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310" activeTab="0"/>
  </bookViews>
  <sheets>
    <sheet name="Incentive effect" sheetId="1" r:id="rId1"/>
    <sheet name="Price threshold effect" sheetId="2" r:id="rId2"/>
    <sheet name="Net forgone royalty" sheetId="3" r:id="rId3"/>
  </sheets>
  <definedNames>
    <definedName name="_xlnm.Print_Area" localSheetId="0">'Incentive effect'!$A$1:$AC$96</definedName>
    <definedName name="_xlnm.Print_Area" localSheetId="2">'Net forgone royalty'!$B$7:$CE$61</definedName>
    <definedName name="_xlnm.Print_Area" localSheetId="1">'Price threshold effect'!$A$1:$AD$96</definedName>
    <definedName name="_xlnm.Print_Titles" localSheetId="2">'Net forgone royalty'!$A:$A,'Net forgone royalty'!$1:$6</definedName>
  </definedNames>
  <calcPr fullCalcOnLoad="1"/>
</workbook>
</file>

<file path=xl/comments2.xml><?xml version="1.0" encoding="utf-8"?>
<comments xmlns="http://schemas.openxmlformats.org/spreadsheetml/2006/main">
  <authors>
    <author>Sam Fraser</author>
  </authors>
  <commentList>
    <comment ref="U19" authorId="0">
      <text>
        <r>
          <rPr>
            <b/>
            <sz val="8"/>
            <rFont val="Tahoma"/>
            <family val="0"/>
          </rPr>
          <t>Sam Fraser: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<sst xmlns="http://schemas.openxmlformats.org/spreadsheetml/2006/main" count="565" uniqueCount="294">
  <si>
    <t>Assumptions</t>
  </si>
  <si>
    <t>Market and Product Characteristics</t>
  </si>
  <si>
    <t>Incentive Size and Duration</t>
  </si>
  <si>
    <t>Drilling Intensity Effects</t>
  </si>
  <si>
    <t>Incentives apply to wells drilled 2003-08, production starting 2004-09</t>
  </si>
  <si>
    <t>RSV at 15K to 18K ft</t>
  </si>
  <si>
    <t>Bcf</t>
  </si>
  <si>
    <t># deep wells</t>
  </si>
  <si>
    <t>15K-18K '</t>
  </si>
  <si>
    <t>Elasticity of U.S. Demand</t>
  </si>
  <si>
    <t>RSV at &gt; 18K ft</t>
  </si>
  <si>
    <t>drilled/discovered</t>
  </si>
  <si>
    <t>without</t>
  </si>
  <si>
    <t>with</t>
  </si>
  <si>
    <t>Elasticity of U.S. Supply</t>
  </si>
  <si>
    <t>RSS at &gt; 18K ft</t>
  </si>
  <si>
    <t>Annual average #</t>
  </si>
  <si>
    <t>incentive</t>
  </si>
  <si>
    <t>Ratio of change in supply to change in equilibrium quantity</t>
  </si>
  <si>
    <t>Condensate/Gas price</t>
  </si>
  <si>
    <t>/bbl//mcf</t>
  </si>
  <si>
    <t>at historic rates</t>
  </si>
  <si>
    <t>Average landed price of gas</t>
  </si>
  <si>
    <t>per mcf</t>
  </si>
  <si>
    <t>Liquids portion of RSV value</t>
  </si>
  <si>
    <t>Rounded</t>
  </si>
  <si>
    <t>at 1/3 COS</t>
  </si>
  <si>
    <t>Average transportation cost</t>
  </si>
  <si>
    <t>Production years without incentive, rounded</t>
  </si>
  <si>
    <t>at 1/5 COS</t>
  </si>
  <si>
    <t>Royalty rate</t>
  </si>
  <si>
    <t>Tax rate</t>
  </si>
  <si>
    <t>Average duration of RSV production (yrs)</t>
  </si>
  <si>
    <t>Discoveries</t>
  </si>
  <si>
    <t>Discount Rate</t>
  </si>
  <si>
    <t>Discount Period</t>
  </si>
  <si>
    <t>Avg discovery size Bcfe</t>
  </si>
  <si>
    <t>Discount Factor</t>
  </si>
  <si>
    <t>Average well flow rate Bcfy</t>
  </si>
  <si>
    <t>Gas/oil production ratio</t>
  </si>
  <si>
    <t>mcf/bbl</t>
  </si>
  <si>
    <t>Average duration of all post RSV prodn</t>
  </si>
  <si>
    <t>Wells per field discovered with incentive</t>
  </si>
  <si>
    <t>Thermal Gas/oil ratio</t>
  </si>
  <si>
    <t>Leases w/ 18K' dry wells w/ other production</t>
  </si>
  <si>
    <t>Gas in deep production</t>
  </si>
  <si>
    <t>Average duration of RSS production</t>
  </si>
  <si>
    <t>years</t>
  </si>
  <si>
    <t>Average well flow rate shallower than 15K' (Bcfy)</t>
  </si>
  <si>
    <t>Deep Wells Drilled Anyway</t>
  </si>
  <si>
    <t>Production and Fiscal Effects of Incentive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</si>
  <si>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</si>
  <si>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</si>
  <si>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</si>
  <si>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</si>
  <si>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</si>
  <si>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</si>
  <si>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</si>
  <si>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</si>
  <si>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</si>
  <si>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</si>
  <si>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</si>
  <si>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</si>
  <si>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</si>
  <si>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</si>
  <si>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</si>
  <si>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Increment</t>
  </si>
  <si>
    <t>Foregone Royalties</t>
  </si>
  <si>
    <t>RSV on</t>
  </si>
  <si>
    <t>Royalty-Free</t>
  </si>
  <si>
    <t>Res. Added</t>
  </si>
  <si>
    <t>Production w/ no incentive</t>
  </si>
  <si>
    <t>Condensate</t>
  </si>
  <si>
    <t>Earned</t>
  </si>
  <si>
    <t>Used</t>
  </si>
  <si>
    <t>Reserves</t>
  </si>
  <si>
    <t>Gas Flow</t>
  </si>
  <si>
    <t>Gas</t>
  </si>
  <si>
    <t>Production</t>
  </si>
  <si>
    <t>Year</t>
  </si>
  <si>
    <t>BCF</t>
  </si>
  <si>
    <t>Bcfe</t>
  </si>
  <si>
    <t>MMbbls</t>
  </si>
  <si>
    <t>RSV</t>
  </si>
  <si>
    <t>RSS</t>
  </si>
  <si>
    <t>Totals</t>
  </si>
  <si>
    <t>Net Present Value at</t>
  </si>
  <si>
    <t>Checks</t>
  </si>
  <si>
    <t>Added Production/Forgone Royalty Production</t>
  </si>
  <si>
    <t>Resource effects (TCFE)</t>
  </si>
  <si>
    <t>15K'-18K'</t>
  </si>
  <si>
    <t>Undiscovered Resources</t>
  </si>
  <si>
    <t>Resources discovered/yr w/o incentive</t>
  </si>
  <si>
    <t>Resoruces discovered/yr w/ incentive</t>
  </si>
  <si>
    <t>Net Royalty Production Change</t>
  </si>
  <si>
    <t>RSV to leases that would have drilled deep well w/o incentive</t>
  </si>
  <si>
    <t>RSS to leases w/shallow production that drilled very deep w/ incentive</t>
  </si>
  <si>
    <t>RSV used by incremental and accelerated wells drilled w/ incentive</t>
  </si>
  <si>
    <t>Accelerated portion of increase in 15K'-18K'</t>
  </si>
  <si>
    <t>PV premium on accelerated production</t>
  </si>
  <si>
    <t>Incremental production</t>
  </si>
  <si>
    <t>Added production (incremental + acceleration premium)</t>
  </si>
  <si>
    <t>Net benefits in extra royalties (Bcf)</t>
  </si>
  <si>
    <t>Incremetal</t>
  </si>
  <si>
    <t>Incremental Royalty-Bearing</t>
  </si>
  <si>
    <t>Incremental</t>
  </si>
  <si>
    <t>Original wells</t>
  </si>
  <si>
    <t>Sliders</t>
  </si>
  <si>
    <t>Sidetracks</t>
  </si>
  <si>
    <t>RSV shares</t>
  </si>
  <si>
    <t>RSS shares</t>
  </si>
  <si>
    <t>Wted avg RSV</t>
  </si>
  <si>
    <t>Wted avg RSS</t>
  </si>
  <si>
    <t>Cmpl Share</t>
  </si>
  <si>
    <t>Forecast</t>
  </si>
  <si>
    <t>Incremental reserves</t>
  </si>
  <si>
    <t>MMS-EIA</t>
  </si>
  <si>
    <t>Henry</t>
  </si>
  <si>
    <t>original</t>
  </si>
  <si>
    <t>sliders</t>
  </si>
  <si>
    <t>sidetracks</t>
  </si>
  <si>
    <t>Proposal plus sidetracks and deeper well eligibility</t>
  </si>
  <si>
    <t>Production from</t>
  </si>
  <si>
    <t>Ineligible Old Wells</t>
  </si>
  <si>
    <t>On Leases w/ no prior deep production or deeper wells</t>
  </si>
  <si>
    <t>Wells</t>
  </si>
  <si>
    <t>Completions</t>
  </si>
  <si>
    <t>Shares of:</t>
  </si>
  <si>
    <r>
      <t>&gt;</t>
    </r>
    <r>
      <rPr>
        <sz val="10"/>
        <rFont val="Arial"/>
        <family val="2"/>
      </rPr>
      <t xml:space="preserve"> 18K'</t>
    </r>
  </si>
  <si>
    <t>ST share of RSV</t>
  </si>
  <si>
    <t>ST share of RSS</t>
  </si>
  <si>
    <t>Dry Share</t>
  </si>
  <si>
    <t>RSV and RSS Adjustment Calculations</t>
  </si>
  <si>
    <t>Very deep Dry Wells</t>
  </si>
  <si>
    <t>Sidetrack RSV at median length =</t>
  </si>
  <si>
    <t>&lt;18,000</t>
  </si>
  <si>
    <t>&gt;18,000</t>
  </si>
  <si>
    <t>15K-18K</t>
  </si>
  <si>
    <t>Low-side price ratio</t>
  </si>
  <si>
    <t>New Incentive</t>
  </si>
  <si>
    <t>Increased reserves discovered per year</t>
  </si>
  <si>
    <t>**</t>
  </si>
  <si>
    <t>Drilling adjustment due to price rise</t>
  </si>
  <si>
    <t>Realized</t>
  </si>
  <si>
    <t>Market</t>
  </si>
  <si>
    <t>No RR</t>
  </si>
  <si>
    <t>W/ RR</t>
  </si>
  <si>
    <t>Low price</t>
  </si>
  <si>
    <t>High price</t>
  </si>
  <si>
    <t>Increase in realized price</t>
  </si>
  <si>
    <t>Increase due to price alone</t>
  </si>
  <si>
    <t>Proportion due to price</t>
  </si>
  <si>
    <t>Proportion due to RR</t>
  </si>
  <si>
    <r>
      <t>&gt;</t>
    </r>
    <r>
      <rPr>
        <sz val="10"/>
        <rFont val="Arial"/>
        <family val="2"/>
      </rPr>
      <t xml:space="preserve"> 18K</t>
    </r>
  </si>
  <si>
    <t>Low price Baseline wells</t>
  </si>
  <si>
    <t>High price + incentive wells</t>
  </si>
  <si>
    <t>High price Baseline wells</t>
  </si>
  <si>
    <t>Incremental wells at high price</t>
  </si>
  <si>
    <t>&gt;20K' at another 10 BCF</t>
  </si>
  <si>
    <t>EVI 2-tier</t>
  </si>
  <si>
    <t>EVI 3-tier</t>
  </si>
  <si>
    <t>last 10 BCFdelayed @</t>
  </si>
  <si>
    <t>&gt;18K' or 18-20K' at 25 BCF</t>
  </si>
  <si>
    <t>Shelf Incentive</t>
  </si>
  <si>
    <t>Slope Incentive</t>
  </si>
  <si>
    <t>Average Discovery sizes</t>
  </si>
  <si>
    <t>daily flow</t>
  </si>
  <si>
    <t>flow yrs</t>
  </si>
  <si>
    <t>&gt;20K'</t>
  </si>
  <si>
    <t>recovery</t>
  </si>
  <si>
    <t>MMCFd</t>
  </si>
  <si>
    <t>&gt; 20K'</t>
  </si>
  <si>
    <t>18K-20K'</t>
  </si>
  <si>
    <t>EVI 1-tier</t>
  </si>
  <si>
    <t>no RSS</t>
  </si>
  <si>
    <t>&gt;20K' at 35 after sunset of 25</t>
  </si>
  <si>
    <t>After sunset of 25</t>
  </si>
  <si>
    <t>15K-18K'</t>
  </si>
  <si>
    <t>&gt; 20K" incentive</t>
  </si>
  <si>
    <t>while 25+10</t>
  </si>
  <si>
    <t>while 35</t>
  </si>
  <si>
    <t>18K'-20K'</t>
  </si>
  <si>
    <t>with Epact Incentive</t>
  </si>
  <si>
    <t>w/ RSS</t>
  </si>
  <si>
    <t>year</t>
  </si>
  <si>
    <t>with 2-tier</t>
  </si>
  <si>
    <t>Discov.</t>
  </si>
  <si>
    <t>Time value of ultra-deep incentive</t>
  </si>
  <si>
    <t>Accelerated portion of increase in 18K'-20K'</t>
  </si>
  <si>
    <t>Years reserves can be discovered at incentive rate</t>
  </si>
  <si>
    <t>RSV yrs for 1/2 BCF in 1/3 yrs</t>
  </si>
  <si>
    <t>Residual</t>
  </si>
  <si>
    <t>Ultra-deep RSV</t>
  </si>
  <si>
    <t>200-400m resources/0-200m resources</t>
  </si>
  <si>
    <t>&gt;20K' resources/&gt;18K' resources</t>
  </si>
  <si>
    <t>200-400m non-straddle leases</t>
  </si>
  <si>
    <t>BCFE</t>
  </si>
  <si>
    <t>Condensate price/Gas price</t>
  </si>
  <si>
    <t>Shelf</t>
  </si>
  <si>
    <t>Slope</t>
  </si>
  <si>
    <t>Total discovered no incentive</t>
  </si>
  <si>
    <t>Total discovered with incenitve</t>
  </si>
  <si>
    <t>Ratio of shelf to slope</t>
  </si>
  <si>
    <t>30% Volatility</t>
  </si>
  <si>
    <t>Decline curve w/ 1/2 recovery in 1st 1/3 production time</t>
  </si>
  <si>
    <t>Percent of leases with extra ultra-deep well</t>
  </si>
  <si>
    <t>share of &gt;20K' resources getting 35</t>
  </si>
  <si>
    <t>&gt;18K' wells &gt;20K' =</t>
  </si>
  <si>
    <t>&gt;20K' at 25 BCF, or 35 BCF</t>
  </si>
  <si>
    <t>while 25</t>
  </si>
  <si>
    <t>Drilling intensity factors for &gt; 20K'</t>
  </si>
  <si>
    <t>&gt;20,000</t>
  </si>
  <si>
    <t>&gt;20K, no RSS</t>
  </si>
  <si>
    <t>9.34 ['06-'09]</t>
  </si>
  <si>
    <t>9.34 ['06-'11]</t>
  </si>
  <si>
    <t>slope share</t>
  </si>
  <si>
    <t>Effect of Price Thresholds on Ultra-Deep Gas Discoveries and Production</t>
  </si>
  <si>
    <t>Base Incentive Effect of Ultra-Deep Gas Rule on Discoveries and Production (No Price Threshold)</t>
  </si>
  <si>
    <t>slope 35/5</t>
  </si>
  <si>
    <t>slope @ 35/5</t>
  </si>
  <si>
    <t>all w/ no RSS</t>
  </si>
  <si>
    <t>18K-20K</t>
  </si>
  <si>
    <t>Sh&amp;Sl @ 25</t>
  </si>
  <si>
    <t>Sh&amp;Sl @ 25+10</t>
  </si>
  <si>
    <t>6.50 ['06-'11]</t>
  </si>
  <si>
    <t>2006-2015 base production</t>
  </si>
  <si>
    <t>2016-2025 base production</t>
  </si>
  <si>
    <t>5.34 ['06-'11]</t>
  </si>
  <si>
    <t>7.34 ['06-'11]</t>
  </si>
  <si>
    <t>3.50 ['06-'11]</t>
  </si>
  <si>
    <t>3.50 ['12-'30]</t>
  </si>
  <si>
    <t>Base</t>
  </si>
  <si>
    <t>Added</t>
  </si>
  <si>
    <t>Base dampening effect of $9.34 rom DGEA04 =</t>
  </si>
  <si>
    <t>['04$/MCF]</t>
  </si>
  <si>
    <t>avg '06-25</t>
  </si>
  <si>
    <t>Update to 2006 price path</t>
  </si>
  <si>
    <t>9.34 ['12-'25]</t>
  </si>
  <si>
    <t>7.34 ['12-'25]</t>
  </si>
  <si>
    <t>6.50 ['12-'25]</t>
  </si>
  <si>
    <t>5.34 ['12-'25]</t>
  </si>
  <si>
    <t>4.22 ['06-'11]</t>
  </si>
  <si>
    <t>4.22 ['12-'25]</t>
  </si>
  <si>
    <t>Original Assumptions</t>
  </si>
  <si>
    <t xml:space="preserve">Epact Assumptions </t>
  </si>
  <si>
    <t>Price Threshold Scenarios</t>
  </si>
  <si>
    <t>Increase in eligibility (share of resources added)</t>
  </si>
  <si>
    <t xml:space="preserve">Price mean to threshold mean </t>
  </si>
  <si>
    <r>
      <t xml:space="preserve">Ultra-deep wells/all deep wells </t>
    </r>
    <r>
      <rPr>
        <u val="single"/>
        <sz val="10"/>
        <rFont val="Arial"/>
        <family val="0"/>
      </rPr>
      <t>&gt;</t>
    </r>
    <r>
      <rPr>
        <sz val="10"/>
        <rFont val="Arial"/>
        <family val="0"/>
      </rPr>
      <t xml:space="preserve"> 18K</t>
    </r>
  </si>
  <si>
    <t xml:space="preserve">Low side price to overall price </t>
  </si>
  <si>
    <t>AEO'06 Adjusted to GOM</t>
  </si>
  <si>
    <t>Price Threshold (PT)</t>
  </si>
  <si>
    <t>Likelihood of Price Threshold Violation</t>
  </si>
  <si>
    <t>Incremental Production Adjusted for EVI with Anticiptated PT Violation Frequency (BCFE)</t>
  </si>
  <si>
    <t xml:space="preserve">Production (BCF) with Royalty Forgone with Anticipated Frequency of PT Violation </t>
  </si>
  <si>
    <t>Royalty Lost from RSV &amp; RSS on Status Quo Production ($MM)</t>
  </si>
  <si>
    <t>Incremental Liquids (MMbbl) with Anticipated PT Violation Freq.</t>
  </si>
  <si>
    <t>Royalty Gain on Incremental Liquids $MM)</t>
  </si>
  <si>
    <t>Incremental Royalty-bearing  Gas After RSV (BCF)</t>
  </si>
  <si>
    <t>Royalty Gain on Incremental Gas Above RSV ($MM)</t>
  </si>
  <si>
    <t>Royalty-free Gas when PT not violated (BCF)</t>
  </si>
  <si>
    <t>Royalty on Incremental Gas when PT Exceeded ($MM)</t>
  </si>
  <si>
    <t>Net Forgone Royalty ($MM)</t>
  </si>
  <si>
    <t>04$/MMBtu</t>
  </si>
  <si>
    <t>04$/MCF</t>
  </si>
  <si>
    <t>04$</t>
  </si>
  <si>
    <t>No PT</t>
  </si>
  <si>
    <t>2006-15</t>
  </si>
  <si>
    <t>2006-25</t>
  </si>
  <si>
    <t>PV</t>
  </si>
  <si>
    <t>2016-25</t>
  </si>
  <si>
    <t>Incremental Production</t>
  </si>
  <si>
    <t>Increase from Base</t>
  </si>
  <si>
    <t>Net Forgone Royalty</t>
  </si>
  <si>
    <t>Decrease from Base</t>
  </si>
  <si>
    <t>Cost-effectiveness</t>
  </si>
  <si>
    <t>Net Forgone Royalty from Deep Well Incentives in 200-400 meters</t>
  </si>
  <si>
    <t>Chance of Price &gt; Price Threshold</t>
  </si>
  <si>
    <t>200-400m Deep Gas Effects</t>
  </si>
  <si>
    <t>nominal</t>
  </si>
  <si>
    <t>2007-2022 base production</t>
  </si>
  <si>
    <t>2007-22</t>
  </si>
  <si>
    <t>Value of Incremental Production ($MM)</t>
  </si>
  <si>
    <t>Incremental Production (BCF)</t>
  </si>
  <si>
    <t>Forecast Gas Price ($/MCF)</t>
  </si>
  <si>
    <t>Would-be Royalty ($MM)</t>
  </si>
  <si>
    <t>Implied Cost of Incremental Production</t>
  </si>
  <si>
    <t>Net Benefit $MM</t>
  </si>
  <si>
    <t>[P - 0.5*((1/6)*P)]</t>
  </si>
  <si>
    <t>Cum</t>
  </si>
  <si>
    <t>Annualized PMT</t>
  </si>
  <si>
    <t>corrected</t>
  </si>
  <si>
    <t>$6.50 but never exceeded</t>
  </si>
  <si>
    <t>Inflation factor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</si>
</sst>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&quot;$&quot;#,##0.000"/>
    <numFmt numFmtId="169" formatCode="&quot;$&quot;#,##0.0"/>
    <numFmt numFmtId="170" formatCode="&quot;$&quot;#,##0"/>
    <numFmt numFmtId="171" formatCode="0.000%"/>
    <numFmt numFmtId="172" formatCode="&quot;$&quot;#,##0.0000"/>
    <numFmt numFmtId="173" formatCode="0.000000"/>
    <numFmt numFmtId="174" formatCode="0.00000"/>
    <numFmt numFmtId="175" formatCode="0.0000"/>
    <numFmt numFmtId="176" formatCode="0.0000%"/>
    <numFmt numFmtId="177" formatCode="#,##0.0;[Red]#,##0.0"/>
    <numFmt numFmtId="178" formatCode="#,##0;[Red]#,##0"/>
    <numFmt numFmtId="179" formatCode="&quot;$&quot;#,##0;[Red]&quot;$&quot;#,##0"/>
    <numFmt numFmtId="180" formatCode="&quot;$&quot;#,##0.0;[Red]&quot;$&quot;#,##0.0"/>
    <numFmt numFmtId="181" formatCode="&quot;$&quot;#,##0.0_);[Red]\(&quot;$&quot;#,##0.0\)"/>
    <numFmt numFmtId="182" formatCode="#,##0.0"/>
    <numFmt numFmtId="183" formatCode="0.0000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"/>
    <numFmt numFmtId="190" formatCode="m/d/yyyy;@"/>
    <numFmt numFmtId="191" formatCode="_(* #,##0.0000_);_(* \(#,##0.0000\);_(* &quot;-&quot;??_);_(@_)"/>
    <numFmt numFmtId="192" formatCode="[$-409]mmmm\ d\,\ yyyy;@"/>
    <numFmt numFmtId="193" formatCode="0.000000000000%"/>
    <numFmt numFmtId="194" formatCode="#,##0.000"/>
    <numFmt numFmtId="195" formatCode="0.0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_);[Red]\(0.00\)"/>
    <numFmt numFmtId="204" formatCode="0.00000000000000%"/>
    <numFmt numFmtId="205" formatCode="&quot;$&quot;#,##0.00000"/>
    <numFmt numFmtId="206" formatCode="_(* #,##0.0_);_(* \(#,##0.0\);_(* &quot;-&quot;??_);_(@_)"/>
    <numFmt numFmtId="207" formatCode="_(* #,##0_);_(* \(#,##0\);_(* &quot;-&quot;??_);_(@_)"/>
    <numFmt numFmtId="208" formatCode="0.0_);[Red]\(0.0\)"/>
    <numFmt numFmtId="209" formatCode="0_);[Red]\(0\)"/>
    <numFmt numFmtId="210" formatCode="0.000000000000000%"/>
    <numFmt numFmtId="211" formatCode="0.00000000000000"/>
    <numFmt numFmtId="212" formatCode="0.0000000000000"/>
    <numFmt numFmtId="213" formatCode="0.000000000000"/>
    <numFmt numFmtId="214" formatCode="0.00000000000"/>
    <numFmt numFmtId="215" formatCode="0.0000000000"/>
    <numFmt numFmtId="216" formatCode="0.0000000000000000"/>
    <numFmt numFmtId="217" formatCode="0.000000000000000"/>
  </numFmts>
  <fonts count="23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60"/>
      <name val="Arial"/>
      <family val="0"/>
    </font>
    <font>
      <strike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strike/>
      <sz val="10"/>
      <name val="Agency FB"/>
      <family val="2"/>
    </font>
    <font>
      <sz val="12"/>
      <name val="Times New Roman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/>
    </xf>
    <xf numFmtId="166" fontId="0" fillId="0" borderId="4" xfId="21" applyNumberFormat="1" applyBorder="1" applyAlignment="1">
      <alignment horizontal="center"/>
    </xf>
    <xf numFmtId="0" fontId="0" fillId="0" borderId="0" xfId="0" applyBorder="1" applyAlignment="1" quotePrefix="1">
      <alignment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0" xfId="21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21" applyNumberFormat="1" applyBorder="1" applyAlignment="1" applyProtection="1">
      <alignment horizontal="center"/>
      <protection locked="0"/>
    </xf>
    <xf numFmtId="9" fontId="0" fillId="0" borderId="4" xfId="2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9" fontId="0" fillId="0" borderId="0" xfId="2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166" fontId="0" fillId="0" borderId="10" xfId="21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2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1" applyAlignment="1">
      <alignment horizontal="center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0" fontId="0" fillId="0" borderId="0" xfId="21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9" fontId="0" fillId="0" borderId="23" xfId="2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25" xfId="21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/>
    </xf>
    <xf numFmtId="169" fontId="0" fillId="0" borderId="0" xfId="0" applyNumberFormat="1" applyBorder="1" applyAlignment="1">
      <alignment horizontal="center"/>
    </xf>
    <xf numFmtId="171" fontId="0" fillId="0" borderId="0" xfId="21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horizontal="left"/>
    </xf>
    <xf numFmtId="1" fontId="0" fillId="0" borderId="0" xfId="21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/>
    </xf>
    <xf numFmtId="166" fontId="0" fillId="0" borderId="0" xfId="21" applyNumberFormat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" fontId="0" fillId="0" borderId="27" xfId="0" applyNumberFormat="1" applyBorder="1" applyAlignment="1" applyProtection="1">
      <alignment horizontal="center"/>
      <protection hidden="1"/>
    </xf>
    <xf numFmtId="3" fontId="0" fillId="0" borderId="28" xfId="0" applyNumberFormat="1" applyBorder="1" applyAlignment="1">
      <alignment/>
    </xf>
    <xf numFmtId="9" fontId="0" fillId="0" borderId="0" xfId="21" applyBorder="1" applyAlignment="1" applyProtection="1">
      <alignment horizontal="center"/>
      <protection hidden="1"/>
    </xf>
    <xf numFmtId="9" fontId="0" fillId="0" borderId="4" xfId="2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0" fontId="0" fillId="0" borderId="27" xfId="0" applyBorder="1" applyAlignment="1">
      <alignment/>
    </xf>
    <xf numFmtId="9" fontId="0" fillId="0" borderId="0" xfId="21" applyBorder="1" applyAlignment="1">
      <alignment/>
    </xf>
    <xf numFmtId="9" fontId="8" fillId="0" borderId="0" xfId="21" applyFont="1" applyBorder="1" applyAlignment="1">
      <alignment horizontal="center"/>
    </xf>
    <xf numFmtId="9" fontId="8" fillId="0" borderId="5" xfId="21" applyFont="1" applyBorder="1" applyAlignment="1">
      <alignment horizontal="center"/>
    </xf>
    <xf numFmtId="9" fontId="9" fillId="0" borderId="0" xfId="21" applyFont="1" applyBorder="1" applyAlignment="1">
      <alignment horizontal="center"/>
    </xf>
    <xf numFmtId="9" fontId="9" fillId="0" borderId="5" xfId="2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7" fontId="0" fillId="0" borderId="0" xfId="21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30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164" fontId="0" fillId="2" borderId="0" xfId="0" applyNumberFormat="1" applyFill="1" applyBorder="1" applyAlignment="1">
      <alignment horizontal="center"/>
    </xf>
    <xf numFmtId="166" fontId="0" fillId="0" borderId="0" xfId="21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7" fontId="0" fillId="0" borderId="4" xfId="0" applyNumberFormat="1" applyBorder="1" applyAlignment="1">
      <alignment horizontal="center"/>
    </xf>
    <xf numFmtId="9" fontId="0" fillId="0" borderId="4" xfId="21" applyNumberFormat="1" applyBorder="1" applyAlignment="1">
      <alignment horizontal="center"/>
    </xf>
    <xf numFmtId="0" fontId="0" fillId="0" borderId="25" xfId="0" applyBorder="1" applyAlignment="1">
      <alignment horizontal="center"/>
    </xf>
    <xf numFmtId="9" fontId="0" fillId="0" borderId="0" xfId="21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9" fontId="0" fillId="0" borderId="0" xfId="2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0" fillId="0" borderId="23" xfId="0" applyNumberFormat="1" applyBorder="1" applyAlignment="1">
      <alignment horizontal="center" vertical="center"/>
    </xf>
    <xf numFmtId="166" fontId="0" fillId="0" borderId="23" xfId="21" applyNumberFormat="1" applyBorder="1" applyAlignment="1">
      <alignment horizontal="center" vertical="center"/>
    </xf>
    <xf numFmtId="166" fontId="0" fillId="0" borderId="6" xfId="21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0" borderId="0" xfId="0" applyAlignment="1">
      <alignment/>
    </xf>
    <xf numFmtId="9" fontId="12" fillId="0" borderId="0" xfId="21" applyFon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167" fontId="0" fillId="0" borderId="29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6" fontId="0" fillId="0" borderId="4" xfId="21" applyNumberFormat="1" applyFont="1" applyBorder="1" applyAlignment="1">
      <alignment horizontal="center"/>
    </xf>
    <xf numFmtId="171" fontId="0" fillId="0" borderId="0" xfId="21" applyNumberFormat="1" applyAlignment="1">
      <alignment/>
    </xf>
    <xf numFmtId="164" fontId="0" fillId="0" borderId="0" xfId="0" applyNumberFormat="1" applyFill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173" fontId="0" fillId="0" borderId="5" xfId="0" applyNumberFormat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6" fontId="0" fillId="0" borderId="0" xfId="21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34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9" fontId="0" fillId="0" borderId="0" xfId="21" applyAlignment="1">
      <alignment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21" applyNumberFormat="1" applyFont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1" fontId="0" fillId="0" borderId="6" xfId="0" applyNumberFormat="1" applyBorder="1" applyAlignment="1" applyProtection="1">
      <alignment horizontal="center"/>
      <protection hidden="1"/>
    </xf>
    <xf numFmtId="3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69" fontId="0" fillId="0" borderId="2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9" fontId="12" fillId="0" borderId="10" xfId="2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21" applyNumberFormat="1" applyFill="1" applyBorder="1" applyAlignment="1">
      <alignment horizontal="center"/>
    </xf>
    <xf numFmtId="0" fontId="0" fillId="0" borderId="5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15" fillId="0" borderId="0" xfId="21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7" xfId="0" applyBorder="1" applyAlignment="1">
      <alignment/>
    </xf>
    <xf numFmtId="1" fontId="0" fillId="8" borderId="0" xfId="0" applyNumberFormat="1" applyFill="1" applyBorder="1" applyAlignment="1">
      <alignment horizontal="center"/>
    </xf>
    <xf numFmtId="166" fontId="0" fillId="0" borderId="6" xfId="21" applyNumberFormat="1" applyBorder="1" applyAlignment="1">
      <alignment vertical="center"/>
    </xf>
    <xf numFmtId="166" fontId="0" fillId="0" borderId="8" xfId="21" applyNumberFormat="1" applyBorder="1" applyAlignment="1">
      <alignment vertical="center"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166" fontId="3" fillId="0" borderId="0" xfId="0" applyNumberFormat="1" applyFont="1" applyBorder="1" applyAlignment="1">
      <alignment horizontal="center"/>
    </xf>
    <xf numFmtId="175" fontId="0" fillId="0" borderId="6" xfId="0" applyNumberFormat="1" applyBorder="1" applyAlignment="1">
      <alignment horizontal="center" vertical="center"/>
    </xf>
    <xf numFmtId="175" fontId="0" fillId="0" borderId="6" xfId="0" applyNumberForma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166" fontId="0" fillId="0" borderId="0" xfId="21" applyNumberFormat="1" applyAlignment="1">
      <alignment vertical="center"/>
    </xf>
    <xf numFmtId="2" fontId="0" fillId="0" borderId="0" xfId="21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0" fontId="0" fillId="0" borderId="8" xfId="21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 applyProtection="1">
      <alignment horizontal="center"/>
      <protection hidden="1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9" fillId="0" borderId="0" xfId="21" applyNumberFormat="1" applyFont="1" applyBorder="1" applyAlignment="1">
      <alignment horizontal="center"/>
    </xf>
    <xf numFmtId="2" fontId="9" fillId="0" borderId="5" xfId="2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6" fontId="3" fillId="0" borderId="0" xfId="21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6" borderId="0" xfId="21" applyNumberFormat="1" applyFont="1" applyFill="1" applyBorder="1" applyAlignment="1">
      <alignment horizontal="center"/>
    </xf>
    <xf numFmtId="166" fontId="0" fillId="0" borderId="6" xfId="21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6" fontId="0" fillId="0" borderId="0" xfId="21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5" fontId="16" fillId="5" borderId="0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5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31" xfId="0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6" fillId="9" borderId="31" xfId="0" applyNumberFormat="1" applyFont="1" applyFill="1" applyBorder="1" applyAlignment="1">
      <alignment horizontal="center"/>
    </xf>
    <xf numFmtId="164" fontId="16" fillId="6" borderId="5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6" borderId="31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31" xfId="0" applyFont="1" applyBorder="1" applyAlignment="1">
      <alignment/>
    </xf>
    <xf numFmtId="2" fontId="16" fillId="0" borderId="5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1" fontId="16" fillId="0" borderId="5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/>
    </xf>
    <xf numFmtId="164" fontId="16" fillId="3" borderId="0" xfId="0" applyNumberFormat="1" applyFont="1" applyFill="1" applyBorder="1" applyAlignment="1">
      <alignment horizontal="center"/>
    </xf>
    <xf numFmtId="164" fontId="16" fillId="3" borderId="31" xfId="0" applyNumberFormat="1" applyFont="1" applyFill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2" fontId="16" fillId="0" borderId="31" xfId="0" applyNumberFormat="1" applyFont="1" applyBorder="1" applyAlignment="1" applyProtection="1">
      <alignment horizontal="center"/>
      <protection locked="0"/>
    </xf>
    <xf numFmtId="0" fontId="16" fillId="3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167" fontId="0" fillId="0" borderId="0" xfId="0" applyNumberForma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0" fontId="12" fillId="0" borderId="0" xfId="21" applyNumberFormat="1" applyFont="1" applyFill="1" applyBorder="1" applyAlignment="1">
      <alignment horizontal="center"/>
    </xf>
    <xf numFmtId="166" fontId="0" fillId="0" borderId="0" xfId="21" applyNumberForma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6" fontId="0" fillId="0" borderId="0" xfId="21" applyNumberFormat="1" applyFont="1" applyFill="1" applyBorder="1" applyAlignment="1">
      <alignment horizontal="center"/>
    </xf>
    <xf numFmtId="9" fontId="0" fillId="0" borderId="0" xfId="21" applyFill="1" applyBorder="1" applyAlignment="1">
      <alignment horizontal="center"/>
    </xf>
    <xf numFmtId="9" fontId="0" fillId="0" borderId="0" xfId="2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9" fontId="0" fillId="0" borderId="0" xfId="21" applyNumberForma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7" fontId="0" fillId="0" borderId="12" xfId="0" applyNumberForma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9" fontId="0" fillId="0" borderId="7" xfId="2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0" borderId="4" xfId="0" applyNumberFormat="1" applyFont="1" applyBorder="1" applyAlignment="1">
      <alignment/>
    </xf>
    <xf numFmtId="164" fontId="16" fillId="0" borderId="4" xfId="0" applyNumberFormat="1" applyFont="1" applyBorder="1" applyAlignment="1">
      <alignment horizontal="center"/>
    </xf>
    <xf numFmtId="164" fontId="16" fillId="3" borderId="4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6" fontId="16" fillId="0" borderId="31" xfId="21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8" fillId="11" borderId="5" xfId="0" applyNumberFormat="1" applyFont="1" applyFill="1" applyBorder="1" applyAlignment="1">
      <alignment horizontal="center"/>
    </xf>
    <xf numFmtId="1" fontId="8" fillId="11" borderId="14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165" fontId="3" fillId="0" borderId="0" xfId="0" applyNumberFormat="1" applyFont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5" borderId="4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167" fontId="0" fillId="0" borderId="11" xfId="0" applyNumberForma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75" fontId="12" fillId="0" borderId="13" xfId="0" applyNumberFormat="1" applyFont="1" applyBorder="1" applyAlignment="1">
      <alignment horizontal="center"/>
    </xf>
    <xf numFmtId="175" fontId="12" fillId="0" borderId="27" xfId="21" applyNumberFormat="1" applyFont="1" applyFill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2" fillId="0" borderId="4" xfId="0" applyNumberFormat="1" applyFont="1" applyBorder="1" applyAlignment="1">
      <alignment horizontal="center"/>
    </xf>
    <xf numFmtId="175" fontId="12" fillId="0" borderId="0" xfId="0" applyNumberFormat="1" applyFont="1" applyFill="1" applyBorder="1" applyAlignment="1">
      <alignment horizontal="center"/>
    </xf>
    <xf numFmtId="175" fontId="12" fillId="0" borderId="4" xfId="0" applyNumberFormat="1" applyFont="1" applyFill="1" applyBorder="1" applyAlignment="1">
      <alignment horizontal="center"/>
    </xf>
    <xf numFmtId="175" fontId="12" fillId="0" borderId="27" xfId="0" applyNumberFormat="1" applyFont="1" applyBorder="1" applyAlignment="1">
      <alignment horizontal="center"/>
    </xf>
    <xf numFmtId="175" fontId="12" fillId="0" borderId="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67" fontId="0" fillId="0" borderId="0" xfId="21" applyNumberFormat="1" applyBorder="1" applyAlignment="1">
      <alignment horizontal="center"/>
    </xf>
    <xf numFmtId="167" fontId="0" fillId="0" borderId="0" xfId="21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>
      <alignment horizontal="center"/>
    </xf>
    <xf numFmtId="1" fontId="0" fillId="0" borderId="25" xfId="0" applyNumberFormat="1" applyBorder="1" applyAlignment="1" applyProtection="1">
      <alignment horizontal="center"/>
      <protection hidden="1"/>
    </xf>
    <xf numFmtId="3" fontId="0" fillId="0" borderId="1" xfId="0" applyNumberFormat="1" applyBorder="1" applyAlignment="1">
      <alignment/>
    </xf>
    <xf numFmtId="0" fontId="11" fillId="0" borderId="5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 quotePrefix="1">
      <alignment/>
    </xf>
    <xf numFmtId="0" fontId="10" fillId="0" borderId="5" xfId="0" applyFont="1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/>
    </xf>
    <xf numFmtId="10" fontId="12" fillId="0" borderId="5" xfId="21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 vertical="center"/>
    </xf>
    <xf numFmtId="166" fontId="0" fillId="0" borderId="8" xfId="21" applyNumberFormat="1" applyBorder="1" applyAlignment="1">
      <alignment horizontal="center"/>
    </xf>
    <xf numFmtId="10" fontId="12" fillId="6" borderId="5" xfId="21" applyNumberFormat="1" applyFont="1" applyFill="1" applyBorder="1" applyAlignment="1">
      <alignment horizontal="center"/>
    </xf>
    <xf numFmtId="166" fontId="12" fillId="9" borderId="5" xfId="0" applyNumberFormat="1" applyFont="1" applyFill="1" applyBorder="1" applyAlignment="1">
      <alignment horizontal="center"/>
    </xf>
    <xf numFmtId="166" fontId="12" fillId="6" borderId="5" xfId="0" applyNumberFormat="1" applyFont="1" applyFill="1" applyBorder="1" applyAlignment="1">
      <alignment horizontal="center"/>
    </xf>
    <xf numFmtId="166" fontId="0" fillId="0" borderId="8" xfId="21" applyNumberFormat="1" applyBorder="1" applyAlignment="1">
      <alignment horizontal="center" vertical="center"/>
    </xf>
    <xf numFmtId="166" fontId="12" fillId="6" borderId="5" xfId="0" applyNumberFormat="1" applyFont="1" applyFill="1" applyBorder="1" applyAlignment="1">
      <alignment horizontal="center" vertical="center"/>
    </xf>
    <xf numFmtId="175" fontId="0" fillId="0" borderId="5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9" fontId="0" fillId="0" borderId="31" xfId="21" applyFon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36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0" fillId="0" borderId="0" xfId="21" applyNumberFormat="1" applyBorder="1" applyAlignment="1">
      <alignment horizontal="center" vertical="center"/>
    </xf>
    <xf numFmtId="9" fontId="0" fillId="0" borderId="0" xfId="21" applyFill="1" applyBorder="1" applyAlignment="1">
      <alignment horizontal="center" vertical="center"/>
    </xf>
    <xf numFmtId="9" fontId="0" fillId="0" borderId="31" xfId="2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9" fontId="0" fillId="0" borderId="31" xfId="2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6" fontId="0" fillId="0" borderId="26" xfId="21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21" applyBorder="1" applyAlignment="1">
      <alignment horizontal="center" vertical="center"/>
    </xf>
    <xf numFmtId="9" fontId="0" fillId="0" borderId="10" xfId="21" applyNumberFormat="1" applyBorder="1" applyAlignment="1">
      <alignment horizontal="center" vertical="center"/>
    </xf>
    <xf numFmtId="9" fontId="0" fillId="0" borderId="10" xfId="21" applyBorder="1" applyAlignment="1">
      <alignment horizontal="center"/>
    </xf>
    <xf numFmtId="9" fontId="0" fillId="0" borderId="26" xfId="2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167" fontId="5" fillId="0" borderId="42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6" fontId="5" fillId="0" borderId="5" xfId="21" applyNumberFormat="1" applyFont="1" applyBorder="1" applyAlignment="1">
      <alignment horizontal="center"/>
    </xf>
    <xf numFmtId="165" fontId="5" fillId="0" borderId="0" xfId="21" applyNumberFormat="1" applyFont="1" applyBorder="1" applyAlignment="1">
      <alignment horizontal="center"/>
    </xf>
    <xf numFmtId="3" fontId="5" fillId="0" borderId="0" xfId="21" applyNumberFormat="1" applyFont="1" applyBorder="1" applyAlignment="1">
      <alignment horizontal="center"/>
    </xf>
    <xf numFmtId="3" fontId="5" fillId="0" borderId="5" xfId="21" applyNumberFormat="1" applyFont="1" applyBorder="1" applyAlignment="1">
      <alignment horizontal="center"/>
    </xf>
    <xf numFmtId="3" fontId="14" fillId="0" borderId="0" xfId="21" applyNumberFormat="1" applyFont="1" applyBorder="1" applyAlignment="1">
      <alignment horizontal="center"/>
    </xf>
    <xf numFmtId="3" fontId="14" fillId="0" borderId="5" xfId="21" applyNumberFormat="1" applyFont="1" applyFill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82" fontId="14" fillId="0" borderId="0" xfId="0" applyNumberFormat="1" applyFont="1" applyBorder="1" applyAlignment="1">
      <alignment horizontal="center"/>
    </xf>
    <xf numFmtId="182" fontId="14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14" fillId="0" borderId="0" xfId="21" applyNumberFormat="1" applyFont="1" applyAlignment="1">
      <alignment horizontal="center"/>
    </xf>
    <xf numFmtId="166" fontId="14" fillId="0" borderId="0" xfId="21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" fontId="5" fillId="12" borderId="14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3" fontId="5" fillId="8" borderId="0" xfId="21" applyNumberFormat="1" applyFont="1" applyFill="1" applyBorder="1" applyAlignment="1">
      <alignment horizontal="center"/>
    </xf>
    <xf numFmtId="1" fontId="5" fillId="5" borderId="5" xfId="21" applyNumberFormat="1" applyFont="1" applyFill="1" applyBorder="1" applyAlignment="1">
      <alignment horizontal="center"/>
    </xf>
    <xf numFmtId="1" fontId="14" fillId="11" borderId="0" xfId="21" applyNumberFormat="1" applyFont="1" applyFill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3" fontId="5" fillId="10" borderId="5" xfId="0" applyNumberFormat="1" applyFont="1" applyFill="1" applyBorder="1" applyAlignment="1">
      <alignment horizontal="center"/>
    </xf>
    <xf numFmtId="3" fontId="14" fillId="7" borderId="0" xfId="0" applyNumberFormat="1" applyFont="1" applyFill="1" applyBorder="1" applyAlignment="1">
      <alignment horizontal="center"/>
    </xf>
    <xf numFmtId="3" fontId="5" fillId="7" borderId="0" xfId="0" applyNumberFormat="1" applyFont="1" applyFill="1" applyBorder="1" applyAlignment="1">
      <alignment horizontal="center"/>
    </xf>
    <xf numFmtId="164" fontId="5" fillId="12" borderId="14" xfId="0" applyNumberFormat="1" applyFont="1" applyFill="1" applyBorder="1" applyAlignment="1">
      <alignment horizontal="center"/>
    </xf>
    <xf numFmtId="164" fontId="14" fillId="8" borderId="5" xfId="0" applyNumberFormat="1" applyFont="1" applyFill="1" applyBorder="1" applyAlignment="1">
      <alignment horizontal="center"/>
    </xf>
    <xf numFmtId="164" fontId="14" fillId="8" borderId="0" xfId="0" applyNumberFormat="1" applyFont="1" applyFill="1" applyBorder="1" applyAlignment="1">
      <alignment horizontal="center"/>
    </xf>
    <xf numFmtId="164" fontId="5" fillId="8" borderId="0" xfId="21" applyNumberFormat="1" applyFont="1" applyFill="1" applyBorder="1" applyAlignment="1">
      <alignment horizontal="center"/>
    </xf>
    <xf numFmtId="3" fontId="14" fillId="10" borderId="5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/>
      <protection locked="0"/>
    </xf>
    <xf numFmtId="3" fontId="5" fillId="8" borderId="0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167" fontId="5" fillId="0" borderId="24" xfId="0" applyNumberFormat="1" applyFon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167" fontId="5" fillId="0" borderId="43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0" fontId="14" fillId="0" borderId="23" xfId="0" applyNumberFormat="1" applyFont="1" applyBorder="1" applyAlignment="1">
      <alignment horizontal="center"/>
    </xf>
    <xf numFmtId="182" fontId="14" fillId="0" borderId="23" xfId="0" applyNumberFormat="1" applyFont="1" applyBorder="1" applyAlignment="1">
      <alignment horizontal="center"/>
    </xf>
    <xf numFmtId="182" fontId="14" fillId="0" borderId="22" xfId="0" applyNumberFormat="1" applyFont="1" applyBorder="1" applyAlignment="1">
      <alignment horizontal="center"/>
    </xf>
    <xf numFmtId="182" fontId="14" fillId="0" borderId="24" xfId="0" applyNumberFormat="1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5" fillId="0" borderId="24" xfId="0" applyNumberFormat="1" applyFont="1" applyBorder="1" applyAlignment="1">
      <alignment horizontal="center"/>
    </xf>
    <xf numFmtId="170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70" fontId="5" fillId="0" borderId="22" xfId="0" applyNumberFormat="1" applyFont="1" applyBorder="1" applyAlignment="1">
      <alignment horizontal="center"/>
    </xf>
    <xf numFmtId="170" fontId="5" fillId="0" borderId="23" xfId="0" applyNumberFormat="1" applyFont="1" applyFill="1" applyBorder="1" applyAlignment="1">
      <alignment horizontal="center"/>
    </xf>
    <xf numFmtId="170" fontId="5" fillId="0" borderId="24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5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2" borderId="46" xfId="0" applyNumberFormat="1" applyFont="1" applyFill="1" applyBorder="1" applyAlignment="1">
      <alignment horizontal="center"/>
    </xf>
    <xf numFmtId="3" fontId="5" fillId="2" borderId="45" xfId="0" applyNumberFormat="1" applyFont="1" applyFill="1" applyBorder="1" applyAlignment="1">
      <alignment horizontal="center"/>
    </xf>
    <xf numFmtId="3" fontId="5" fillId="2" borderId="4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center"/>
    </xf>
    <xf numFmtId="170" fontId="5" fillId="0" borderId="46" xfId="0" applyNumberFormat="1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0" fontId="5" fillId="2" borderId="5" xfId="0" applyNumberFormat="1" applyFont="1" applyFill="1" applyBorder="1" applyAlignment="1">
      <alignment horizontal="center"/>
    </xf>
    <xf numFmtId="170" fontId="5" fillId="2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9" fontId="5" fillId="0" borderId="6" xfId="0" applyNumberFormat="1" applyFont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70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70" fontId="5" fillId="2" borderId="7" xfId="0" applyNumberFormat="1" applyFont="1" applyFill="1" applyBorder="1" applyAlignment="1">
      <alignment horizontal="center"/>
    </xf>
    <xf numFmtId="170" fontId="5" fillId="2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14" fillId="0" borderId="14" xfId="21" applyNumberFormat="1" applyFont="1" applyFill="1" applyBorder="1" applyAlignment="1">
      <alignment horizontal="center"/>
    </xf>
    <xf numFmtId="3" fontId="0" fillId="0" borderId="0" xfId="21" applyNumberFormat="1" applyFill="1" applyBorder="1" applyAlignment="1">
      <alignment horizontal="center"/>
    </xf>
    <xf numFmtId="3" fontId="0" fillId="0" borderId="28" xfId="21" applyNumberFormat="1" applyFill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3" fontId="14" fillId="0" borderId="15" xfId="21" applyNumberFormat="1" applyFont="1" applyFill="1" applyBorder="1" applyAlignment="1">
      <alignment horizontal="center"/>
    </xf>
    <xf numFmtId="3" fontId="0" fillId="0" borderId="4" xfId="21" applyNumberForma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0" fillId="0" borderId="0" xfId="0" applyNumberFormat="1" applyFill="1" applyAlignment="1">
      <alignment horizontal="center"/>
    </xf>
    <xf numFmtId="9" fontId="0" fillId="0" borderId="0" xfId="2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21" applyNumberFormat="1" applyFill="1" applyAlignment="1">
      <alignment horizontal="center"/>
    </xf>
    <xf numFmtId="0" fontId="5" fillId="0" borderId="3" xfId="0" applyFont="1" applyBorder="1" applyAlignment="1">
      <alignment horizontal="left"/>
    </xf>
    <xf numFmtId="2" fontId="14" fillId="8" borderId="5" xfId="0" applyNumberFormat="1" applyFont="1" applyFill="1" applyBorder="1" applyAlignment="1">
      <alignment horizontal="center"/>
    </xf>
    <xf numFmtId="2" fontId="14" fillId="8" borderId="0" xfId="0" applyNumberFormat="1" applyFont="1" applyFill="1" applyBorder="1" applyAlignment="1">
      <alignment horizontal="center"/>
    </xf>
    <xf numFmtId="2" fontId="5" fillId="8" borderId="0" xfId="21" applyNumberFormat="1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2" fontId="14" fillId="11" borderId="0" xfId="21" applyNumberFormat="1" applyFont="1" applyFill="1" applyBorder="1" applyAlignment="1">
      <alignment horizontal="center"/>
    </xf>
    <xf numFmtId="2" fontId="5" fillId="11" borderId="0" xfId="21" applyNumberFormat="1" applyFont="1" applyFill="1" applyBorder="1" applyAlignment="1">
      <alignment horizontal="center"/>
    </xf>
    <xf numFmtId="2" fontId="5" fillId="11" borderId="0" xfId="0" applyNumberFormat="1" applyFont="1" applyFill="1" applyBorder="1" applyAlignment="1">
      <alignment horizontal="center"/>
    </xf>
    <xf numFmtId="3" fontId="0" fillId="0" borderId="0" xfId="21" applyNumberFormat="1" applyBorder="1" applyAlignment="1">
      <alignment horizontal="center"/>
    </xf>
    <xf numFmtId="166" fontId="0" fillId="0" borderId="0" xfId="21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16" fillId="5" borderId="5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2" fontId="20" fillId="5" borderId="5" xfId="0" applyNumberFormat="1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/>
    </xf>
    <xf numFmtId="165" fontId="16" fillId="5" borderId="4" xfId="0" applyNumberFormat="1" applyFont="1" applyFill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/>
    </xf>
    <xf numFmtId="10" fontId="16" fillId="0" borderId="6" xfId="21" applyNumberFormat="1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36" xfId="0" applyFont="1" applyBorder="1" applyAlignment="1">
      <alignment horizontal="center"/>
    </xf>
    <xf numFmtId="1" fontId="16" fillId="5" borderId="5" xfId="0" applyNumberFormat="1" applyFont="1" applyFill="1" applyBorder="1" applyAlignment="1">
      <alignment horizontal="center"/>
    </xf>
    <xf numFmtId="1" fontId="16" fillId="5" borderId="4" xfId="0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9" fontId="0" fillId="0" borderId="0" xfId="0" applyNumberFormat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70" fontId="0" fillId="0" borderId="23" xfId="0" applyNumberFormat="1" applyBorder="1" applyAlignment="1">
      <alignment horizontal="center"/>
    </xf>
    <xf numFmtId="6" fontId="0" fillId="0" borderId="23" xfId="0" applyNumberFormat="1" applyBorder="1" applyAlignment="1">
      <alignment horizontal="center"/>
    </xf>
    <xf numFmtId="167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81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/>
    </xf>
    <xf numFmtId="0" fontId="3" fillId="0" borderId="0" xfId="0" applyFont="1" applyAlignment="1">
      <alignment horizontal="center"/>
    </xf>
    <xf numFmtId="8" fontId="0" fillId="0" borderId="0" xfId="0" applyNumberFormat="1" applyAlignment="1">
      <alignment/>
    </xf>
    <xf numFmtId="8" fontId="0" fillId="0" borderId="0" xfId="21" applyNumberFormat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67" fontId="5" fillId="0" borderId="35" xfId="0" applyNumberFormat="1" applyFont="1" applyBorder="1" applyAlignment="1">
      <alignment horizontal="center"/>
    </xf>
    <xf numFmtId="17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7" fontId="21" fillId="0" borderId="0" xfId="0" applyNumberFormat="1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0" xfId="21" applyBorder="1" applyAlignment="1">
      <alignment horizontal="center"/>
    </xf>
    <xf numFmtId="9" fontId="0" fillId="0" borderId="0" xfId="21" applyNumberFormat="1" applyBorder="1" applyAlignment="1">
      <alignment horizontal="center"/>
    </xf>
    <xf numFmtId="9" fontId="0" fillId="0" borderId="23" xfId="21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5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9" fontId="0" fillId="0" borderId="0" xfId="2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7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0" borderId="41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Fill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workbookViewId="0" topLeftCell="A1">
      <selection activeCell="A1" sqref="A1:R1"/>
    </sheetView>
  </sheetViews>
  <sheetFormatPr defaultColWidth="9.140625" defaultRowHeight="12.75"/>
  <cols>
    <col min="2" max="2" width="17.00390625" style="0" bestFit="1" customWidth="1"/>
    <col min="3" max="5" width="11.7109375" style="0" customWidth="1"/>
    <col min="6" max="6" width="10.8515625" style="0" bestFit="1" customWidth="1"/>
    <col min="8" max="8" width="12.7109375" style="0" customWidth="1"/>
    <col min="10" max="10" width="9.57421875" style="0" bestFit="1" customWidth="1"/>
    <col min="11" max="11" width="10.7109375" style="0" customWidth="1"/>
    <col min="12" max="12" width="11.57421875" style="0" bestFit="1" customWidth="1"/>
    <col min="13" max="14" width="12.7109375" style="0" customWidth="1"/>
    <col min="15" max="15" width="11.57421875" style="0" bestFit="1" customWidth="1"/>
    <col min="16" max="16" width="12.7109375" style="0" customWidth="1"/>
    <col min="17" max="17" width="13.140625" style="0" customWidth="1"/>
    <col min="18" max="18" width="11.57421875" style="0" customWidth="1"/>
    <col min="19" max="19" width="14.28125" style="0" customWidth="1"/>
    <col min="20" max="20" width="11.57421875" style="0" customWidth="1"/>
    <col min="21" max="21" width="13.00390625" style="0" customWidth="1"/>
    <col min="22" max="23" width="12.421875" style="0" customWidth="1"/>
    <col min="24" max="24" width="11.00390625" style="0" customWidth="1"/>
    <col min="25" max="25" width="10.28125" style="0" customWidth="1"/>
    <col min="29" max="29" width="9.57421875" style="0" bestFit="1" customWidth="1"/>
    <col min="30" max="30" width="12.7109375" style="0" customWidth="1"/>
    <col min="31" max="31" width="11.7109375" style="0" customWidth="1"/>
  </cols>
  <sheetData>
    <row r="1" spans="1:19" ht="20.25">
      <c r="A1" s="692" t="s">
        <v>217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2"/>
    </row>
    <row r="2" spans="1:19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8" ht="15.75" customHeight="1" thickBot="1">
      <c r="A3" s="705" t="s">
        <v>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217"/>
      <c r="M3" s="217"/>
      <c r="N3" s="217"/>
      <c r="O3" s="217"/>
      <c r="P3" s="217"/>
      <c r="Q3" s="217"/>
      <c r="R3" s="217"/>
      <c r="S3" s="217"/>
      <c r="T3" s="217"/>
      <c r="U3" s="679"/>
      <c r="V3" s="679"/>
      <c r="X3" s="683" t="s">
        <v>142</v>
      </c>
      <c r="Y3" s="684"/>
      <c r="Z3" s="684"/>
      <c r="AA3" s="684"/>
      <c r="AB3" s="685"/>
    </row>
    <row r="4" spans="1:28" ht="13.5" thickBot="1">
      <c r="A4" s="672" t="s">
        <v>1</v>
      </c>
      <c r="B4" s="691"/>
      <c r="C4" s="691"/>
      <c r="D4" s="691"/>
      <c r="E4" s="716"/>
      <c r="F4" s="715" t="s">
        <v>2</v>
      </c>
      <c r="G4" s="691"/>
      <c r="H4" s="691"/>
      <c r="I4" s="691"/>
      <c r="J4" s="691"/>
      <c r="K4" s="691"/>
      <c r="L4" s="680" t="s">
        <v>3</v>
      </c>
      <c r="M4" s="681"/>
      <c r="N4" s="681"/>
      <c r="O4" s="681"/>
      <c r="P4" s="681"/>
      <c r="Q4" s="681"/>
      <c r="R4" s="681"/>
      <c r="S4" s="681"/>
      <c r="T4" s="681"/>
      <c r="U4" s="681"/>
      <c r="V4" s="682"/>
      <c r="W4" s="180"/>
      <c r="X4" s="10"/>
      <c r="Y4" s="32"/>
      <c r="Z4" s="663" t="s">
        <v>143</v>
      </c>
      <c r="AA4" s="663"/>
      <c r="AB4" s="9"/>
    </row>
    <row r="5" spans="1:28" ht="12.75" customHeight="1">
      <c r="A5" s="7" t="s">
        <v>4</v>
      </c>
      <c r="B5" s="8"/>
      <c r="C5" s="8"/>
      <c r="D5" s="8"/>
      <c r="E5" s="9"/>
      <c r="F5" s="10" t="s">
        <v>5</v>
      </c>
      <c r="G5" s="8"/>
      <c r="H5" s="179">
        <v>15</v>
      </c>
      <c r="I5" s="8" t="s">
        <v>80</v>
      </c>
      <c r="J5" s="8"/>
      <c r="K5" s="28"/>
      <c r="L5" s="7" t="s">
        <v>7</v>
      </c>
      <c r="M5" s="8"/>
      <c r="N5" s="699" t="s">
        <v>8</v>
      </c>
      <c r="O5" s="703"/>
      <c r="P5" s="698" t="s">
        <v>181</v>
      </c>
      <c r="Q5" s="699"/>
      <c r="R5" s="700" t="s">
        <v>171</v>
      </c>
      <c r="S5" s="693"/>
      <c r="T5" s="693"/>
      <c r="U5" s="693"/>
      <c r="V5" s="694"/>
      <c r="W5" s="44" t="s">
        <v>231</v>
      </c>
      <c r="X5" s="10"/>
      <c r="Y5" s="8" t="s">
        <v>144</v>
      </c>
      <c r="Z5" s="12" t="s">
        <v>145</v>
      </c>
      <c r="AA5" s="12" t="s">
        <v>146</v>
      </c>
      <c r="AB5" s="9"/>
    </row>
    <row r="6" spans="1:39" ht="12.75" customHeight="1">
      <c r="A6" s="7" t="s">
        <v>9</v>
      </c>
      <c r="B6" s="8"/>
      <c r="C6" s="8"/>
      <c r="D6" s="12">
        <v>-0.72</v>
      </c>
      <c r="E6" s="9"/>
      <c r="F6" s="10" t="s">
        <v>10</v>
      </c>
      <c r="G6" s="8"/>
      <c r="H6" s="179">
        <v>25</v>
      </c>
      <c r="I6" s="8" t="s">
        <v>80</v>
      </c>
      <c r="J6" s="704" t="s">
        <v>15</v>
      </c>
      <c r="K6" s="181">
        <v>5</v>
      </c>
      <c r="L6" s="7" t="s">
        <v>11</v>
      </c>
      <c r="M6" s="8"/>
      <c r="N6" s="12" t="s">
        <v>12</v>
      </c>
      <c r="O6" s="12" t="s">
        <v>13</v>
      </c>
      <c r="P6" s="13" t="s">
        <v>12</v>
      </c>
      <c r="Q6" s="12" t="s">
        <v>13</v>
      </c>
      <c r="R6" s="302" t="s">
        <v>12</v>
      </c>
      <c r="S6" s="331" t="s">
        <v>185</v>
      </c>
      <c r="T6" s="667" t="s">
        <v>182</v>
      </c>
      <c r="U6" s="668"/>
      <c r="V6" s="719"/>
      <c r="W6" s="356">
        <f>(N8+P8)*V17</f>
        <v>7.113057229019388</v>
      </c>
      <c r="X6" s="10" t="s">
        <v>147</v>
      </c>
      <c r="Y6" s="127">
        <v>2.96</v>
      </c>
      <c r="Z6" s="202">
        <f>(1-C11)*Y6</f>
        <v>2.466666666666667</v>
      </c>
      <c r="AA6" s="8"/>
      <c r="AB6" s="9"/>
      <c r="AM6" s="150"/>
    </row>
    <row r="7" spans="1:39" ht="12.75" customHeight="1">
      <c r="A7" s="7" t="s">
        <v>14</v>
      </c>
      <c r="B7" s="8"/>
      <c r="C7" s="8"/>
      <c r="D7" s="14">
        <v>1.093769198837692</v>
      </c>
      <c r="E7" s="9"/>
      <c r="F7" t="s">
        <v>192</v>
      </c>
      <c r="H7" s="118">
        <v>35</v>
      </c>
      <c r="I7" s="8" t="s">
        <v>80</v>
      </c>
      <c r="J7" s="704"/>
      <c r="K7" s="182" t="s">
        <v>196</v>
      </c>
      <c r="L7" s="97" t="s">
        <v>16</v>
      </c>
      <c r="M7" s="8"/>
      <c r="N7" s="16" t="s">
        <v>17</v>
      </c>
      <c r="O7" s="16" t="s">
        <v>17</v>
      </c>
      <c r="P7" s="17" t="s">
        <v>17</v>
      </c>
      <c r="Q7" s="16" t="s">
        <v>17</v>
      </c>
      <c r="R7" s="332" t="s">
        <v>17</v>
      </c>
      <c r="S7" s="333" t="s">
        <v>17</v>
      </c>
      <c r="T7" s="288"/>
      <c r="U7" s="693" t="s">
        <v>176</v>
      </c>
      <c r="V7" s="694"/>
      <c r="W7" s="44" t="s">
        <v>232</v>
      </c>
      <c r="X7" s="10" t="s">
        <v>148</v>
      </c>
      <c r="Y7" s="127">
        <v>5.32</v>
      </c>
      <c r="Z7" s="202">
        <f>(1-C11)*Y7</f>
        <v>4.433333333333334</v>
      </c>
      <c r="AA7" s="202">
        <f>Y7</f>
        <v>5.32</v>
      </c>
      <c r="AB7" s="9"/>
      <c r="AM7" s="8"/>
    </row>
    <row r="8" spans="1:39" ht="12.75" customHeight="1">
      <c r="A8" s="18" t="s">
        <v>18</v>
      </c>
      <c r="B8" s="8"/>
      <c r="C8" s="8"/>
      <c r="D8" s="8"/>
      <c r="E8" s="155">
        <v>0.392</v>
      </c>
      <c r="F8" s="675" t="s">
        <v>193</v>
      </c>
      <c r="G8" s="676"/>
      <c r="H8" s="676"/>
      <c r="I8" s="250">
        <f>J8</f>
        <v>0.1176716917922948</v>
      </c>
      <c r="J8" s="131">
        <f>(0.69+0.46+1.66)/(5.68+3.92+14.28)</f>
        <v>0.1176716917922948</v>
      </c>
      <c r="K8" s="695" t="s">
        <v>207</v>
      </c>
      <c r="L8" s="97" t="s">
        <v>21</v>
      </c>
      <c r="M8" s="12"/>
      <c r="N8" s="130">
        <f>(AA15)*(1+I8)</f>
        <v>63.79032839430799</v>
      </c>
      <c r="O8" s="211">
        <f>N8*AA17</f>
        <v>7.293591203681963</v>
      </c>
      <c r="P8" s="121">
        <f>AB15*(1+I8)*(1-I9)</f>
        <v>3.7710585959153162</v>
      </c>
      <c r="Q8" s="8"/>
      <c r="R8" s="334">
        <f>AB15*(1+I8)*I9</f>
        <v>13.723898177828794</v>
      </c>
      <c r="S8" s="335"/>
      <c r="T8" s="293"/>
      <c r="U8" s="277" t="s">
        <v>183</v>
      </c>
      <c r="V8" s="282" t="s">
        <v>174</v>
      </c>
      <c r="W8" s="356">
        <f>(O8+Q9)*V17</f>
        <v>0.8096642771334227</v>
      </c>
      <c r="X8" s="10" t="s">
        <v>149</v>
      </c>
      <c r="Y8" s="8"/>
      <c r="Z8" s="8"/>
      <c r="AA8" s="202">
        <f>AA7-Z6</f>
        <v>2.8533333333333335</v>
      </c>
      <c r="AB8" s="9"/>
      <c r="AM8" s="139"/>
    </row>
    <row r="9" spans="1:39" ht="12.75" customHeight="1">
      <c r="A9" s="7" t="s">
        <v>22</v>
      </c>
      <c r="B9" s="8"/>
      <c r="C9" s="8"/>
      <c r="D9" s="638"/>
      <c r="E9" s="9" t="s">
        <v>23</v>
      </c>
      <c r="F9" s="673" t="s">
        <v>206</v>
      </c>
      <c r="G9" s="674"/>
      <c r="H9" s="674"/>
      <c r="I9" s="69">
        <f>J9</f>
        <v>0.7844488188976377</v>
      </c>
      <c r="J9" s="131">
        <f>(14.28+1.66)/(3.92+0.46+14.28+1.66)</f>
        <v>0.7844488188976377</v>
      </c>
      <c r="K9" s="696"/>
      <c r="L9" s="97" t="s">
        <v>26</v>
      </c>
      <c r="M9" s="164">
        <f>1/3</f>
        <v>0.3333333333333333</v>
      </c>
      <c r="N9" s="116"/>
      <c r="O9" s="149">
        <f>N8+O8</f>
        <v>71.08391959798996</v>
      </c>
      <c r="P9" s="117"/>
      <c r="Q9" s="211">
        <f>P8*AB17</f>
        <v>0.3967787453184128</v>
      </c>
      <c r="R9" s="281"/>
      <c r="S9" s="336">
        <f>R8*AB17</f>
        <v>1.4439847489441773</v>
      </c>
      <c r="T9" s="272">
        <f>X40</f>
        <v>0.36241695023405696</v>
      </c>
      <c r="U9" s="272">
        <f>IF(I9=0,0,Z38)</f>
        <v>1.9500110219120819</v>
      </c>
      <c r="V9" s="284">
        <f>AB38</f>
        <v>1.3145475078593498</v>
      </c>
      <c r="W9" s="139"/>
      <c r="X9" s="10" t="s">
        <v>150</v>
      </c>
      <c r="Y9" s="8"/>
      <c r="Z9" s="8"/>
      <c r="AA9" s="202">
        <f>Z7-Z6</f>
        <v>1.9666666666666668</v>
      </c>
      <c r="AB9" s="9"/>
      <c r="AM9" s="139"/>
    </row>
    <row r="10" spans="1:28" ht="12.75" customHeight="1">
      <c r="A10" s="7" t="s">
        <v>27</v>
      </c>
      <c r="B10" s="8"/>
      <c r="C10" s="8"/>
      <c r="D10" s="638">
        <v>0</v>
      </c>
      <c r="E10" s="9" t="s">
        <v>23</v>
      </c>
      <c r="F10" s="102" t="s">
        <v>195</v>
      </c>
      <c r="G10" s="150"/>
      <c r="I10" s="69">
        <v>0.5</v>
      </c>
      <c r="K10" s="330">
        <v>0.4</v>
      </c>
      <c r="L10" s="97" t="s">
        <v>29</v>
      </c>
      <c r="M10" s="29">
        <f>1/5</f>
        <v>0.2</v>
      </c>
      <c r="N10" s="114"/>
      <c r="O10" s="210"/>
      <c r="P10" s="115"/>
      <c r="Q10" s="149">
        <f>P8+Q9</f>
        <v>4.167837341233729</v>
      </c>
      <c r="R10" s="281"/>
      <c r="S10" s="337">
        <f>R8+S9</f>
        <v>15.167882926772972</v>
      </c>
      <c r="T10" s="294">
        <f>R8+S9+T9</f>
        <v>15.530299877007028</v>
      </c>
      <c r="U10" s="286">
        <f>R8+U9</f>
        <v>15.673909199740876</v>
      </c>
      <c r="V10" s="295">
        <f>R8+V9</f>
        <v>15.038445685688144</v>
      </c>
      <c r="W10" s="235"/>
      <c r="X10" s="10" t="s">
        <v>151</v>
      </c>
      <c r="Y10" s="8"/>
      <c r="Z10" s="8"/>
      <c r="AA10" s="113">
        <f>AA9/AA8</f>
        <v>0.6892523364485982</v>
      </c>
      <c r="AB10" s="9"/>
    </row>
    <row r="11" spans="1:28" ht="12.75" customHeight="1">
      <c r="A11" s="7" t="s">
        <v>30</v>
      </c>
      <c r="B11" s="8"/>
      <c r="C11" s="26">
        <f>1/6</f>
        <v>0.16666666666666666</v>
      </c>
      <c r="D11" s="15" t="s">
        <v>31</v>
      </c>
      <c r="E11" s="27">
        <v>0</v>
      </c>
      <c r="F11" s="10" t="s">
        <v>197</v>
      </c>
      <c r="G11" s="8"/>
      <c r="H11" s="8"/>
      <c r="I11" s="12">
        <v>8</v>
      </c>
      <c r="J11" s="20" t="s">
        <v>20</v>
      </c>
      <c r="K11" s="8"/>
      <c r="L11" s="97" t="s">
        <v>33</v>
      </c>
      <c r="M11" s="12"/>
      <c r="N11" s="130">
        <f>N8*M9</f>
        <v>21.263442798102663</v>
      </c>
      <c r="O11" s="149">
        <f>O9*M9</f>
        <v>23.694639865996653</v>
      </c>
      <c r="P11" s="121">
        <f>P8*M10</f>
        <v>0.7542117191830633</v>
      </c>
      <c r="Q11" s="149">
        <f>Q10*M10</f>
        <v>0.8335674682467458</v>
      </c>
      <c r="R11" s="334">
        <f>R8*M10</f>
        <v>2.744779635565759</v>
      </c>
      <c r="S11" s="337">
        <f>S10*M10</f>
        <v>3.0335765853545946</v>
      </c>
      <c r="T11" s="294">
        <f>T10*M10</f>
        <v>3.106059975401406</v>
      </c>
      <c r="U11" s="286">
        <f>U10*M10</f>
        <v>3.1347818399481753</v>
      </c>
      <c r="V11" s="295">
        <f>V10*M10</f>
        <v>3.007689137137629</v>
      </c>
      <c r="X11" s="10" t="s">
        <v>152</v>
      </c>
      <c r="Y11" s="8"/>
      <c r="Z11" s="8"/>
      <c r="AA11" s="113">
        <f>(AA8-AA9)/AA8</f>
        <v>0.3107476635514019</v>
      </c>
      <c r="AB11" s="9"/>
    </row>
    <row r="12" spans="1:28" ht="12.75" customHeight="1">
      <c r="A12" s="7" t="s">
        <v>34</v>
      </c>
      <c r="B12" s="8"/>
      <c r="C12" s="29">
        <v>0.07</v>
      </c>
      <c r="D12" s="15" t="s">
        <v>35</v>
      </c>
      <c r="E12" s="30">
        <v>6</v>
      </c>
      <c r="F12" s="10" t="s">
        <v>24</v>
      </c>
      <c r="G12" s="8"/>
      <c r="H12" s="8"/>
      <c r="I12" s="23">
        <f>I11/(C14+I11)</f>
        <v>0.23529411764705882</v>
      </c>
      <c r="J12" s="8"/>
      <c r="K12" s="147" t="s">
        <v>25</v>
      </c>
      <c r="L12" s="97" t="s">
        <v>36</v>
      </c>
      <c r="M12" s="12"/>
      <c r="N12" s="105">
        <f>AB21</f>
        <v>27.5</v>
      </c>
      <c r="O12" s="105">
        <f>AB21</f>
        <v>27.5</v>
      </c>
      <c r="P12" s="171">
        <f>AB22</f>
        <v>31.7</v>
      </c>
      <c r="Q12" s="105">
        <f>AB22</f>
        <v>31.7</v>
      </c>
      <c r="R12" s="338">
        <f>AB23</f>
        <v>90.3</v>
      </c>
      <c r="S12" s="336">
        <f>AB23</f>
        <v>90.3</v>
      </c>
      <c r="T12" s="270">
        <f>AB23</f>
        <v>90.3</v>
      </c>
      <c r="U12" s="270">
        <f>T12</f>
        <v>90.3</v>
      </c>
      <c r="V12" s="296">
        <f>T12</f>
        <v>90.3</v>
      </c>
      <c r="W12" s="254"/>
      <c r="X12" s="10"/>
      <c r="Y12" s="8"/>
      <c r="Z12" s="8"/>
      <c r="AA12" s="12" t="s">
        <v>137</v>
      </c>
      <c r="AB12" s="203" t="s">
        <v>153</v>
      </c>
    </row>
    <row r="13" spans="1:28" ht="12.75" customHeight="1">
      <c r="A13" s="18" t="s">
        <v>37</v>
      </c>
      <c r="B13" s="8"/>
      <c r="C13" s="14">
        <f>(1/(1+C12)^E12)</f>
        <v>0.6663422238165125</v>
      </c>
      <c r="D13" s="8"/>
      <c r="E13" s="9"/>
      <c r="F13" s="10" t="s">
        <v>28</v>
      </c>
      <c r="G13" s="8"/>
      <c r="H13" s="8"/>
      <c r="I13" s="8"/>
      <c r="J13" s="28">
        <f>AA24</f>
        <v>13.910055604292817</v>
      </c>
      <c r="K13" s="187">
        <f>ROUND(J13,0)</f>
        <v>14</v>
      </c>
      <c r="L13" s="18" t="s">
        <v>38</v>
      </c>
      <c r="M13" s="8"/>
      <c r="N13" s="28">
        <f>$Y$21*365/1000</f>
        <v>2.0075</v>
      </c>
      <c r="O13" s="28">
        <f>$Y$21*365/1000</f>
        <v>2.0075</v>
      </c>
      <c r="P13" s="28">
        <f>$Y$22*365/1000</f>
        <v>2.3086249999999997</v>
      </c>
      <c r="Q13" s="28">
        <f>$Y$22*365/1000</f>
        <v>2.3086249999999997</v>
      </c>
      <c r="R13" s="338">
        <f>$Y$23*365/1000</f>
        <v>6.3145</v>
      </c>
      <c r="S13" s="336">
        <f>$Y$23*365/1000</f>
        <v>6.3145</v>
      </c>
      <c r="T13" s="288"/>
      <c r="U13" s="288"/>
      <c r="V13" s="289"/>
      <c r="W13" s="254"/>
      <c r="X13" s="204" t="s">
        <v>154</v>
      </c>
      <c r="Y13" s="8"/>
      <c r="Z13" s="8"/>
      <c r="AA13" s="8">
        <v>42.6</v>
      </c>
      <c r="AB13" s="9">
        <v>12</v>
      </c>
    </row>
    <row r="14" spans="1:28" ht="12.75" customHeight="1">
      <c r="A14" s="7" t="s">
        <v>39</v>
      </c>
      <c r="B14" s="8"/>
      <c r="C14" s="8">
        <v>26</v>
      </c>
      <c r="D14" s="8" t="s">
        <v>40</v>
      </c>
      <c r="E14" s="9"/>
      <c r="F14" s="10" t="s">
        <v>32</v>
      </c>
      <c r="G14" s="8"/>
      <c r="H14" s="8"/>
      <c r="I14" s="131">
        <f>(0.69+0.46+1.66)/(5.68+3.92+14.28)</f>
        <v>0.1176716917922948</v>
      </c>
      <c r="J14" s="28">
        <f>Y30</f>
        <v>4.636685201430939</v>
      </c>
      <c r="K14" s="187">
        <f>ROUND(J14,0)</f>
        <v>5</v>
      </c>
      <c r="L14" s="7" t="s">
        <v>205</v>
      </c>
      <c r="M14" s="8"/>
      <c r="N14" s="8"/>
      <c r="O14" s="32"/>
      <c r="P14" s="8"/>
      <c r="Q14" s="12"/>
      <c r="R14" s="288"/>
      <c r="S14" s="339">
        <f>1/12</f>
        <v>0.08333333333333333</v>
      </c>
      <c r="T14" s="291">
        <f>(T10-T11)*$O$15</f>
        <v>8.282826601070415</v>
      </c>
      <c r="U14" s="291">
        <f>(U10-U11)*$O$15</f>
        <v>8.3594182398618</v>
      </c>
      <c r="V14" s="297"/>
      <c r="X14" s="10" t="s">
        <v>155</v>
      </c>
      <c r="Y14" s="8"/>
      <c r="Z14" s="8"/>
      <c r="AA14" s="8">
        <f>63.6</f>
        <v>63.6</v>
      </c>
      <c r="AB14" s="9">
        <v>17.3</v>
      </c>
    </row>
    <row r="15" spans="1:28" ht="12.75" customHeight="1">
      <c r="A15" s="7" t="s">
        <v>43</v>
      </c>
      <c r="B15" s="8"/>
      <c r="C15" s="8">
        <v>5.62</v>
      </c>
      <c r="D15" s="8" t="s">
        <v>40</v>
      </c>
      <c r="E15" s="9"/>
      <c r="F15" s="10" t="s">
        <v>41</v>
      </c>
      <c r="G15" s="8"/>
      <c r="H15" s="8"/>
      <c r="I15" s="131">
        <f>(14.28+1.66)/(3.92+0.46+14.28+1.66)</f>
        <v>0.7844488188976377</v>
      </c>
      <c r="J15" s="25">
        <f>AA30</f>
        <v>9.273370402861877</v>
      </c>
      <c r="K15" s="187">
        <f>ROUND(J15,0)</f>
        <v>9</v>
      </c>
      <c r="L15" s="188" t="s">
        <v>44</v>
      </c>
      <c r="M15" s="8"/>
      <c r="N15" s="8"/>
      <c r="O15" s="29">
        <f>2/3</f>
        <v>0.6666666666666666</v>
      </c>
      <c r="P15" s="34">
        <f>(Q10-Q11)*$O$15</f>
        <v>2.222846581991322</v>
      </c>
      <c r="Q15" s="21">
        <f>ROUND(P15,0)</f>
        <v>2</v>
      </c>
      <c r="R15" s="290">
        <f>(S10-S11)*$O$15</f>
        <v>8.089537560945583</v>
      </c>
      <c r="S15" s="331">
        <f>ROUND(R15,0)</f>
        <v>8</v>
      </c>
      <c r="T15" s="298">
        <f>ROUND(T14,0)</f>
        <v>8</v>
      </c>
      <c r="U15" s="298">
        <f>ROUND(U14,0)</f>
        <v>8</v>
      </c>
      <c r="V15" s="267"/>
      <c r="W15" s="216"/>
      <c r="X15" s="10" t="s">
        <v>156</v>
      </c>
      <c r="Y15" s="8"/>
      <c r="Z15" s="8"/>
      <c r="AA15" s="205">
        <f>AA13+((AA14-AA13)*$AA$10)</f>
        <v>57.07429906542056</v>
      </c>
      <c r="AB15" s="223">
        <f>AB13+((AB14-AB13)*$AA$10)</f>
        <v>15.65303738317757</v>
      </c>
    </row>
    <row r="16" spans="1:28" ht="12.75" customHeight="1" thickBot="1">
      <c r="A16" s="35" t="s">
        <v>45</v>
      </c>
      <c r="B16" s="36"/>
      <c r="C16" s="37">
        <f>(1-(C15/(C14+C15)))</f>
        <v>0.8222643896268185</v>
      </c>
      <c r="D16" s="36"/>
      <c r="E16" s="38"/>
      <c r="F16" s="39" t="s">
        <v>46</v>
      </c>
      <c r="G16" s="36"/>
      <c r="H16" s="36"/>
      <c r="I16" s="36"/>
      <c r="J16" s="40">
        <v>2</v>
      </c>
      <c r="K16" s="36" t="s">
        <v>47</v>
      </c>
      <c r="L16" s="35" t="s">
        <v>48</v>
      </c>
      <c r="M16" s="36"/>
      <c r="N16" s="36"/>
      <c r="O16" s="36"/>
      <c r="P16" s="36"/>
      <c r="Q16" s="52">
        <v>1</v>
      </c>
      <c r="R16" s="39"/>
      <c r="S16" s="38"/>
      <c r="T16" s="36"/>
      <c r="U16" s="36"/>
      <c r="V16" s="100"/>
      <c r="W16" s="139"/>
      <c r="X16" s="10" t="s">
        <v>157</v>
      </c>
      <c r="Y16" s="8"/>
      <c r="Z16" s="8"/>
      <c r="AA16" s="224">
        <f>AA14-AA15</f>
        <v>6.52570093457944</v>
      </c>
      <c r="AB16" s="223">
        <f>AB14-AB15</f>
        <v>1.6469626168224298</v>
      </c>
    </row>
    <row r="17" spans="1:28" ht="12.75" customHeight="1">
      <c r="A17" s="41"/>
      <c r="B17" s="41"/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15">
        <f>N8+P8+R8</f>
        <v>81.2852851680521</v>
      </c>
      <c r="S17" s="215">
        <f>O9+Q10+S10-R17</f>
        <v>9.134354697944573</v>
      </c>
      <c r="T17" s="360" t="s">
        <v>215</v>
      </c>
      <c r="U17" s="234">
        <f>1.66/(14.28+1.66)</f>
        <v>0.1041405269761606</v>
      </c>
      <c r="V17" s="234">
        <f>I8/(1+I8)</f>
        <v>0.10528287748220305</v>
      </c>
      <c r="X17" s="84"/>
      <c r="Y17" s="85"/>
      <c r="Z17" s="85"/>
      <c r="AA17" s="221">
        <f>AA16/AA15</f>
        <v>0.11433694397366936</v>
      </c>
      <c r="AB17" s="222">
        <f>AB16/AB15</f>
        <v>0.10521680722441973</v>
      </c>
    </row>
    <row r="18" spans="1:23" ht="15" customHeight="1">
      <c r="A18" s="8"/>
      <c r="B18" s="717" t="s">
        <v>49</v>
      </c>
      <c r="C18" s="718"/>
      <c r="D18" s="718"/>
      <c r="E18" s="718"/>
      <c r="F18" s="690"/>
      <c r="G18" s="218" t="s">
        <v>50</v>
      </c>
      <c r="H18" s="219"/>
      <c r="I18" s="219"/>
      <c r="J18" s="219"/>
      <c r="K18" s="219"/>
      <c r="L18" s="219"/>
      <c r="M18" s="219"/>
      <c r="N18" s="219"/>
      <c r="O18" s="219"/>
      <c r="P18" s="124">
        <v>0.32</v>
      </c>
      <c r="Q18" s="8"/>
      <c r="U18" s="361"/>
      <c r="W18" s="105"/>
    </row>
    <row r="19" spans="1:28" ht="12.75" customHeight="1">
      <c r="A19" s="44" t="s">
        <v>51</v>
      </c>
      <c r="B19" s="13" t="s">
        <v>52</v>
      </c>
      <c r="C19" s="12" t="s">
        <v>53</v>
      </c>
      <c r="D19" s="12" t="s">
        <v>54</v>
      </c>
      <c r="E19" s="12" t="s">
        <v>55</v>
      </c>
      <c r="F19" s="30" t="s">
        <v>56</v>
      </c>
      <c r="G19" s="13" t="s">
        <v>57</v>
      </c>
      <c r="H19" s="12" t="s">
        <v>58</v>
      </c>
      <c r="I19" s="12" t="s">
        <v>59</v>
      </c>
      <c r="J19" s="12" t="s">
        <v>60</v>
      </c>
      <c r="K19" s="12" t="s">
        <v>61</v>
      </c>
      <c r="L19" s="12" t="s">
        <v>62</v>
      </c>
      <c r="M19" s="12" t="s">
        <v>63</v>
      </c>
      <c r="N19" s="12" t="s">
        <v>64</v>
      </c>
      <c r="O19" s="30" t="s">
        <v>65</v>
      </c>
      <c r="P19" s="355" t="s">
        <v>234</v>
      </c>
      <c r="Q19" s="32"/>
      <c r="W19" s="216"/>
      <c r="X19" s="715" t="s">
        <v>165</v>
      </c>
      <c r="Y19" s="691"/>
      <c r="Z19" s="691"/>
      <c r="AA19" s="691"/>
      <c r="AB19" s="716"/>
    </row>
    <row r="20" spans="1:28" ht="12.75" customHeight="1">
      <c r="A20" s="45"/>
      <c r="B20" s="46" t="s">
        <v>122</v>
      </c>
      <c r="C20" s="701" t="s">
        <v>124</v>
      </c>
      <c r="D20" s="697"/>
      <c r="E20" s="697"/>
      <c r="F20" s="702"/>
      <c r="G20" s="701" t="s">
        <v>67</v>
      </c>
      <c r="H20" s="697"/>
      <c r="I20" s="30"/>
      <c r="J20" s="13" t="s">
        <v>103</v>
      </c>
      <c r="K20" s="47" t="s">
        <v>68</v>
      </c>
      <c r="L20" s="13" t="s">
        <v>69</v>
      </c>
      <c r="M20" s="701" t="s">
        <v>104</v>
      </c>
      <c r="N20" s="702"/>
      <c r="O20" s="413" t="s">
        <v>105</v>
      </c>
      <c r="P20" s="381" t="s">
        <v>116</v>
      </c>
      <c r="Q20" s="32"/>
      <c r="S20" s="8"/>
      <c r="T20" s="12"/>
      <c r="U20" s="32"/>
      <c r="V20" s="255"/>
      <c r="W20" s="157"/>
      <c r="X20" s="10"/>
      <c r="Y20" s="147" t="s">
        <v>166</v>
      </c>
      <c r="Z20" s="8"/>
      <c r="AA20" s="147" t="s">
        <v>167</v>
      </c>
      <c r="AB20" s="24" t="s">
        <v>169</v>
      </c>
    </row>
    <row r="21" spans="1:28" ht="12.75" customHeight="1">
      <c r="A21" s="45"/>
      <c r="B21" s="49" t="s">
        <v>123</v>
      </c>
      <c r="C21" s="13" t="s">
        <v>70</v>
      </c>
      <c r="D21" s="697" t="s">
        <v>71</v>
      </c>
      <c r="E21" s="697"/>
      <c r="F21" s="30" t="s">
        <v>72</v>
      </c>
      <c r="G21" s="6" t="s">
        <v>73</v>
      </c>
      <c r="H21" s="5"/>
      <c r="I21" s="17" t="s">
        <v>74</v>
      </c>
      <c r="J21" s="17" t="s">
        <v>75</v>
      </c>
      <c r="K21" s="50" t="s">
        <v>66</v>
      </c>
      <c r="L21" s="17" t="s">
        <v>76</v>
      </c>
      <c r="M21" s="6" t="s">
        <v>77</v>
      </c>
      <c r="N21" s="51" t="s">
        <v>72</v>
      </c>
      <c r="O21" s="47" t="s">
        <v>78</v>
      </c>
      <c r="P21" s="62" t="s">
        <v>117</v>
      </c>
      <c r="Q21" s="32"/>
      <c r="S21" s="32"/>
      <c r="T21" s="32"/>
      <c r="U21" s="62"/>
      <c r="V21" s="255"/>
      <c r="W21" s="105"/>
      <c r="X21" s="169" t="s">
        <v>177</v>
      </c>
      <c r="Y21" s="32">
        <v>5.5</v>
      </c>
      <c r="Z21" s="31" t="s">
        <v>170</v>
      </c>
      <c r="AA21" s="105">
        <f>(AB21*1000)/(Y21*365)</f>
        <v>13.698630136986301</v>
      </c>
      <c r="AB21" s="170">
        <v>27.5</v>
      </c>
    </row>
    <row r="22" spans="1:28" ht="12.75" customHeight="1" thickBot="1">
      <c r="A22" s="52" t="s">
        <v>79</v>
      </c>
      <c r="B22" s="53" t="s">
        <v>80</v>
      </c>
      <c r="C22" s="54" t="s">
        <v>81</v>
      </c>
      <c r="D22" s="55" t="s">
        <v>81</v>
      </c>
      <c r="E22" s="56" t="s">
        <v>6</v>
      </c>
      <c r="F22" s="57" t="s">
        <v>82</v>
      </c>
      <c r="G22" s="53" t="s">
        <v>83</v>
      </c>
      <c r="H22" s="58" t="s">
        <v>84</v>
      </c>
      <c r="I22" s="59" t="s">
        <v>6</v>
      </c>
      <c r="J22" s="59" t="s">
        <v>81</v>
      </c>
      <c r="K22" s="59" t="s">
        <v>6</v>
      </c>
      <c r="L22" s="57" t="s">
        <v>6</v>
      </c>
      <c r="M22" s="53" t="s">
        <v>6</v>
      </c>
      <c r="N22" s="57" t="s">
        <v>82</v>
      </c>
      <c r="O22" s="238" t="s">
        <v>81</v>
      </c>
      <c r="P22" s="52" t="s">
        <v>114</v>
      </c>
      <c r="Q22" s="12"/>
      <c r="S22" s="8"/>
      <c r="T22" s="32"/>
      <c r="U22" s="12"/>
      <c r="W22" s="216"/>
      <c r="X22" s="10" t="s">
        <v>172</v>
      </c>
      <c r="Y22" s="28">
        <f>Y21*1.15</f>
        <v>6.324999999999999</v>
      </c>
      <c r="Z22" s="8"/>
      <c r="AA22" s="105">
        <f>(AB22*1000)/(Y22*365)</f>
        <v>13.73111700687639</v>
      </c>
      <c r="AB22" s="170">
        <v>31.7</v>
      </c>
    </row>
    <row r="23" spans="1:28" ht="12.75" customHeight="1">
      <c r="A23" s="44">
        <v>2003</v>
      </c>
      <c r="B23" s="60">
        <v>378.4249</v>
      </c>
      <c r="C23" s="61">
        <f>((N11*N12)+(P11*P12)+(R11*R12))*S96</f>
        <v>90.1754993855532</v>
      </c>
      <c r="D23" s="8"/>
      <c r="E23" s="62">
        <f aca="true" t="shared" si="0" ref="E23:E65">D23*$C$16</f>
        <v>0</v>
      </c>
      <c r="F23" s="30">
        <f aca="true" t="shared" si="1" ref="F23:F65">E23/$C$14</f>
        <v>0</v>
      </c>
      <c r="G23" s="22"/>
      <c r="H23" s="65"/>
      <c r="I23" s="32"/>
      <c r="J23" s="63"/>
      <c r="K23" s="64"/>
      <c r="L23" s="65"/>
      <c r="M23" s="65">
        <v>0</v>
      </c>
      <c r="N23" s="66">
        <f>IF(K23&gt;J23,(SUM($J$23:J23)-SUM($K$23:K23))/$K$14,0)</f>
        <v>0</v>
      </c>
      <c r="O23" s="66">
        <f aca="true" t="shared" si="2" ref="O23:O65">L23+M23+$C$15*N23</f>
        <v>0</v>
      </c>
      <c r="P23" s="412">
        <f>5.07714653015137+P18</f>
        <v>5.39714653015137</v>
      </c>
      <c r="Q23" s="132"/>
      <c r="S23" s="8"/>
      <c r="T23" s="127"/>
      <c r="U23" s="378"/>
      <c r="X23" s="10" t="s">
        <v>168</v>
      </c>
      <c r="Y23" s="32">
        <v>17.3</v>
      </c>
      <c r="Z23" s="31" t="s">
        <v>170</v>
      </c>
      <c r="AA23" s="105">
        <f>(AB23*1000)/(Y23*365)</f>
        <v>14.300419669015758</v>
      </c>
      <c r="AB23" s="170">
        <v>90.3</v>
      </c>
    </row>
    <row r="24" spans="1:28" ht="12.75" customHeight="1">
      <c r="A24" s="44">
        <v>2004</v>
      </c>
      <c r="B24" s="60">
        <v>365.0443</v>
      </c>
      <c r="C24" s="70">
        <f>C23</f>
        <v>90.1754993855532</v>
      </c>
      <c r="D24" s="21">
        <f>(SUM($C$23:C23)/$K$13)</f>
        <v>6.441107098968085</v>
      </c>
      <c r="E24" s="71">
        <f t="shared" si="0"/>
        <v>5.29629299725396</v>
      </c>
      <c r="F24" s="65">
        <f t="shared" si="1"/>
        <v>0.20370357681745999</v>
      </c>
      <c r="G24" s="22"/>
      <c r="H24" s="65"/>
      <c r="I24" s="22"/>
      <c r="J24" s="63"/>
      <c r="K24" s="65"/>
      <c r="L24" s="65"/>
      <c r="M24" s="65">
        <v>0</v>
      </c>
      <c r="N24" s="65">
        <f aca="true" t="shared" si="3" ref="N24:N65">(L24+M24)/$C$14</f>
        <v>0</v>
      </c>
      <c r="O24" s="66">
        <f t="shared" si="2"/>
        <v>0</v>
      </c>
      <c r="P24" s="134">
        <f>5.48999929428101+P18</f>
        <v>5.809999294281011</v>
      </c>
      <c r="Q24" s="132"/>
      <c r="S24" s="8"/>
      <c r="T24" s="127"/>
      <c r="U24" s="378"/>
      <c r="X24" s="10"/>
      <c r="Y24" s="8"/>
      <c r="Z24" s="8"/>
      <c r="AA24" s="28">
        <f>AVERAGE(AA21:AA23)</f>
        <v>13.910055604292817</v>
      </c>
      <c r="AB24" s="9"/>
    </row>
    <row r="25" spans="1:28" ht="12.75">
      <c r="A25" s="44">
        <v>2005</v>
      </c>
      <c r="B25" s="60">
        <v>331.7466</v>
      </c>
      <c r="C25" s="70">
        <f aca="true" t="shared" si="4" ref="C25:C39">C24</f>
        <v>90.1754993855532</v>
      </c>
      <c r="D25" s="21">
        <f>(SUM($C$23:C24)/$K$13)</f>
        <v>12.88221419793617</v>
      </c>
      <c r="E25" s="71">
        <f t="shared" si="0"/>
        <v>10.59258599450792</v>
      </c>
      <c r="F25" s="65">
        <f t="shared" si="1"/>
        <v>0.40740715363491997</v>
      </c>
      <c r="G25" s="22"/>
      <c r="H25" s="65"/>
      <c r="I25" s="22"/>
      <c r="J25" s="63"/>
      <c r="K25" s="65"/>
      <c r="L25" s="65"/>
      <c r="M25" s="65">
        <v>0</v>
      </c>
      <c r="N25" s="65">
        <f t="shared" si="3"/>
        <v>0</v>
      </c>
      <c r="O25" s="66">
        <f t="shared" si="2"/>
        <v>0</v>
      </c>
      <c r="P25" s="134">
        <f>7.61536979675292+P18</f>
        <v>7.93536979675292</v>
      </c>
      <c r="Q25" s="132"/>
      <c r="S25" s="8"/>
      <c r="T25" s="127"/>
      <c r="U25" s="127"/>
      <c r="X25" s="664" t="s">
        <v>204</v>
      </c>
      <c r="Y25" s="665"/>
      <c r="Z25" s="665"/>
      <c r="AA25" s="665"/>
      <c r="AB25" s="666"/>
    </row>
    <row r="26" spans="1:28" ht="12.75">
      <c r="A26" s="44">
        <v>2006</v>
      </c>
      <c r="B26" s="60">
        <v>297.8337</v>
      </c>
      <c r="C26" s="70">
        <f t="shared" si="4"/>
        <v>90.1754993855532</v>
      </c>
      <c r="D26" s="21">
        <f>(SUM($C$23:C25)/$K$13)</f>
        <v>19.323321296904258</v>
      </c>
      <c r="E26" s="71">
        <f t="shared" si="0"/>
        <v>15.888878991761882</v>
      </c>
      <c r="F26" s="65">
        <f t="shared" si="1"/>
        <v>0.6111107304523801</v>
      </c>
      <c r="G26" s="22">
        <f aca="true" t="shared" si="5" ref="G26:G31">$Q$86</f>
        <v>30.624533888606532</v>
      </c>
      <c r="H26" s="65">
        <f aca="true" t="shared" si="6" ref="H26:H31">$Q$87</f>
        <v>0.8906562681473593</v>
      </c>
      <c r="I26" s="244">
        <f>(SUM($G$25:G25)/$K$14)+(SUM(H25:H25)/$J$16)</f>
        <v>0</v>
      </c>
      <c r="J26" s="22">
        <f aca="true" t="shared" si="7" ref="J26:J31">$Q$94</f>
        <v>5.6605458820572805</v>
      </c>
      <c r="K26" s="63">
        <f aca="true" t="shared" si="8" ref="K26:K31">$Q$89</f>
        <v>0.4227232183593606</v>
      </c>
      <c r="L26" s="65">
        <v>0</v>
      </c>
      <c r="M26" s="343">
        <v>0</v>
      </c>
      <c r="N26" s="65">
        <f t="shared" si="3"/>
        <v>0</v>
      </c>
      <c r="O26" s="414">
        <f t="shared" si="2"/>
        <v>0</v>
      </c>
      <c r="P26" s="418">
        <f>6.84958362579346+P18</f>
        <v>7.16958362579346</v>
      </c>
      <c r="Q26" s="132"/>
      <c r="S26" s="8"/>
      <c r="T26" s="127"/>
      <c r="U26" s="378"/>
      <c r="X26" s="662" t="s">
        <v>190</v>
      </c>
      <c r="Y26" s="663"/>
      <c r="Z26" s="663"/>
      <c r="AA26" s="32" t="s">
        <v>191</v>
      </c>
      <c r="AB26" s="9"/>
    </row>
    <row r="27" spans="1:36" ht="12.75">
      <c r="A27" s="44">
        <v>2007</v>
      </c>
      <c r="B27" s="60">
        <v>261.3062</v>
      </c>
      <c r="C27" s="70">
        <f t="shared" si="4"/>
        <v>90.1754993855532</v>
      </c>
      <c r="D27" s="21">
        <f>(SUM($C$23:C26)/$K$13)</f>
        <v>25.76442839587234</v>
      </c>
      <c r="E27" s="71">
        <f t="shared" si="0"/>
        <v>21.18517198901584</v>
      </c>
      <c r="F27" s="65">
        <f t="shared" si="1"/>
        <v>0.8148143072698399</v>
      </c>
      <c r="G27" s="22">
        <f t="shared" si="5"/>
        <v>30.624533888606532</v>
      </c>
      <c r="H27" s="65">
        <f t="shared" si="6"/>
        <v>0.8906562681473593</v>
      </c>
      <c r="I27" s="244">
        <f>(SUM($G$26:G26)/$K$14)+(SUM(H26:H26)/$J$16)</f>
        <v>6.570234911794985</v>
      </c>
      <c r="J27" s="22">
        <f t="shared" si="7"/>
        <v>5.6605458820572805</v>
      </c>
      <c r="K27" s="63">
        <f t="shared" si="8"/>
        <v>0.4227232183593606</v>
      </c>
      <c r="L27" s="65">
        <f>SUM($K$26:K26)/$K$14</f>
        <v>0.08454464367187212</v>
      </c>
      <c r="M27" s="343">
        <f>IF($K$14&gt;(A27-$A$27),0,(((((1-($C$15/($C$14+$C$15)))*SUM($J$26:J26)))-SUM($K$26:K26))/$K$15))</f>
        <v>0</v>
      </c>
      <c r="N27" s="11">
        <f t="shared" si="3"/>
        <v>0.0032517170643027735</v>
      </c>
      <c r="O27" s="414">
        <f t="shared" si="2"/>
        <v>0.1028192935732537</v>
      </c>
      <c r="P27" s="158">
        <f>6.13482761383057+P18</f>
        <v>6.45482761383057</v>
      </c>
      <c r="Q27" s="132"/>
      <c r="S27" s="8"/>
      <c r="T27" s="127"/>
      <c r="U27" s="379"/>
      <c r="X27" s="10"/>
      <c r="Y27" s="28">
        <f>AA21/3</f>
        <v>4.566210045662101</v>
      </c>
      <c r="Z27" s="8"/>
      <c r="AA27" s="28">
        <f>AA21-Y27</f>
        <v>9.1324200913242</v>
      </c>
      <c r="AB27" s="9"/>
      <c r="AC27" s="101"/>
      <c r="AE27" s="8"/>
      <c r="AJ27" s="131"/>
    </row>
    <row r="28" spans="1:29" ht="12.75">
      <c r="A28" s="44">
        <v>2008</v>
      </c>
      <c r="B28" s="60">
        <v>226.5474</v>
      </c>
      <c r="C28" s="70">
        <f t="shared" si="4"/>
        <v>90.1754993855532</v>
      </c>
      <c r="D28" s="21">
        <f>(SUM($C$23:C27)/$K$13)</f>
        <v>32.205535494840426</v>
      </c>
      <c r="E28" s="71">
        <f t="shared" si="0"/>
        <v>26.4814649862698</v>
      </c>
      <c r="F28" s="65">
        <f t="shared" si="1"/>
        <v>1.0185178840873</v>
      </c>
      <c r="G28" s="22">
        <f t="shared" si="5"/>
        <v>30.624533888606532</v>
      </c>
      <c r="H28" s="65">
        <f t="shared" si="6"/>
        <v>0.8906562681473593</v>
      </c>
      <c r="I28" s="244">
        <f>(SUM($G$26:G27)/$K$14)+(SUM(H26:H27)/$J$16)</f>
        <v>13.14046982358997</v>
      </c>
      <c r="J28" s="22">
        <f t="shared" si="7"/>
        <v>5.6605458820572805</v>
      </c>
      <c r="K28" s="63">
        <f t="shared" si="8"/>
        <v>0.4227232183593606</v>
      </c>
      <c r="L28" s="65">
        <f>SUM($K$26:K27)/$K$14</f>
        <v>0.16908928734374423</v>
      </c>
      <c r="M28" s="343">
        <f>IF($K$14&gt;(A28-$A$27),0,(((((1-($C$15/($C$14+$C$15)))*SUM($J$26:J27)))-SUM($K$26:K27))/$K$15))</f>
        <v>0</v>
      </c>
      <c r="N28" s="11">
        <f t="shared" si="3"/>
        <v>0.006503434128605547</v>
      </c>
      <c r="O28" s="414">
        <f t="shared" si="2"/>
        <v>0.2056385871465074</v>
      </c>
      <c r="P28" s="158">
        <f>5.77526426315308+P18</f>
        <v>6.09526426315308</v>
      </c>
      <c r="Q28" s="132"/>
      <c r="S28" s="8"/>
      <c r="T28" s="127"/>
      <c r="U28" s="379"/>
      <c r="X28" s="10"/>
      <c r="Y28" s="28">
        <f>AA22/3</f>
        <v>4.57703900229213</v>
      </c>
      <c r="Z28" s="8"/>
      <c r="AA28" s="28">
        <f>AA22-Y28</f>
        <v>9.15407800458426</v>
      </c>
      <c r="AB28" s="9"/>
      <c r="AC28" s="101"/>
    </row>
    <row r="29" spans="1:29" ht="13.5" thickBot="1">
      <c r="A29" s="44">
        <v>2009</v>
      </c>
      <c r="B29" s="60">
        <v>197.3254</v>
      </c>
      <c r="C29" s="70">
        <f t="shared" si="4"/>
        <v>90.1754993855532</v>
      </c>
      <c r="D29" s="21">
        <f aca="true" t="shared" si="9" ref="D29:D39">(SUM(C23:C28)/$K$13)</f>
        <v>38.64664259380851</v>
      </c>
      <c r="E29" s="71">
        <f t="shared" si="0"/>
        <v>31.777757983523756</v>
      </c>
      <c r="F29" s="65">
        <f t="shared" si="1"/>
        <v>1.22222146090476</v>
      </c>
      <c r="G29" s="22">
        <f t="shared" si="5"/>
        <v>30.624533888606532</v>
      </c>
      <c r="H29" s="65">
        <f t="shared" si="6"/>
        <v>0.8906562681473593</v>
      </c>
      <c r="I29" s="344">
        <f>(SUM($G$26:G28)/$K$14)+(SUM(H27:H28)/$J$16)</f>
        <v>19.265376601311278</v>
      </c>
      <c r="J29" s="22">
        <f t="shared" si="7"/>
        <v>5.6605458820572805</v>
      </c>
      <c r="K29" s="63">
        <f t="shared" si="8"/>
        <v>0.4227232183593606</v>
      </c>
      <c r="L29" s="65">
        <f>SUM($K$26:K28)/$K$14</f>
        <v>0.2536339310156164</v>
      </c>
      <c r="M29" s="343">
        <f>IF($K$14&gt;(A29-$A$27),0,(((((1-($C$15/($C$14+$C$15)))*SUM($J$26:J28)))-SUM($K$26:K28))/$K$15))</f>
        <v>0</v>
      </c>
      <c r="N29" s="11">
        <f t="shared" si="3"/>
        <v>0.009755151192908321</v>
      </c>
      <c r="O29" s="414">
        <f t="shared" si="2"/>
        <v>0.30845788071976116</v>
      </c>
      <c r="P29" s="158">
        <f>5.34388208389282+P18</f>
        <v>5.66388208389282</v>
      </c>
      <c r="Q29" s="132"/>
      <c r="S29" s="8"/>
      <c r="T29" s="127"/>
      <c r="U29" s="379"/>
      <c r="X29" s="10"/>
      <c r="Y29" s="99">
        <f>AA23/3</f>
        <v>4.766806556338586</v>
      </c>
      <c r="Z29" s="8"/>
      <c r="AA29" s="99">
        <f>AA23-Y29</f>
        <v>9.533613112677173</v>
      </c>
      <c r="AB29" s="9"/>
      <c r="AC29" s="101"/>
    </row>
    <row r="30" spans="1:29" ht="13.5" thickTop="1">
      <c r="A30" s="44">
        <v>2010</v>
      </c>
      <c r="B30" s="60">
        <v>171.4101</v>
      </c>
      <c r="C30" s="70">
        <f t="shared" si="4"/>
        <v>90.1754993855532</v>
      </c>
      <c r="D30" s="21">
        <f t="shared" si="9"/>
        <v>38.64664259380851</v>
      </c>
      <c r="E30" s="71">
        <f t="shared" si="0"/>
        <v>31.777757983523756</v>
      </c>
      <c r="F30" s="65">
        <f t="shared" si="1"/>
        <v>1.22222146090476</v>
      </c>
      <c r="G30" s="22">
        <f t="shared" si="5"/>
        <v>30.624533888606532</v>
      </c>
      <c r="H30" s="65">
        <f t="shared" si="6"/>
        <v>0.8906562681473593</v>
      </c>
      <c r="I30" s="344">
        <f>(SUM($G$26:G29)/$K$14)+(SUM(H28:H29)/$J$16)</f>
        <v>25.390283379032585</v>
      </c>
      <c r="J30" s="22">
        <f t="shared" si="7"/>
        <v>5.6605458820572805</v>
      </c>
      <c r="K30" s="63">
        <f t="shared" si="8"/>
        <v>0.4227232183593606</v>
      </c>
      <c r="L30" s="65">
        <f>SUM($K$26:K29)/$K$14</f>
        <v>0.33817857468748846</v>
      </c>
      <c r="M30" s="343">
        <f>IF($K$14&gt;(A30-$A$27),0,(((((1-($C$15/($C$14+$C$15)))*SUM($J$26:J29)))-SUM($K$26:K29))/$K$15))</f>
        <v>0</v>
      </c>
      <c r="N30" s="11">
        <f t="shared" si="3"/>
        <v>0.013006868257211094</v>
      </c>
      <c r="O30" s="414">
        <f t="shared" si="2"/>
        <v>0.4112771742930148</v>
      </c>
      <c r="P30" s="158">
        <f>5.02626657485962+P18</f>
        <v>5.34626657485962</v>
      </c>
      <c r="Q30" s="132"/>
      <c r="S30" s="8"/>
      <c r="T30" s="127"/>
      <c r="U30" s="127"/>
      <c r="X30" s="84"/>
      <c r="Y30" s="201">
        <f>AVERAGE(Y27:Y29)</f>
        <v>4.636685201430939</v>
      </c>
      <c r="Z30" s="85"/>
      <c r="AA30" s="201">
        <f>AVERAGE(AA27:AA29)</f>
        <v>9.273370402861877</v>
      </c>
      <c r="AB30" s="91"/>
      <c r="AC30" s="101"/>
    </row>
    <row r="31" spans="1:29" ht="12.75">
      <c r="A31" s="44">
        <v>2011</v>
      </c>
      <c r="B31" s="60">
        <v>149.3398</v>
      </c>
      <c r="C31" s="70">
        <f t="shared" si="4"/>
        <v>90.1754993855532</v>
      </c>
      <c r="D31" s="21">
        <f t="shared" si="9"/>
        <v>38.64664259380851</v>
      </c>
      <c r="E31" s="71">
        <f t="shared" si="0"/>
        <v>31.777757983523756</v>
      </c>
      <c r="F31" s="65">
        <f t="shared" si="1"/>
        <v>1.22222146090476</v>
      </c>
      <c r="G31" s="22">
        <f t="shared" si="5"/>
        <v>30.624533888606532</v>
      </c>
      <c r="H31" s="65">
        <f t="shared" si="6"/>
        <v>0.8906562681473593</v>
      </c>
      <c r="I31" s="344">
        <f>(SUM(G26:G30)/$K$14)+(SUM(H29:H30)/$J$16)</f>
        <v>31.515190156753892</v>
      </c>
      <c r="J31" s="22">
        <f t="shared" si="7"/>
        <v>5.6605458820572805</v>
      </c>
      <c r="K31" s="63">
        <f t="shared" si="8"/>
        <v>0.4227232183593606</v>
      </c>
      <c r="L31" s="65">
        <f>SUM(K26:K30)/$K$14</f>
        <v>0.4227232183593606</v>
      </c>
      <c r="M31" s="343">
        <f>IF($K$14&gt;(A31-$A$27),0,(((((1-($C$15/($C$14+$C$15)))*SUM($J$26:J30)))-SUM($K$26:K30))/$K$15))</f>
        <v>0</v>
      </c>
      <c r="N31" s="11">
        <f t="shared" si="3"/>
        <v>0.01625858532151387</v>
      </c>
      <c r="O31" s="414">
        <f t="shared" si="2"/>
        <v>0.5140964678662685</v>
      </c>
      <c r="P31" s="158">
        <f>4.78160524368286+P18</f>
        <v>5.101605243682861</v>
      </c>
      <c r="Q31" s="132"/>
      <c r="S31" s="8"/>
      <c r="T31" s="127"/>
      <c r="U31" s="379"/>
      <c r="AC31" s="101"/>
    </row>
    <row r="32" spans="1:30" ht="12.75">
      <c r="A32" s="44">
        <v>2012</v>
      </c>
      <c r="B32" s="60">
        <v>124.1935</v>
      </c>
      <c r="C32" s="70">
        <f t="shared" si="4"/>
        <v>90.1754993855532</v>
      </c>
      <c r="D32" s="21">
        <f t="shared" si="9"/>
        <v>38.64664259380851</v>
      </c>
      <c r="E32" s="71">
        <f t="shared" si="0"/>
        <v>31.777757983523756</v>
      </c>
      <c r="F32" s="65">
        <f t="shared" si="1"/>
        <v>1.22222146090476</v>
      </c>
      <c r="G32" s="22">
        <v>0</v>
      </c>
      <c r="H32" s="65">
        <v>0</v>
      </c>
      <c r="I32" s="344">
        <f>(SUM(G27:G31)/$K$14)+(SUM(H30:H31)/$J$16)</f>
        <v>31.515190156753892</v>
      </c>
      <c r="J32" s="22">
        <v>0</v>
      </c>
      <c r="K32" s="63">
        <v>0</v>
      </c>
      <c r="L32" s="65">
        <f aca="true" t="shared" si="10" ref="L32:L61">SUM(K27:K31)/$K$14</f>
        <v>0.4227232183593606</v>
      </c>
      <c r="M32" s="343">
        <f>IF($K$14&gt;(A32-$A$27),0,(((((1-($C$15/($C$14+$C$15)))*SUM($J$26:J26)))-SUM($K$26:K26))/$K$15))</f>
        <v>0.4701935651450078</v>
      </c>
      <c r="N32" s="11">
        <f t="shared" si="3"/>
        <v>0.03434295321170648</v>
      </c>
      <c r="O32" s="414">
        <f t="shared" si="2"/>
        <v>1.0859241805541588</v>
      </c>
      <c r="P32" s="158">
        <f>4.72159004211426+P18</f>
        <v>5.04159004211426</v>
      </c>
      <c r="Q32" s="132"/>
      <c r="S32" s="8"/>
      <c r="T32" s="127"/>
      <c r="U32" s="379"/>
      <c r="V32" s="715" t="s">
        <v>210</v>
      </c>
      <c r="W32" s="691"/>
      <c r="X32" s="691"/>
      <c r="Y32" s="691"/>
      <c r="Z32" s="691"/>
      <c r="AA32" s="691"/>
      <c r="AB32" s="691"/>
      <c r="AC32" s="716"/>
      <c r="AD32" s="133"/>
    </row>
    <row r="33" spans="1:29" ht="12.75">
      <c r="A33" s="44">
        <v>2013</v>
      </c>
      <c r="B33" s="60">
        <v>102.5846</v>
      </c>
      <c r="C33" s="70">
        <f t="shared" si="4"/>
        <v>90.1754993855532</v>
      </c>
      <c r="D33" s="21">
        <f t="shared" si="9"/>
        <v>38.64664259380851</v>
      </c>
      <c r="E33" s="71">
        <f t="shared" si="0"/>
        <v>31.777757983523756</v>
      </c>
      <c r="F33" s="65">
        <f t="shared" si="1"/>
        <v>1.22222146090476</v>
      </c>
      <c r="G33" s="22"/>
      <c r="H33" s="65"/>
      <c r="I33" s="344">
        <f aca="true" t="shared" si="11" ref="I33:I61">(SUM(G28:G32)/$K$14)+(SUM(H31:H32)/$J$16)</f>
        <v>24.944955244958905</v>
      </c>
      <c r="J33" s="22"/>
      <c r="K33" s="63"/>
      <c r="L33" s="65">
        <f t="shared" si="10"/>
        <v>0.33817857468748846</v>
      </c>
      <c r="M33" s="343">
        <f>IF($K$14&gt;(A33-$A$27),0,(((((1-($C$15/($C$14+$C$15)))*SUM($J$26:J27)))-SUM($K$26:K27))/$K$15))</f>
        <v>0.9403871302900156</v>
      </c>
      <c r="N33" s="11">
        <f t="shared" si="3"/>
        <v>0.04917560403759631</v>
      </c>
      <c r="O33" s="414">
        <f t="shared" si="2"/>
        <v>1.5549325996687955</v>
      </c>
      <c r="P33" s="158">
        <f>4.79849672317505+P18</f>
        <v>5.11849672317505</v>
      </c>
      <c r="Q33" s="132"/>
      <c r="S33" s="8"/>
      <c r="T33" s="127"/>
      <c r="U33" s="379"/>
      <c r="V33" s="43" t="s">
        <v>159</v>
      </c>
      <c r="W33" s="8" t="s">
        <v>160</v>
      </c>
      <c r="X33" s="12" t="s">
        <v>173</v>
      </c>
      <c r="Y33" s="12" t="s">
        <v>174</v>
      </c>
      <c r="Z33" s="8"/>
      <c r="AA33" s="8"/>
      <c r="AB33" s="8"/>
      <c r="AC33" s="172"/>
    </row>
    <row r="34" spans="1:29" ht="12.75">
      <c r="A34" s="44">
        <v>2014</v>
      </c>
      <c r="B34" s="73">
        <v>84.7355147987616</v>
      </c>
      <c r="C34" s="70">
        <f t="shared" si="4"/>
        <v>90.1754993855532</v>
      </c>
      <c r="D34" s="21">
        <f t="shared" si="9"/>
        <v>38.64664259380851</v>
      </c>
      <c r="E34" s="71">
        <f t="shared" si="0"/>
        <v>31.777757983523756</v>
      </c>
      <c r="F34" s="65">
        <f t="shared" si="1"/>
        <v>1.22222146090476</v>
      </c>
      <c r="G34" s="22"/>
      <c r="H34" s="65"/>
      <c r="I34" s="344">
        <f t="shared" si="11"/>
        <v>18.374720333163918</v>
      </c>
      <c r="J34" s="22"/>
      <c r="K34" s="63"/>
      <c r="L34" s="65">
        <f t="shared" si="10"/>
        <v>0.2536339310156164</v>
      </c>
      <c r="M34" s="343">
        <f>IF($K$14&gt;(A34-$A$27),0,(((((1-($C$15/($C$14+$C$15)))*SUM($J$26:J28)))-SUM($K$26:K28))/$K$15))</f>
        <v>1.4105806954350233</v>
      </c>
      <c r="N34" s="11">
        <f t="shared" si="3"/>
        <v>0.06400825486348614</v>
      </c>
      <c r="O34" s="414">
        <f t="shared" si="2"/>
        <v>2.023941018783432</v>
      </c>
      <c r="P34" s="158">
        <f>4.7062349319458+P18</f>
        <v>5.0262349319458</v>
      </c>
      <c r="Q34" s="132"/>
      <c r="S34" s="8"/>
      <c r="T34" s="127"/>
      <c r="U34" s="379"/>
      <c r="V34" s="141">
        <f>(H6*W70*M10+K6*W75*(1-M10))</f>
        <v>7.689256707860828</v>
      </c>
      <c r="W34" s="25">
        <f>H7*M10+K6*W75*(1-M10)</f>
        <v>10.383859899907904</v>
      </c>
      <c r="X34" s="25">
        <f>H7*M10+K6*W75*(1-M10)</f>
        <v>10.383859899907904</v>
      </c>
      <c r="Y34" s="28">
        <f>H7*M10</f>
        <v>7</v>
      </c>
      <c r="Z34" s="699" t="s">
        <v>175</v>
      </c>
      <c r="AA34" s="699"/>
      <c r="AB34" s="699"/>
      <c r="AC34" s="703"/>
    </row>
    <row r="35" spans="1:29" ht="12.75">
      <c r="A35" s="44">
        <v>2015</v>
      </c>
      <c r="B35" s="73">
        <v>69.9920599018873</v>
      </c>
      <c r="C35" s="70">
        <f t="shared" si="4"/>
        <v>90.1754993855532</v>
      </c>
      <c r="D35" s="21">
        <f t="shared" si="9"/>
        <v>38.64664259380851</v>
      </c>
      <c r="E35" s="71">
        <f t="shared" si="0"/>
        <v>31.777757983523756</v>
      </c>
      <c r="F35" s="65">
        <f t="shared" si="1"/>
        <v>1.22222146090476</v>
      </c>
      <c r="G35" s="22"/>
      <c r="H35" s="65"/>
      <c r="I35" s="344">
        <f t="shared" si="11"/>
        <v>12.249813555442612</v>
      </c>
      <c r="J35" s="22"/>
      <c r="K35" s="63"/>
      <c r="L35" s="65">
        <f t="shared" si="10"/>
        <v>0.16908928734374423</v>
      </c>
      <c r="M35" s="343">
        <f>IF($K$14&gt;(A35-$A$27),0,(((((1-($C$15/($C$14+$C$15)))*SUM($J$26:J29)))-SUM($K$26:K29))/$K$15))</f>
        <v>1.8807742605800313</v>
      </c>
      <c r="N35" s="11">
        <f t="shared" si="3"/>
        <v>0.07884090568937598</v>
      </c>
      <c r="O35" s="414">
        <f t="shared" si="2"/>
        <v>2.4929494378980683</v>
      </c>
      <c r="P35" s="158">
        <f>4.52080202102661+P18</f>
        <v>4.840802021026611</v>
      </c>
      <c r="Q35" s="132"/>
      <c r="S35" s="8"/>
      <c r="T35" s="127"/>
      <c r="U35" s="127"/>
      <c r="V35" s="10"/>
      <c r="W35" s="8"/>
      <c r="X35" s="12" t="s">
        <v>105</v>
      </c>
      <c r="Y35" s="12"/>
      <c r="Z35" s="699" t="s">
        <v>105</v>
      </c>
      <c r="AA35" s="699"/>
      <c r="AB35" s="699" t="s">
        <v>105</v>
      </c>
      <c r="AC35" s="703"/>
    </row>
    <row r="36" spans="1:29" ht="12.75">
      <c r="A36" s="44">
        <v>2016</v>
      </c>
      <c r="B36" s="73">
        <v>57.8138748663267</v>
      </c>
      <c r="C36" s="70">
        <f t="shared" si="4"/>
        <v>90.1754993855532</v>
      </c>
      <c r="D36" s="21">
        <f t="shared" si="9"/>
        <v>38.64664259380851</v>
      </c>
      <c r="E36" s="71">
        <f t="shared" si="0"/>
        <v>31.777757983523756</v>
      </c>
      <c r="F36" s="65">
        <f t="shared" si="1"/>
        <v>1.22222146090476</v>
      </c>
      <c r="G36" s="22"/>
      <c r="H36" s="65"/>
      <c r="I36" s="344">
        <f t="shared" si="11"/>
        <v>6.124906777721306</v>
      </c>
      <c r="J36" s="22"/>
      <c r="K36" s="63"/>
      <c r="L36" s="65">
        <f t="shared" si="10"/>
        <v>0.08454464367187212</v>
      </c>
      <c r="M36" s="343">
        <f>IF($K$14&gt;(A36-$A$27),0,(((((1-($C$15/($C$14+$C$15)))*SUM($J$26:J30)))-SUM($K$26:K30))/$K$15))</f>
        <v>2.350967825725039</v>
      </c>
      <c r="N36" s="11">
        <f t="shared" si="3"/>
        <v>0.0936735565152658</v>
      </c>
      <c r="O36" s="414">
        <f t="shared" si="2"/>
        <v>2.9619578570127043</v>
      </c>
      <c r="P36" s="158">
        <f>4.4622163772583+P18</f>
        <v>4.7822163772583</v>
      </c>
      <c r="Q36" s="132"/>
      <c r="S36" s="8"/>
      <c r="T36" s="127"/>
      <c r="U36" s="379"/>
      <c r="V36" s="10" t="s">
        <v>139</v>
      </c>
      <c r="W36" s="8"/>
      <c r="X36" s="85" t="s">
        <v>125</v>
      </c>
      <c r="Y36" s="85" t="s">
        <v>186</v>
      </c>
      <c r="Z36" s="85" t="s">
        <v>125</v>
      </c>
      <c r="AA36" s="85" t="s">
        <v>186</v>
      </c>
      <c r="AB36" s="85" t="s">
        <v>125</v>
      </c>
      <c r="AC36" s="91" t="s">
        <v>186</v>
      </c>
    </row>
    <row r="37" spans="1:29" ht="12.75">
      <c r="A37" s="44">
        <v>2017</v>
      </c>
      <c r="B37" s="73">
        <v>47.7546186202352</v>
      </c>
      <c r="C37" s="70">
        <f t="shared" si="4"/>
        <v>90.1754993855532</v>
      </c>
      <c r="D37" s="21">
        <f t="shared" si="9"/>
        <v>38.64664259380851</v>
      </c>
      <c r="E37" s="71">
        <f t="shared" si="0"/>
        <v>31.777757983523756</v>
      </c>
      <c r="F37" s="65">
        <f t="shared" si="1"/>
        <v>1.22222146090476</v>
      </c>
      <c r="G37" s="22"/>
      <c r="H37" s="65"/>
      <c r="I37" s="344">
        <f t="shared" si="11"/>
        <v>0</v>
      </c>
      <c r="J37" s="22"/>
      <c r="K37" s="63"/>
      <c r="L37" s="65">
        <f t="shared" si="10"/>
        <v>0</v>
      </c>
      <c r="M37" s="343">
        <f>IF($K$14&gt;(A37-$A$27),0,(((((1-($C$15/($C$14+$C$15)))*SUM($J$26:J31)))-SUM($K$26:K31))/$K$15))</f>
        <v>2.8211613908700466</v>
      </c>
      <c r="N37" s="11">
        <f t="shared" si="3"/>
        <v>0.10850620734115564</v>
      </c>
      <c r="O37" s="414">
        <f t="shared" si="2"/>
        <v>3.430966276127341</v>
      </c>
      <c r="P37" s="158">
        <f>4.52901649475098+P18</f>
        <v>4.84901649475098</v>
      </c>
      <c r="Q37" s="8"/>
      <c r="S37" s="8"/>
      <c r="T37" s="127"/>
      <c r="U37" s="379"/>
      <c r="V37" s="10" t="s">
        <v>162</v>
      </c>
      <c r="W37" s="8"/>
      <c r="X37" s="25">
        <f>P8*AB17</f>
        <v>0.3967787453184128</v>
      </c>
      <c r="Y37" s="173">
        <f>X37*M10</f>
        <v>0.07935574906368256</v>
      </c>
      <c r="Z37" s="8"/>
      <c r="AA37" s="8"/>
      <c r="AB37" s="8"/>
      <c r="AC37" s="9"/>
    </row>
    <row r="38" spans="1:29" ht="12.75">
      <c r="A38" s="44">
        <v>2018</v>
      </c>
      <c r="B38" s="73">
        <v>39.4456106745472</v>
      </c>
      <c r="C38" s="70">
        <f t="shared" si="4"/>
        <v>90.1754993855532</v>
      </c>
      <c r="D38" s="21">
        <f t="shared" si="9"/>
        <v>38.64664259380851</v>
      </c>
      <c r="E38" s="71">
        <f t="shared" si="0"/>
        <v>31.777757983523756</v>
      </c>
      <c r="F38" s="65">
        <f t="shared" si="1"/>
        <v>1.22222146090476</v>
      </c>
      <c r="G38" s="22"/>
      <c r="H38" s="65"/>
      <c r="I38" s="344">
        <f t="shared" si="11"/>
        <v>0</v>
      </c>
      <c r="J38" s="22"/>
      <c r="K38" s="63"/>
      <c r="L38" s="65">
        <f t="shared" si="10"/>
        <v>0</v>
      </c>
      <c r="M38" s="343">
        <f>IF($K$14&gt;(A38-$A$27),0,(((((1-($C$15/($C$14+$C$15)))*SUM($J$26:J32)))-SUM($K$26:K32))/$K$15))</f>
        <v>2.8211613908700466</v>
      </c>
      <c r="N38" s="11">
        <f t="shared" si="3"/>
        <v>0.10850620734115564</v>
      </c>
      <c r="O38" s="414">
        <f t="shared" si="2"/>
        <v>3.430966276127341</v>
      </c>
      <c r="P38" s="158">
        <f>4.70654726028442+P18</f>
        <v>5.026547260284421</v>
      </c>
      <c r="Q38" s="8"/>
      <c r="S38" s="8"/>
      <c r="T38" s="127"/>
      <c r="U38" s="379"/>
      <c r="V38" s="10" t="s">
        <v>208</v>
      </c>
      <c r="W38" s="8"/>
      <c r="X38" s="25">
        <f>R8*AB17</f>
        <v>1.4439847489441773</v>
      </c>
      <c r="Y38" s="173">
        <f>X38*M10</f>
        <v>0.28879694978883547</v>
      </c>
      <c r="Z38" s="95">
        <f>(W34/V34)*X38</f>
        <v>1.9500110219120819</v>
      </c>
      <c r="AA38" s="8"/>
      <c r="AB38" s="95">
        <f>IF(X34=0,0,Z38*(Y34/X34))</f>
        <v>1.3145475078593498</v>
      </c>
      <c r="AC38" s="9"/>
    </row>
    <row r="39" spans="1:29" ht="12.75">
      <c r="A39" s="44">
        <v>2019</v>
      </c>
      <c r="B39" s="73">
        <f>B38*(B38/B37)</f>
        <v>32.582318662443306</v>
      </c>
      <c r="C39" s="70">
        <f t="shared" si="4"/>
        <v>90.1754993855532</v>
      </c>
      <c r="D39" s="21">
        <f t="shared" si="9"/>
        <v>38.64664259380851</v>
      </c>
      <c r="E39" s="71">
        <f t="shared" si="0"/>
        <v>31.777757983523756</v>
      </c>
      <c r="F39" s="65">
        <f t="shared" si="1"/>
        <v>1.22222146090476</v>
      </c>
      <c r="G39" s="22"/>
      <c r="H39" s="65"/>
      <c r="I39" s="344">
        <f t="shared" si="11"/>
        <v>0</v>
      </c>
      <c r="J39" s="22"/>
      <c r="K39" s="63"/>
      <c r="L39" s="65">
        <f t="shared" si="10"/>
        <v>0</v>
      </c>
      <c r="M39" s="343">
        <f>IF($K$14&gt;(A39-$A$27),0,(((((1-($C$15/($C$14+$C$15)))*SUM($J$26:J33)))-SUM($K$26:K33))/$K$15))</f>
        <v>2.8211613908700466</v>
      </c>
      <c r="N39" s="11">
        <f t="shared" si="3"/>
        <v>0.10850620734115564</v>
      </c>
      <c r="O39" s="414">
        <f t="shared" si="2"/>
        <v>3.430966276127341</v>
      </c>
      <c r="P39" s="158">
        <f>4.84989643096924+P18</f>
        <v>5.16989643096924</v>
      </c>
      <c r="Q39" s="8"/>
      <c r="S39" s="8"/>
      <c r="T39" s="127"/>
      <c r="U39" s="379"/>
      <c r="V39" s="10" t="s">
        <v>158</v>
      </c>
      <c r="W39" s="8"/>
      <c r="X39" s="25">
        <f>Z38-X38</f>
        <v>0.5060262729679046</v>
      </c>
      <c r="Y39" s="174"/>
      <c r="Z39" s="95"/>
      <c r="AA39" s="8"/>
      <c r="AB39" s="95"/>
      <c r="AC39" s="9"/>
    </row>
    <row r="40" spans="1:29" ht="12.75">
      <c r="A40" s="44">
        <v>2020</v>
      </c>
      <c r="B40" s="73">
        <f aca="true" t="shared" si="12" ref="B40:B55">B39*(B39/B38)</f>
        <v>26.913196963281333</v>
      </c>
      <c r="C40" s="70">
        <f aca="true" t="shared" si="13" ref="C40:C55">C39</f>
        <v>90.1754993855532</v>
      </c>
      <c r="D40" s="21">
        <f aca="true" t="shared" si="14" ref="D40:D55">(SUM(C34:C39)/$K$13)</f>
        <v>38.64664259380851</v>
      </c>
      <c r="E40" s="71">
        <f t="shared" si="0"/>
        <v>31.777757983523756</v>
      </c>
      <c r="F40" s="65">
        <f t="shared" si="1"/>
        <v>1.22222146090476</v>
      </c>
      <c r="G40" s="22"/>
      <c r="H40" s="65"/>
      <c r="I40" s="344">
        <f t="shared" si="11"/>
        <v>0</v>
      </c>
      <c r="J40" s="22"/>
      <c r="K40" s="63"/>
      <c r="L40" s="65">
        <f t="shared" si="10"/>
        <v>0</v>
      </c>
      <c r="M40" s="343">
        <f>IF($K$14&gt;(A40-$A$27),0,(((((1-($C$15/($C$14+$C$15)))*SUM(J26:J34)))-SUM(K26:K34))/$K$15))</f>
        <v>2.8211613908700466</v>
      </c>
      <c r="N40" s="28">
        <f t="shared" si="3"/>
        <v>0.10850620734115564</v>
      </c>
      <c r="O40" s="414">
        <f t="shared" si="2"/>
        <v>3.430966276127341</v>
      </c>
      <c r="P40" s="158">
        <f>4.89875411987305+P18</f>
        <v>5.218754119873051</v>
      </c>
      <c r="Q40" s="8"/>
      <c r="S40" s="8"/>
      <c r="T40" s="127"/>
      <c r="U40" s="127"/>
      <c r="V40" s="207" t="s">
        <v>161</v>
      </c>
      <c r="W40" s="8"/>
      <c r="X40" s="95">
        <f>X39*(AA48/AA46)</f>
        <v>0.36241695023405696</v>
      </c>
      <c r="Y40" s="208">
        <f>X40*M10</f>
        <v>0.0724833900468114</v>
      </c>
      <c r="Z40" s="95">
        <f>Z38*AA49</f>
        <v>1.6541074600393617</v>
      </c>
      <c r="AA40" s="95">
        <f>Z40*M10</f>
        <v>0.33082149200787236</v>
      </c>
      <c r="AB40" s="95">
        <f>AB38*AA49</f>
        <v>1.1150720764614923</v>
      </c>
      <c r="AC40" s="209">
        <f>AB40*M10</f>
        <v>0.22301441529229848</v>
      </c>
    </row>
    <row r="41" spans="1:29" ht="12.75">
      <c r="A41" s="44">
        <v>2021</v>
      </c>
      <c r="B41" s="73">
        <f t="shared" si="12"/>
        <v>22.230467336852808</v>
      </c>
      <c r="C41" s="70">
        <f t="shared" si="13"/>
        <v>90.1754993855532</v>
      </c>
      <c r="D41" s="21">
        <f t="shared" si="14"/>
        <v>38.64664259380851</v>
      </c>
      <c r="E41" s="71">
        <f t="shared" si="0"/>
        <v>31.777757983523756</v>
      </c>
      <c r="F41" s="65">
        <f t="shared" si="1"/>
        <v>1.22222146090476</v>
      </c>
      <c r="G41" s="22"/>
      <c r="H41" s="65"/>
      <c r="I41" s="344">
        <f t="shared" si="11"/>
        <v>0</v>
      </c>
      <c r="J41" s="22"/>
      <c r="K41" s="63"/>
      <c r="L41" s="65">
        <f t="shared" si="10"/>
        <v>0</v>
      </c>
      <c r="M41" s="343">
        <f aca="true" t="shared" si="15" ref="M41:M65">IF($K$14&gt;(A41-$A$27),0,(((((1-($C$15/($C$14+$C$15)))*SUM(J27:J35)))-SUM(K27:K35))/$K$15))</f>
        <v>2.350967825725039</v>
      </c>
      <c r="N41" s="28">
        <f t="shared" si="3"/>
        <v>0.09042183945096303</v>
      </c>
      <c r="O41" s="414">
        <f t="shared" si="2"/>
        <v>2.8591385634394513</v>
      </c>
      <c r="P41" s="158">
        <f>5.033616065979+P18</f>
        <v>5.353616065979001</v>
      </c>
      <c r="Q41" s="8"/>
      <c r="S41" s="127"/>
      <c r="T41" s="127"/>
      <c r="U41" s="8"/>
      <c r="V41" s="10"/>
      <c r="W41" s="142">
        <v>0.07</v>
      </c>
      <c r="X41" s="113">
        <f>X40/X39</f>
        <v>0.7162018448339416</v>
      </c>
      <c r="Y41" s="8"/>
      <c r="Z41" s="8"/>
      <c r="AA41" s="8"/>
      <c r="AB41" s="8"/>
      <c r="AC41" s="9"/>
    </row>
    <row r="42" spans="1:29" ht="12.75">
      <c r="A42" s="44">
        <v>2022</v>
      </c>
      <c r="B42" s="73">
        <f t="shared" si="12"/>
        <v>18.362503670192964</v>
      </c>
      <c r="C42" s="70">
        <f t="shared" si="13"/>
        <v>90.1754993855532</v>
      </c>
      <c r="D42" s="21">
        <f t="shared" si="14"/>
        <v>38.64664259380851</v>
      </c>
      <c r="E42" s="71">
        <f t="shared" si="0"/>
        <v>31.777757983523756</v>
      </c>
      <c r="F42" s="65">
        <f t="shared" si="1"/>
        <v>1.22222146090476</v>
      </c>
      <c r="G42" s="22"/>
      <c r="H42" s="65"/>
      <c r="I42" s="344">
        <f t="shared" si="11"/>
        <v>0</v>
      </c>
      <c r="J42" s="22"/>
      <c r="K42" s="63"/>
      <c r="L42" s="65">
        <f t="shared" si="10"/>
        <v>0</v>
      </c>
      <c r="M42" s="343">
        <f t="shared" si="15"/>
        <v>1.8807742605800313</v>
      </c>
      <c r="N42" s="28">
        <f t="shared" si="3"/>
        <v>0.07233747156077043</v>
      </c>
      <c r="O42" s="414">
        <f>L42+M42+$C$15*N42</f>
        <v>2.287310850751561</v>
      </c>
      <c r="P42" s="158">
        <f>5.11650991439819+P18</f>
        <v>5.43650991439819</v>
      </c>
      <c r="Q42" s="8"/>
      <c r="S42" s="127"/>
      <c r="T42" s="127"/>
      <c r="V42" s="10"/>
      <c r="W42" s="715" t="s">
        <v>187</v>
      </c>
      <c r="X42" s="691"/>
      <c r="Y42" s="691"/>
      <c r="Z42" s="691"/>
      <c r="AA42" s="716"/>
      <c r="AB42" s="133"/>
      <c r="AC42" s="9"/>
    </row>
    <row r="43" spans="1:29" ht="12.75">
      <c r="A43" s="44">
        <v>2023</v>
      </c>
      <c r="B43" s="73">
        <f t="shared" si="12"/>
        <v>15.167541731292513</v>
      </c>
      <c r="C43" s="70">
        <f t="shared" si="13"/>
        <v>90.1754993855532</v>
      </c>
      <c r="D43" s="21">
        <f t="shared" si="14"/>
        <v>38.64664259380851</v>
      </c>
      <c r="E43" s="71">
        <f t="shared" si="0"/>
        <v>31.777757983523756</v>
      </c>
      <c r="F43" s="65">
        <f t="shared" si="1"/>
        <v>1.22222146090476</v>
      </c>
      <c r="G43" s="22"/>
      <c r="H43" s="65"/>
      <c r="I43" s="344">
        <f t="shared" si="11"/>
        <v>0</v>
      </c>
      <c r="J43" s="22"/>
      <c r="K43" s="63"/>
      <c r="L43" s="65">
        <f t="shared" si="10"/>
        <v>0</v>
      </c>
      <c r="M43" s="343">
        <f t="shared" si="15"/>
        <v>1.4105806954350233</v>
      </c>
      <c r="N43" s="28">
        <f t="shared" si="3"/>
        <v>0.05425310367057782</v>
      </c>
      <c r="O43" s="414">
        <f t="shared" si="2"/>
        <v>1.7154831380636706</v>
      </c>
      <c r="P43" s="158">
        <f>5.18848466873169+P18</f>
        <v>5.508484668731691</v>
      </c>
      <c r="Q43" s="8"/>
      <c r="S43" s="127"/>
      <c r="T43" s="127"/>
      <c r="V43" s="10"/>
      <c r="W43" s="12" t="s">
        <v>184</v>
      </c>
      <c r="X43" s="8"/>
      <c r="Y43" s="8"/>
      <c r="Z43" s="8"/>
      <c r="AA43" s="173"/>
      <c r="AB43" s="173"/>
      <c r="AC43" s="9"/>
    </row>
    <row r="44" spans="1:29" ht="12.75">
      <c r="A44" s="44">
        <v>2024</v>
      </c>
      <c r="B44" s="73">
        <f t="shared" si="12"/>
        <v>12.52848338671468</v>
      </c>
      <c r="C44" s="70">
        <f t="shared" si="13"/>
        <v>90.1754993855532</v>
      </c>
      <c r="D44" s="21">
        <f t="shared" si="14"/>
        <v>38.64664259380851</v>
      </c>
      <c r="E44" s="71">
        <f t="shared" si="0"/>
        <v>31.777757983523756</v>
      </c>
      <c r="F44" s="65">
        <f t="shared" si="1"/>
        <v>1.22222146090476</v>
      </c>
      <c r="G44" s="22"/>
      <c r="H44" s="65"/>
      <c r="I44" s="344">
        <f t="shared" si="11"/>
        <v>0</v>
      </c>
      <c r="J44" s="22"/>
      <c r="K44" s="63"/>
      <c r="L44" s="65">
        <f t="shared" si="10"/>
        <v>0</v>
      </c>
      <c r="M44" s="343">
        <f t="shared" si="15"/>
        <v>0.9403871302900156</v>
      </c>
      <c r="N44" s="28">
        <f t="shared" si="3"/>
        <v>0.036168735780385215</v>
      </c>
      <c r="O44" s="414">
        <f t="shared" si="2"/>
        <v>1.1436554253757805</v>
      </c>
      <c r="P44" s="158">
        <f>5.30436992645264+P18</f>
        <v>5.6243699264526406</v>
      </c>
      <c r="Q44" s="8"/>
      <c r="S44" s="127"/>
      <c r="T44" s="127"/>
      <c r="V44" s="10"/>
      <c r="W44" s="12">
        <v>1</v>
      </c>
      <c r="X44" s="25">
        <f>35/Y29</f>
        <v>7.342441860465116</v>
      </c>
      <c r="Y44" s="25">
        <f>X44</f>
        <v>7.342441860465116</v>
      </c>
      <c r="Z44" s="25">
        <f>X44/(1+$W$41)^(W44-0.5)</f>
        <v>7.098206465207957</v>
      </c>
      <c r="AA44" s="12">
        <v>35</v>
      </c>
      <c r="AB44" s="67">
        <v>25</v>
      </c>
      <c r="AC44" s="9"/>
    </row>
    <row r="45" spans="1:29" ht="12.75">
      <c r="A45" s="44">
        <v>2025</v>
      </c>
      <c r="B45" s="73">
        <f t="shared" si="12"/>
        <v>10.348604853174848</v>
      </c>
      <c r="C45" s="70">
        <f t="shared" si="13"/>
        <v>90.1754993855532</v>
      </c>
      <c r="D45" s="21">
        <f t="shared" si="14"/>
        <v>38.64664259380851</v>
      </c>
      <c r="E45" s="71">
        <f t="shared" si="0"/>
        <v>31.777757983523756</v>
      </c>
      <c r="F45" s="65">
        <f t="shared" si="1"/>
        <v>1.22222146090476</v>
      </c>
      <c r="G45" s="22"/>
      <c r="H45" s="65"/>
      <c r="I45" s="344">
        <f t="shared" si="11"/>
        <v>0</v>
      </c>
      <c r="J45" s="22"/>
      <c r="K45" s="63"/>
      <c r="L45" s="65">
        <f t="shared" si="10"/>
        <v>0</v>
      </c>
      <c r="M45" s="343">
        <f t="shared" si="15"/>
        <v>0.4701935651450078</v>
      </c>
      <c r="N45" s="28">
        <f t="shared" si="3"/>
        <v>0.018084367890192608</v>
      </c>
      <c r="O45" s="414">
        <f t="shared" si="2"/>
        <v>0.5718277126878902</v>
      </c>
      <c r="P45" s="419">
        <f>5.43312168121338+P18</f>
        <v>5.75312168121338</v>
      </c>
      <c r="Q45" s="8"/>
      <c r="S45" s="127"/>
      <c r="T45" s="127"/>
      <c r="V45" s="10"/>
      <c r="W45" s="12">
        <v>2</v>
      </c>
      <c r="X45" s="25">
        <f>X44</f>
        <v>7.342441860465116</v>
      </c>
      <c r="Y45" s="25">
        <f>Y44+X45</f>
        <v>14.684883720930232</v>
      </c>
      <c r="Z45" s="25">
        <f>X45/(1+$W$41)^(W45-0.5)</f>
        <v>6.633837817951361</v>
      </c>
      <c r="AA45" s="12">
        <v>10</v>
      </c>
      <c r="AB45" s="28">
        <f>SUM(Z44:Z46)+AB47</f>
        <v>23.380272592257647</v>
      </c>
      <c r="AC45" s="9"/>
    </row>
    <row r="46" spans="1:29" ht="12.75">
      <c r="A46" s="44">
        <v>2026</v>
      </c>
      <c r="B46" s="73">
        <f t="shared" si="12"/>
        <v>8.54801168677105</v>
      </c>
      <c r="C46" s="70">
        <f t="shared" si="13"/>
        <v>90.1754993855532</v>
      </c>
      <c r="D46" s="21">
        <f t="shared" si="14"/>
        <v>38.64664259380851</v>
      </c>
      <c r="E46" s="71">
        <f t="shared" si="0"/>
        <v>31.777757983523756</v>
      </c>
      <c r="F46" s="65">
        <f t="shared" si="1"/>
        <v>1.22222146090476</v>
      </c>
      <c r="G46" s="22"/>
      <c r="H46" s="65"/>
      <c r="I46" s="344">
        <f t="shared" si="11"/>
        <v>0</v>
      </c>
      <c r="J46" s="22"/>
      <c r="K46" s="63"/>
      <c r="L46" s="65">
        <f t="shared" si="10"/>
        <v>0</v>
      </c>
      <c r="M46" s="343">
        <f t="shared" si="15"/>
        <v>0</v>
      </c>
      <c r="N46" s="28">
        <f t="shared" si="3"/>
        <v>0</v>
      </c>
      <c r="O46" s="414">
        <f t="shared" si="2"/>
        <v>0</v>
      </c>
      <c r="P46" s="380">
        <f>5.5137186050415+P18</f>
        <v>5.833718605041501</v>
      </c>
      <c r="Q46" s="8"/>
      <c r="S46" s="127"/>
      <c r="T46" s="127"/>
      <c r="V46" s="10"/>
      <c r="W46" s="12">
        <v>3</v>
      </c>
      <c r="X46" s="25">
        <f>X45</f>
        <v>7.342441860465116</v>
      </c>
      <c r="Y46" s="25">
        <f>Y45+X46</f>
        <v>22.02732558139535</v>
      </c>
      <c r="Z46" s="25">
        <f>X46/(1+$W$41)^(W46-0.5)</f>
        <v>6.199848427991926</v>
      </c>
      <c r="AA46" s="131">
        <f>AA45/AA44</f>
        <v>0.2857142857142857</v>
      </c>
      <c r="AB46" s="131">
        <f>AB45/AB44</f>
        <v>0.9352109036903059</v>
      </c>
      <c r="AC46" s="9"/>
    </row>
    <row r="47" spans="1:29" ht="12.75">
      <c r="A47" s="44">
        <v>2027</v>
      </c>
      <c r="B47" s="73">
        <f t="shared" si="12"/>
        <v>7.06071058213782</v>
      </c>
      <c r="C47" s="70">
        <f t="shared" si="13"/>
        <v>90.1754993855532</v>
      </c>
      <c r="D47" s="21">
        <f t="shared" si="14"/>
        <v>38.64664259380851</v>
      </c>
      <c r="E47" s="71">
        <f t="shared" si="0"/>
        <v>31.777757983523756</v>
      </c>
      <c r="F47" s="65">
        <f t="shared" si="1"/>
        <v>1.22222146090476</v>
      </c>
      <c r="G47" s="22"/>
      <c r="H47" s="65"/>
      <c r="I47" s="344">
        <f t="shared" si="11"/>
        <v>0</v>
      </c>
      <c r="J47" s="22"/>
      <c r="K47" s="63"/>
      <c r="L47" s="65">
        <f t="shared" si="10"/>
        <v>0</v>
      </c>
      <c r="M47" s="343">
        <f t="shared" si="15"/>
        <v>0</v>
      </c>
      <c r="N47" s="28">
        <f t="shared" si="3"/>
        <v>0</v>
      </c>
      <c r="O47" s="414">
        <f t="shared" si="2"/>
        <v>0</v>
      </c>
      <c r="P47" s="380">
        <f>5.61260366439819+P18</f>
        <v>5.93260366439819</v>
      </c>
      <c r="Q47" s="8"/>
      <c r="S47" s="127"/>
      <c r="T47" s="127"/>
      <c r="V47" s="10"/>
      <c r="W47" s="12">
        <v>4</v>
      </c>
      <c r="X47" s="25">
        <f>X46</f>
        <v>7.342441860465116</v>
      </c>
      <c r="Y47" s="25">
        <f>Y46+X47</f>
        <v>29.369767441860464</v>
      </c>
      <c r="Z47" s="25">
        <f>X47/(1+$W$41)^(W47-0.5)</f>
        <v>5.794250867282173</v>
      </c>
      <c r="AA47" s="8"/>
      <c r="AB47" s="206">
        <f>((X47-(25-SUM(X44:X46)))/X47)*Z47</f>
        <v>3.4483798811064066</v>
      </c>
      <c r="AC47" s="9"/>
    </row>
    <row r="48" spans="1:29" ht="12.75">
      <c r="A48" s="44">
        <v>2028</v>
      </c>
      <c r="B48" s="73">
        <f t="shared" si="12"/>
        <v>5.832190660416007</v>
      </c>
      <c r="C48" s="70">
        <f t="shared" si="13"/>
        <v>90.1754993855532</v>
      </c>
      <c r="D48" s="21">
        <f t="shared" si="14"/>
        <v>38.64664259380851</v>
      </c>
      <c r="E48" s="71">
        <f t="shared" si="0"/>
        <v>31.777757983523756</v>
      </c>
      <c r="F48" s="65">
        <f t="shared" si="1"/>
        <v>1.22222146090476</v>
      </c>
      <c r="G48" s="22"/>
      <c r="H48" s="65"/>
      <c r="I48" s="344">
        <f t="shared" si="11"/>
        <v>0</v>
      </c>
      <c r="J48" s="22"/>
      <c r="K48" s="63"/>
      <c r="L48" s="65">
        <f t="shared" si="10"/>
        <v>0</v>
      </c>
      <c r="M48" s="343">
        <f t="shared" si="15"/>
        <v>0</v>
      </c>
      <c r="N48" s="28">
        <f t="shared" si="3"/>
        <v>0</v>
      </c>
      <c r="O48" s="414">
        <f t="shared" si="2"/>
        <v>0</v>
      </c>
      <c r="P48" s="380">
        <f>5.67089939117432+P18</f>
        <v>5.99089939117432</v>
      </c>
      <c r="Q48" s="8"/>
      <c r="S48" s="127"/>
      <c r="T48" s="127"/>
      <c r="V48" s="10"/>
      <c r="W48" s="12">
        <v>5</v>
      </c>
      <c r="X48" s="25">
        <f>X47</f>
        <v>7.342441860465116</v>
      </c>
      <c r="Y48" s="25">
        <f>Y47+X48</f>
        <v>36.71220930232558</v>
      </c>
      <c r="Z48" s="25">
        <f>X48/(1+$W$41)^(W48-0.5)</f>
        <v>5.415187726431936</v>
      </c>
      <c r="AA48" s="175">
        <f>((((10-X47)/X47)*Z47)+Z48)/X49</f>
        <v>0.20462909852398328</v>
      </c>
      <c r="AB48" s="8"/>
      <c r="AC48" s="9"/>
    </row>
    <row r="49" spans="1:29" ht="12.75">
      <c r="A49" s="44">
        <v>2029</v>
      </c>
      <c r="B49" s="73">
        <f t="shared" si="12"/>
        <v>4.817425598139289</v>
      </c>
      <c r="C49" s="70">
        <f t="shared" si="13"/>
        <v>90.1754993855532</v>
      </c>
      <c r="D49" s="21">
        <f t="shared" si="14"/>
        <v>38.64664259380851</v>
      </c>
      <c r="E49" s="71">
        <f t="shared" si="0"/>
        <v>31.777757983523756</v>
      </c>
      <c r="F49" s="65">
        <f t="shared" si="1"/>
        <v>1.22222146090476</v>
      </c>
      <c r="G49" s="22"/>
      <c r="H49" s="65"/>
      <c r="I49" s="344">
        <f t="shared" si="11"/>
        <v>0</v>
      </c>
      <c r="J49" s="22"/>
      <c r="K49" s="63"/>
      <c r="L49" s="65">
        <f t="shared" si="10"/>
        <v>0</v>
      </c>
      <c r="M49" s="343">
        <f t="shared" si="15"/>
        <v>0</v>
      </c>
      <c r="N49" s="28">
        <f t="shared" si="3"/>
        <v>0</v>
      </c>
      <c r="O49" s="414">
        <f t="shared" si="2"/>
        <v>0</v>
      </c>
      <c r="P49" s="380">
        <f>5.75145149230957+P18</f>
        <v>6.071451492309571</v>
      </c>
      <c r="Q49" s="8"/>
      <c r="S49" s="127"/>
      <c r="T49" s="127"/>
      <c r="V49" s="84"/>
      <c r="W49" s="16"/>
      <c r="X49" s="140">
        <f>SUM(X44:X48)</f>
        <v>36.71220930232558</v>
      </c>
      <c r="Y49" s="16"/>
      <c r="Z49" s="140">
        <f>SUM(Z44:Z48)</f>
        <v>31.141331304865354</v>
      </c>
      <c r="AA49" s="146">
        <f>Z49/X49</f>
        <v>0.8482554413551098</v>
      </c>
      <c r="AB49" s="85"/>
      <c r="AC49" s="91"/>
    </row>
    <row r="50" spans="1:20" ht="12.75">
      <c r="A50" s="44">
        <v>2030</v>
      </c>
      <c r="B50" s="73">
        <f t="shared" si="12"/>
        <v>3.9792233733237223</v>
      </c>
      <c r="C50" s="70">
        <f t="shared" si="13"/>
        <v>90.1754993855532</v>
      </c>
      <c r="D50" s="21">
        <f t="shared" si="14"/>
        <v>38.64664259380851</v>
      </c>
      <c r="E50" s="71">
        <f t="shared" si="0"/>
        <v>31.777757983523756</v>
      </c>
      <c r="F50" s="65">
        <f t="shared" si="1"/>
        <v>1.22222146090476</v>
      </c>
      <c r="G50" s="22"/>
      <c r="H50" s="65"/>
      <c r="I50" s="344">
        <f t="shared" si="11"/>
        <v>0</v>
      </c>
      <c r="J50" s="22"/>
      <c r="K50" s="63"/>
      <c r="L50" s="65">
        <f t="shared" si="10"/>
        <v>0</v>
      </c>
      <c r="M50" s="343">
        <f t="shared" si="15"/>
        <v>0</v>
      </c>
      <c r="N50" s="28">
        <f t="shared" si="3"/>
        <v>0</v>
      </c>
      <c r="O50" s="414">
        <f t="shared" si="2"/>
        <v>0</v>
      </c>
      <c r="P50" s="380">
        <f>5.91946172714233+P18</f>
        <v>6.239461727142331</v>
      </c>
      <c r="Q50" s="8"/>
      <c r="S50" s="127"/>
      <c r="T50" s="127"/>
    </row>
    <row r="51" spans="1:20" ht="12.75">
      <c r="A51" s="44">
        <v>2031</v>
      </c>
      <c r="B51" s="73">
        <f t="shared" si="12"/>
        <v>3.286863145519409</v>
      </c>
      <c r="C51" s="70">
        <f t="shared" si="13"/>
        <v>90.1754993855532</v>
      </c>
      <c r="D51" s="21">
        <f t="shared" si="14"/>
        <v>38.64664259380851</v>
      </c>
      <c r="E51" s="71">
        <f t="shared" si="0"/>
        <v>31.777757983523756</v>
      </c>
      <c r="F51" s="65">
        <f t="shared" si="1"/>
        <v>1.22222146090476</v>
      </c>
      <c r="G51" s="22"/>
      <c r="H51" s="65"/>
      <c r="I51" s="344">
        <f t="shared" si="11"/>
        <v>0</v>
      </c>
      <c r="J51" s="22"/>
      <c r="K51" s="63"/>
      <c r="L51" s="65">
        <f t="shared" si="10"/>
        <v>0</v>
      </c>
      <c r="M51" s="343">
        <f t="shared" si="15"/>
        <v>0</v>
      </c>
      <c r="N51" s="28">
        <f t="shared" si="3"/>
        <v>0</v>
      </c>
      <c r="O51" s="414">
        <f t="shared" si="2"/>
        <v>0</v>
      </c>
      <c r="P51" s="380">
        <f aca="true" t="shared" si="16" ref="P51:P65">P50*(1+0.0134)</f>
        <v>6.323070514286038</v>
      </c>
      <c r="Q51" s="8"/>
      <c r="S51" s="127"/>
      <c r="T51" s="127"/>
    </row>
    <row r="52" spans="1:27" ht="12.75">
      <c r="A52" s="44">
        <v>2032</v>
      </c>
      <c r="B52" s="73">
        <f t="shared" si="12"/>
        <v>2.714969310292812</v>
      </c>
      <c r="C52" s="70">
        <f t="shared" si="13"/>
        <v>90.1754993855532</v>
      </c>
      <c r="D52" s="21">
        <f t="shared" si="14"/>
        <v>38.64664259380851</v>
      </c>
      <c r="E52" s="71">
        <f t="shared" si="0"/>
        <v>31.777757983523756</v>
      </c>
      <c r="F52" s="65">
        <f t="shared" si="1"/>
        <v>1.22222146090476</v>
      </c>
      <c r="G52" s="22"/>
      <c r="H52" s="65"/>
      <c r="I52" s="244">
        <f t="shared" si="11"/>
        <v>0</v>
      </c>
      <c r="J52" s="22"/>
      <c r="K52" s="63"/>
      <c r="L52" s="65">
        <f t="shared" si="10"/>
        <v>0</v>
      </c>
      <c r="M52" s="343">
        <f t="shared" si="15"/>
        <v>0</v>
      </c>
      <c r="N52" s="28">
        <f t="shared" si="3"/>
        <v>0</v>
      </c>
      <c r="O52" s="414">
        <f t="shared" si="2"/>
        <v>0</v>
      </c>
      <c r="P52" s="380">
        <f t="shared" si="16"/>
        <v>6.4077996591774715</v>
      </c>
      <c r="Q52" s="8"/>
      <c r="S52" s="127"/>
      <c r="T52" s="127"/>
      <c r="V52" s="689" t="s">
        <v>132</v>
      </c>
      <c r="W52" s="669"/>
      <c r="X52" s="669"/>
      <c r="Y52" s="669"/>
      <c r="Z52" s="669"/>
      <c r="AA52" s="670"/>
    </row>
    <row r="53" spans="1:27" ht="12.75">
      <c r="A53" s="44">
        <v>2033</v>
      </c>
      <c r="B53" s="73">
        <f t="shared" si="12"/>
        <v>2.2425814612573443</v>
      </c>
      <c r="C53" s="70">
        <f t="shared" si="13"/>
        <v>90.1754993855532</v>
      </c>
      <c r="D53" s="21">
        <f t="shared" si="14"/>
        <v>38.64664259380851</v>
      </c>
      <c r="E53" s="71">
        <f t="shared" si="0"/>
        <v>31.777757983523756</v>
      </c>
      <c r="F53" s="65">
        <f t="shared" si="1"/>
        <v>1.22222146090476</v>
      </c>
      <c r="G53" s="22"/>
      <c r="H53" s="65"/>
      <c r="I53" s="244">
        <f t="shared" si="11"/>
        <v>0</v>
      </c>
      <c r="J53" s="22"/>
      <c r="K53" s="63"/>
      <c r="L53" s="65">
        <f t="shared" si="10"/>
        <v>0</v>
      </c>
      <c r="M53" s="343">
        <f t="shared" si="15"/>
        <v>0</v>
      </c>
      <c r="N53" s="28">
        <f t="shared" si="3"/>
        <v>0</v>
      </c>
      <c r="O53" s="414">
        <f t="shared" si="2"/>
        <v>0</v>
      </c>
      <c r="P53" s="380">
        <f t="shared" si="16"/>
        <v>6.49366417461045</v>
      </c>
      <c r="Q53" s="8"/>
      <c r="S53" s="127"/>
      <c r="T53" s="127"/>
      <c r="V53" s="10" t="s">
        <v>134</v>
      </c>
      <c r="W53" s="8"/>
      <c r="X53" s="8"/>
      <c r="Y53" s="8"/>
      <c r="Z53" s="12">
        <f>4+0.06*(43)</f>
        <v>6.58</v>
      </c>
      <c r="AA53" s="30" t="s">
        <v>80</v>
      </c>
    </row>
    <row r="54" spans="1:27" ht="12.75">
      <c r="A54" s="44">
        <v>2034</v>
      </c>
      <c r="B54" s="73">
        <f t="shared" si="12"/>
        <v>1.852386172951887</v>
      </c>
      <c r="C54" s="70">
        <f t="shared" si="13"/>
        <v>90.1754993855532</v>
      </c>
      <c r="D54" s="21">
        <f t="shared" si="14"/>
        <v>38.64664259380851</v>
      </c>
      <c r="E54" s="71">
        <f t="shared" si="0"/>
        <v>31.777757983523756</v>
      </c>
      <c r="F54" s="65">
        <f t="shared" si="1"/>
        <v>1.22222146090476</v>
      </c>
      <c r="G54" s="22"/>
      <c r="H54" s="65"/>
      <c r="I54" s="244">
        <f t="shared" si="11"/>
        <v>0</v>
      </c>
      <c r="J54" s="22"/>
      <c r="K54" s="63"/>
      <c r="L54" s="65">
        <f t="shared" si="10"/>
        <v>0</v>
      </c>
      <c r="M54" s="343">
        <f t="shared" si="15"/>
        <v>0</v>
      </c>
      <c r="N54" s="28">
        <f t="shared" si="3"/>
        <v>0</v>
      </c>
      <c r="O54" s="414">
        <f t="shared" si="2"/>
        <v>0</v>
      </c>
      <c r="P54" s="380">
        <f t="shared" si="16"/>
        <v>6.580679274550231</v>
      </c>
      <c r="Q54" s="8"/>
      <c r="S54" s="127"/>
      <c r="T54" s="127"/>
      <c r="V54" s="389" t="s">
        <v>121</v>
      </c>
      <c r="W54" s="8"/>
      <c r="X54" s="8"/>
      <c r="Y54" s="8"/>
      <c r="Z54" s="8"/>
      <c r="AA54" s="9"/>
    </row>
    <row r="55" spans="1:27" ht="38.25">
      <c r="A55" s="44">
        <v>2035</v>
      </c>
      <c r="B55" s="73">
        <f t="shared" si="12"/>
        <v>1.5300824487416824</v>
      </c>
      <c r="C55" s="70">
        <f t="shared" si="13"/>
        <v>90.1754993855532</v>
      </c>
      <c r="D55" s="21">
        <f t="shared" si="14"/>
        <v>38.64664259380851</v>
      </c>
      <c r="E55" s="71">
        <f t="shared" si="0"/>
        <v>31.777757983523756</v>
      </c>
      <c r="F55" s="65">
        <f t="shared" si="1"/>
        <v>1.22222146090476</v>
      </c>
      <c r="G55" s="22"/>
      <c r="H55" s="65"/>
      <c r="I55" s="244">
        <f t="shared" si="11"/>
        <v>0</v>
      </c>
      <c r="J55" s="22"/>
      <c r="K55" s="63"/>
      <c r="L55" s="65">
        <f t="shared" si="10"/>
        <v>0</v>
      </c>
      <c r="M55" s="343">
        <f t="shared" si="15"/>
        <v>0</v>
      </c>
      <c r="N55" s="28">
        <f t="shared" si="3"/>
        <v>0</v>
      </c>
      <c r="O55" s="414">
        <f t="shared" si="2"/>
        <v>0</v>
      </c>
      <c r="P55" s="380">
        <f t="shared" si="16"/>
        <v>6.668860376829205</v>
      </c>
      <c r="Q55" s="8"/>
      <c r="S55" s="127"/>
      <c r="T55" s="127"/>
      <c r="V55" s="13" t="s">
        <v>127</v>
      </c>
      <c r="W55" s="12" t="s">
        <v>125</v>
      </c>
      <c r="X55" s="699" t="s">
        <v>126</v>
      </c>
      <c r="Y55" s="699"/>
      <c r="Z55" s="129" t="s">
        <v>133</v>
      </c>
      <c r="AA55" s="390"/>
    </row>
    <row r="56" spans="1:27" ht="12.75">
      <c r="A56" s="44">
        <v>2036</v>
      </c>
      <c r="B56" s="73">
        <f aca="true" t="shared" si="17" ref="B56:B65">B55*(B55/B54)</f>
        <v>1.2638575768553588</v>
      </c>
      <c r="C56" s="70">
        <f aca="true" t="shared" si="18" ref="C56:C65">C55</f>
        <v>90.1754993855532</v>
      </c>
      <c r="D56" s="21">
        <f aca="true" t="shared" si="19" ref="D56:D65">(SUM(C50:C55)/$K$13)</f>
        <v>38.64664259380851</v>
      </c>
      <c r="E56" s="71">
        <f t="shared" si="0"/>
        <v>31.777757983523756</v>
      </c>
      <c r="F56" s="65">
        <f t="shared" si="1"/>
        <v>1.22222146090476</v>
      </c>
      <c r="G56" s="22"/>
      <c r="H56" s="65"/>
      <c r="I56" s="244">
        <f t="shared" si="11"/>
        <v>0</v>
      </c>
      <c r="J56" s="65"/>
      <c r="K56" s="65"/>
      <c r="L56" s="65">
        <f t="shared" si="10"/>
        <v>0</v>
      </c>
      <c r="M56" s="343">
        <f t="shared" si="15"/>
        <v>0</v>
      </c>
      <c r="N56" s="28">
        <f t="shared" si="3"/>
        <v>0</v>
      </c>
      <c r="O56" s="414">
        <f t="shared" si="2"/>
        <v>0</v>
      </c>
      <c r="P56" s="380">
        <f t="shared" si="16"/>
        <v>6.7582231058787166</v>
      </c>
      <c r="Q56" s="8"/>
      <c r="S56" s="127"/>
      <c r="T56" s="127"/>
      <c r="V56" s="391" t="s">
        <v>118</v>
      </c>
      <c r="W56" s="137">
        <v>0.818038047851138</v>
      </c>
      <c r="X56" s="686">
        <v>0.772250260441744</v>
      </c>
      <c r="Y56" s="686"/>
      <c r="Z56" s="29">
        <v>0.804435866312203</v>
      </c>
      <c r="AA56" s="109"/>
    </row>
    <row r="57" spans="1:27" ht="12.75">
      <c r="A57" s="44">
        <v>2037</v>
      </c>
      <c r="B57" s="73">
        <f t="shared" si="17"/>
        <v>1.0439541842260365</v>
      </c>
      <c r="C57" s="70">
        <f t="shared" si="18"/>
        <v>90.1754993855532</v>
      </c>
      <c r="D57" s="21">
        <f t="shared" si="19"/>
        <v>38.64664259380851</v>
      </c>
      <c r="E57" s="71">
        <f t="shared" si="0"/>
        <v>31.777757983523756</v>
      </c>
      <c r="F57" s="65">
        <f t="shared" si="1"/>
        <v>1.22222146090476</v>
      </c>
      <c r="G57" s="22"/>
      <c r="H57" s="65"/>
      <c r="I57" s="244">
        <f t="shared" si="11"/>
        <v>0</v>
      </c>
      <c r="J57" s="65"/>
      <c r="K57" s="65"/>
      <c r="L57" s="65">
        <f t="shared" si="10"/>
        <v>0</v>
      </c>
      <c r="M57" s="343">
        <f t="shared" si="15"/>
        <v>0</v>
      </c>
      <c r="N57" s="28">
        <f t="shared" si="3"/>
        <v>0</v>
      </c>
      <c r="O57" s="414">
        <f t="shared" si="2"/>
        <v>0</v>
      </c>
      <c r="P57" s="380">
        <f t="shared" si="16"/>
        <v>6.848783295497492</v>
      </c>
      <c r="Q57" s="8"/>
      <c r="S57" s="127"/>
      <c r="T57" s="127"/>
      <c r="V57" s="391" t="s">
        <v>119</v>
      </c>
      <c r="W57" s="29">
        <v>0.0145662045557539</v>
      </c>
      <c r="X57" s="687">
        <v>0.00972552941897417</v>
      </c>
      <c r="Y57" s="687"/>
      <c r="Z57" s="137">
        <v>0.0377787664204228</v>
      </c>
      <c r="AA57" s="135"/>
    </row>
    <row r="58" spans="1:27" ht="13.5" thickBot="1">
      <c r="A58" s="44">
        <v>2038</v>
      </c>
      <c r="B58" s="73">
        <f t="shared" si="17"/>
        <v>0.8623126202833021</v>
      </c>
      <c r="C58" s="70">
        <f t="shared" si="18"/>
        <v>90.1754993855532</v>
      </c>
      <c r="D58" s="21">
        <f t="shared" si="19"/>
        <v>38.64664259380851</v>
      </c>
      <c r="E58" s="71">
        <f t="shared" si="0"/>
        <v>31.777757983523756</v>
      </c>
      <c r="F58" s="65">
        <f t="shared" si="1"/>
        <v>1.22222146090476</v>
      </c>
      <c r="G58" s="22"/>
      <c r="H58" s="65"/>
      <c r="I58" s="244">
        <f t="shared" si="11"/>
        <v>0</v>
      </c>
      <c r="J58" s="65"/>
      <c r="K58" s="65"/>
      <c r="L58" s="65">
        <f t="shared" si="10"/>
        <v>0</v>
      </c>
      <c r="M58" s="343">
        <f t="shared" si="15"/>
        <v>0</v>
      </c>
      <c r="N58" s="28">
        <f t="shared" si="3"/>
        <v>0</v>
      </c>
      <c r="O58" s="414">
        <f t="shared" si="2"/>
        <v>0</v>
      </c>
      <c r="P58" s="380">
        <f t="shared" si="16"/>
        <v>6.940556991657159</v>
      </c>
      <c r="Q58" s="8"/>
      <c r="S58" s="127"/>
      <c r="T58" s="127"/>
      <c r="V58" s="391" t="s">
        <v>120</v>
      </c>
      <c r="W58" s="79">
        <v>0.167395747593108</v>
      </c>
      <c r="X58" s="688">
        <v>0.218024210139282</v>
      </c>
      <c r="Y58" s="688"/>
      <c r="Z58" s="79">
        <v>0.157785367267375</v>
      </c>
      <c r="AA58" s="109"/>
    </row>
    <row r="59" spans="1:27" ht="13.5" thickTop="1">
      <c r="A59" s="44">
        <v>2039</v>
      </c>
      <c r="B59" s="73">
        <f t="shared" si="17"/>
        <v>0.7122755637510373</v>
      </c>
      <c r="C59" s="70">
        <f t="shared" si="18"/>
        <v>90.1754993855532</v>
      </c>
      <c r="D59" s="21">
        <f t="shared" si="19"/>
        <v>38.64664259380851</v>
      </c>
      <c r="E59" s="71">
        <f t="shared" si="0"/>
        <v>31.777757983523756</v>
      </c>
      <c r="F59" s="65">
        <f t="shared" si="1"/>
        <v>1.22222146090476</v>
      </c>
      <c r="G59" s="22"/>
      <c r="H59" s="65"/>
      <c r="I59" s="244">
        <f t="shared" si="11"/>
        <v>0</v>
      </c>
      <c r="J59" s="65"/>
      <c r="K59" s="65"/>
      <c r="L59" s="65">
        <f t="shared" si="10"/>
        <v>0</v>
      </c>
      <c r="M59" s="343">
        <f t="shared" si="15"/>
        <v>0</v>
      </c>
      <c r="N59" s="28">
        <f t="shared" si="3"/>
        <v>0</v>
      </c>
      <c r="O59" s="414">
        <f t="shared" si="2"/>
        <v>0</v>
      </c>
      <c r="P59" s="380">
        <f t="shared" si="16"/>
        <v>7.0335604553453654</v>
      </c>
      <c r="Q59" s="8"/>
      <c r="S59" s="127"/>
      <c r="T59" s="127"/>
      <c r="V59" s="207"/>
      <c r="W59" s="142">
        <f>W56+W57+W58</f>
        <v>0.9999999999999998</v>
      </c>
      <c r="X59" s="713">
        <f>X56+X57+X58</f>
        <v>1.0000000000000002</v>
      </c>
      <c r="Y59" s="713"/>
      <c r="Z59" s="142">
        <f>Z56+Z57+Z58</f>
        <v>1.0000000000000007</v>
      </c>
      <c r="AA59" s="109"/>
    </row>
    <row r="60" spans="1:27" ht="12.75">
      <c r="A60" s="44">
        <v>2040</v>
      </c>
      <c r="B60" s="73">
        <f t="shared" si="17"/>
        <v>0.5883440260333647</v>
      </c>
      <c r="C60" s="70">
        <f t="shared" si="18"/>
        <v>90.1754993855532</v>
      </c>
      <c r="D60" s="21">
        <f t="shared" si="19"/>
        <v>38.64664259380851</v>
      </c>
      <c r="E60" s="71">
        <f t="shared" si="0"/>
        <v>31.777757983523756</v>
      </c>
      <c r="F60" s="65">
        <f t="shared" si="1"/>
        <v>1.22222146090476</v>
      </c>
      <c r="G60" s="22"/>
      <c r="H60" s="65"/>
      <c r="I60" s="244">
        <f t="shared" si="11"/>
        <v>0</v>
      </c>
      <c r="J60" s="65"/>
      <c r="K60" s="65"/>
      <c r="L60" s="65">
        <f t="shared" si="10"/>
        <v>0</v>
      </c>
      <c r="M60" s="343">
        <f t="shared" si="15"/>
        <v>0</v>
      </c>
      <c r="N60" s="28">
        <f t="shared" si="3"/>
        <v>0</v>
      </c>
      <c r="O60" s="414">
        <f t="shared" si="2"/>
        <v>0</v>
      </c>
      <c r="P60" s="380">
        <f t="shared" si="16"/>
        <v>7.127810165446994</v>
      </c>
      <c r="Q60" s="8"/>
      <c r="S60" s="127"/>
      <c r="T60" s="127"/>
      <c r="V60" s="10"/>
      <c r="W60" s="8"/>
      <c r="X60" s="8"/>
      <c r="Y60" s="8"/>
      <c r="Z60" s="8"/>
      <c r="AA60" s="9"/>
    </row>
    <row r="61" spans="1:27" ht="25.5">
      <c r="A61" s="44">
        <v>2041</v>
      </c>
      <c r="B61" s="73">
        <f t="shared" si="17"/>
        <v>0.4859758085006245</v>
      </c>
      <c r="C61" s="70">
        <f t="shared" si="18"/>
        <v>90.1754993855532</v>
      </c>
      <c r="D61" s="21">
        <f t="shared" si="19"/>
        <v>38.64664259380851</v>
      </c>
      <c r="E61" s="71">
        <f t="shared" si="0"/>
        <v>31.777757983523756</v>
      </c>
      <c r="F61" s="65">
        <f t="shared" si="1"/>
        <v>1.22222146090476</v>
      </c>
      <c r="G61" s="22"/>
      <c r="H61" s="21"/>
      <c r="I61" s="244">
        <f t="shared" si="11"/>
        <v>0</v>
      </c>
      <c r="J61" s="21"/>
      <c r="K61" s="21"/>
      <c r="L61" s="65">
        <f t="shared" si="10"/>
        <v>0</v>
      </c>
      <c r="M61" s="343">
        <f t="shared" si="15"/>
        <v>0</v>
      </c>
      <c r="N61" s="28">
        <f t="shared" si="3"/>
        <v>0</v>
      </c>
      <c r="O61" s="414">
        <f t="shared" si="2"/>
        <v>0</v>
      </c>
      <c r="P61" s="380">
        <f t="shared" si="16"/>
        <v>7.223322821663984</v>
      </c>
      <c r="Q61" s="8"/>
      <c r="S61" s="127"/>
      <c r="T61" s="127"/>
      <c r="V61" s="207"/>
      <c r="W61" s="103" t="s">
        <v>125</v>
      </c>
      <c r="X61" s="714" t="s">
        <v>126</v>
      </c>
      <c r="Y61" s="714"/>
      <c r="Z61" s="143" t="s">
        <v>129</v>
      </c>
      <c r="AA61" s="392" t="s">
        <v>130</v>
      </c>
    </row>
    <row r="62" spans="1:27" ht="12.75">
      <c r="A62" s="44">
        <v>2042</v>
      </c>
      <c r="B62" s="73">
        <f t="shared" si="17"/>
        <v>0.40141902695964904</v>
      </c>
      <c r="C62" s="70">
        <f t="shared" si="18"/>
        <v>90.1754993855532</v>
      </c>
      <c r="D62" s="21">
        <f t="shared" si="19"/>
        <v>38.64664259380851</v>
      </c>
      <c r="E62" s="71">
        <f t="shared" si="0"/>
        <v>31.777757983523756</v>
      </c>
      <c r="F62" s="65">
        <f t="shared" si="1"/>
        <v>1.22222146090476</v>
      </c>
      <c r="G62" s="22"/>
      <c r="H62" s="21"/>
      <c r="I62" s="345"/>
      <c r="J62" s="21"/>
      <c r="K62" s="21"/>
      <c r="L62" s="65"/>
      <c r="M62" s="343">
        <f t="shared" si="15"/>
        <v>0</v>
      </c>
      <c r="N62" s="28">
        <f t="shared" si="3"/>
        <v>0</v>
      </c>
      <c r="O62" s="414">
        <f t="shared" si="2"/>
        <v>0</v>
      </c>
      <c r="P62" s="380">
        <f t="shared" si="16"/>
        <v>7.320115347474283</v>
      </c>
      <c r="Q62" s="8"/>
      <c r="S62" s="127"/>
      <c r="T62" s="127"/>
      <c r="V62" s="393" t="s">
        <v>90</v>
      </c>
      <c r="W62" s="25">
        <v>62.5857142857143</v>
      </c>
      <c r="X62" s="711">
        <v>22.2181434599156</v>
      </c>
      <c r="Y62" s="711"/>
      <c r="Z62" s="131">
        <f>Z53/15</f>
        <v>0.43866666666666665</v>
      </c>
      <c r="AA62" s="9"/>
    </row>
    <row r="63" spans="1:27" ht="13.5" thickBot="1">
      <c r="A63" s="44">
        <v>2043</v>
      </c>
      <c r="B63" s="73">
        <f t="shared" si="17"/>
        <v>0.33157460183540055</v>
      </c>
      <c r="C63" s="70">
        <f t="shared" si="18"/>
        <v>90.1754993855532</v>
      </c>
      <c r="D63" s="21">
        <f t="shared" si="19"/>
        <v>38.64664259380851</v>
      </c>
      <c r="E63" s="71">
        <f t="shared" si="0"/>
        <v>31.777757983523756</v>
      </c>
      <c r="F63" s="65">
        <f t="shared" si="1"/>
        <v>1.22222146090476</v>
      </c>
      <c r="G63" s="22"/>
      <c r="H63" s="21"/>
      <c r="I63" s="345"/>
      <c r="J63" s="21"/>
      <c r="K63" s="21"/>
      <c r="L63" s="65"/>
      <c r="M63" s="343">
        <f t="shared" si="15"/>
        <v>0</v>
      </c>
      <c r="N63" s="28">
        <f t="shared" si="3"/>
        <v>0</v>
      </c>
      <c r="O63" s="414">
        <f t="shared" si="2"/>
        <v>0</v>
      </c>
      <c r="P63" s="380">
        <f t="shared" si="16"/>
        <v>7.418204893130438</v>
      </c>
      <c r="Q63" s="8"/>
      <c r="S63" s="127"/>
      <c r="T63" s="127"/>
      <c r="V63" s="394" t="s">
        <v>128</v>
      </c>
      <c r="W63" s="144">
        <v>40.392380952381</v>
      </c>
      <c r="X63" s="707">
        <v>8.62850632911393</v>
      </c>
      <c r="Y63" s="707"/>
      <c r="Z63" s="145">
        <f>Z53/25</f>
        <v>0.2632</v>
      </c>
      <c r="AA63" s="395">
        <f>Z63</f>
        <v>0.2632</v>
      </c>
    </row>
    <row r="64" spans="1:27" ht="13.5" thickTop="1">
      <c r="A64" s="44">
        <v>2044</v>
      </c>
      <c r="B64" s="73">
        <f t="shared" si="17"/>
        <v>0.2738826742095507</v>
      </c>
      <c r="C64" s="70">
        <f t="shared" si="18"/>
        <v>90.1754993855532</v>
      </c>
      <c r="D64" s="21">
        <f t="shared" si="19"/>
        <v>38.64664259380851</v>
      </c>
      <c r="E64" s="71">
        <f t="shared" si="0"/>
        <v>31.777757983523756</v>
      </c>
      <c r="F64" s="65">
        <f t="shared" si="1"/>
        <v>1.22222146090476</v>
      </c>
      <c r="G64" s="22"/>
      <c r="H64" s="21"/>
      <c r="I64" s="345"/>
      <c r="J64" s="21"/>
      <c r="K64" s="21"/>
      <c r="L64" s="65"/>
      <c r="M64" s="343">
        <f t="shared" si="15"/>
        <v>0</v>
      </c>
      <c r="N64" s="28">
        <f t="shared" si="3"/>
        <v>0</v>
      </c>
      <c r="O64" s="414">
        <f t="shared" si="2"/>
        <v>0</v>
      </c>
      <c r="P64" s="380">
        <f t="shared" si="16"/>
        <v>7.517608838698386</v>
      </c>
      <c r="Q64" s="8"/>
      <c r="S64" s="127"/>
      <c r="T64" s="127"/>
      <c r="V64" s="10"/>
      <c r="W64" s="25">
        <f>W62+W63</f>
        <v>102.9780952380953</v>
      </c>
      <c r="X64" s="712">
        <f>X62+X63</f>
        <v>30.846649789029527</v>
      </c>
      <c r="Y64" s="712"/>
      <c r="Z64" s="137">
        <f>(Z62*X62+Z63*X63)/X64</f>
        <v>0.3895846673495055</v>
      </c>
      <c r="AA64" s="135"/>
    </row>
    <row r="65" spans="1:27" ht="12.75">
      <c r="A65" s="44">
        <v>2045</v>
      </c>
      <c r="B65" s="73">
        <f t="shared" si="17"/>
        <v>0.22622878476504069</v>
      </c>
      <c r="C65" s="70">
        <f t="shared" si="18"/>
        <v>90.1754993855532</v>
      </c>
      <c r="D65" s="21">
        <f t="shared" si="19"/>
        <v>38.64664259380851</v>
      </c>
      <c r="E65" s="71">
        <f t="shared" si="0"/>
        <v>31.777757983523756</v>
      </c>
      <c r="F65" s="65">
        <f t="shared" si="1"/>
        <v>1.22222146090476</v>
      </c>
      <c r="G65" s="22"/>
      <c r="H65" s="21"/>
      <c r="I65" s="345"/>
      <c r="J65" s="21"/>
      <c r="K65" s="21"/>
      <c r="L65" s="65"/>
      <c r="M65" s="343">
        <f t="shared" si="15"/>
        <v>0</v>
      </c>
      <c r="N65" s="28">
        <f t="shared" si="3"/>
        <v>0</v>
      </c>
      <c r="O65" s="414">
        <f t="shared" si="2"/>
        <v>0</v>
      </c>
      <c r="P65" s="380">
        <f t="shared" si="16"/>
        <v>7.618344797136945</v>
      </c>
      <c r="Q65" s="8"/>
      <c r="S65" s="127"/>
      <c r="T65" s="127"/>
      <c r="V65" s="10"/>
      <c r="W65" s="8"/>
      <c r="X65" s="8"/>
      <c r="Y65" s="8"/>
      <c r="Z65" s="8"/>
      <c r="AA65" s="9"/>
    </row>
    <row r="66" spans="1:27" ht="13.5" thickBot="1">
      <c r="A66" s="44"/>
      <c r="B66" s="74"/>
      <c r="C66" s="75"/>
      <c r="D66" s="75"/>
      <c r="E66" s="75"/>
      <c r="F66" s="76"/>
      <c r="G66" s="74"/>
      <c r="H66" s="75"/>
      <c r="I66" s="346"/>
      <c r="J66" s="75"/>
      <c r="K66" s="75"/>
      <c r="L66" s="77"/>
      <c r="M66" s="347"/>
      <c r="N66" s="184"/>
      <c r="O66" s="348"/>
      <c r="P66" s="126"/>
      <c r="Q66" s="8"/>
      <c r="S66" s="127"/>
      <c r="T66" s="127"/>
      <c r="V66" s="43"/>
      <c r="W66" s="387" t="s">
        <v>113</v>
      </c>
      <c r="X66" s="388" t="s">
        <v>109</v>
      </c>
      <c r="Y66" s="8"/>
      <c r="Z66" s="8"/>
      <c r="AA66" s="9"/>
    </row>
    <row r="67" spans="1:27" ht="13.5" thickTop="1">
      <c r="A67" t="s">
        <v>85</v>
      </c>
      <c r="B67" s="60">
        <f>SUM(B26:B50)</f>
        <v>1998.6530573664988</v>
      </c>
      <c r="C67" s="60">
        <f>SUM(C26:C50)</f>
        <v>2254.38748463883</v>
      </c>
      <c r="D67" s="60">
        <f>SUM(D26:D50)</f>
        <v>927.5194222514046</v>
      </c>
      <c r="E67" s="60">
        <f>SUM(E26:E50)</f>
        <v>762.6661916045704</v>
      </c>
      <c r="F67" s="60">
        <f>SUM(F26:F50)</f>
        <v>29.333315061714224</v>
      </c>
      <c r="G67" s="60">
        <f aca="true" t="shared" si="20" ref="G67:O67">SUM(G26:G65)</f>
        <v>183.74720333163918</v>
      </c>
      <c r="H67" s="80">
        <f t="shared" si="20"/>
        <v>5.343937608884156</v>
      </c>
      <c r="I67" s="80">
        <f t="shared" si="20"/>
        <v>189.0911409405233</v>
      </c>
      <c r="J67" s="80">
        <f t="shared" si="20"/>
        <v>33.96327529234368</v>
      </c>
      <c r="K67" s="80">
        <f t="shared" si="20"/>
        <v>2.5363393101561638</v>
      </c>
      <c r="L67" s="80">
        <f t="shared" si="20"/>
        <v>2.5363393101561638</v>
      </c>
      <c r="M67" s="80">
        <f t="shared" si="20"/>
        <v>25.39045251783042</v>
      </c>
      <c r="N67" s="80">
        <f t="shared" si="20"/>
        <v>1.074107377999484</v>
      </c>
      <c r="O67" s="415">
        <f t="shared" si="20"/>
        <v>33.96327529234369</v>
      </c>
      <c r="P67" s="127" t="s">
        <v>235</v>
      </c>
      <c r="Q67" s="92"/>
      <c r="S67" s="127"/>
      <c r="T67" s="383"/>
      <c r="V67" s="70" t="s">
        <v>106</v>
      </c>
      <c r="W67" s="108">
        <f>X56</f>
        <v>0.772250260441744</v>
      </c>
      <c r="X67" s="109">
        <v>1</v>
      </c>
      <c r="Y67" s="8"/>
      <c r="Z67" s="8"/>
      <c r="AA67" s="9"/>
    </row>
    <row r="68" spans="2:27" ht="12.75">
      <c r="B68" s="60">
        <f>SUM(B26:B65)</f>
        <v>2016.4697647726814</v>
      </c>
      <c r="C68" s="60">
        <f>SUM(C26:C65)</f>
        <v>3607.0199754221308</v>
      </c>
      <c r="D68" s="60">
        <f>SUM(D26:D65)</f>
        <v>1507.2190611585331</v>
      </c>
      <c r="E68" s="60">
        <f>SUM(E26:E65)</f>
        <v>1239.3325613574268</v>
      </c>
      <c r="F68" s="60">
        <f>SUM(F26:F65)</f>
        <v>47.666636975285655</v>
      </c>
      <c r="G68" s="10"/>
      <c r="H68" s="80"/>
      <c r="I68" s="80"/>
      <c r="J68" s="185">
        <f>6*Q94</f>
        <v>33.96327529234368</v>
      </c>
      <c r="K68" s="8"/>
      <c r="L68" s="715" t="s">
        <v>86</v>
      </c>
      <c r="M68" s="691"/>
      <c r="N68" s="82">
        <v>0.07</v>
      </c>
      <c r="O68" s="416">
        <f>NPV(N68,O26:O65)</f>
        <v>14.670807711920332</v>
      </c>
      <c r="P68" s="382">
        <f>AVERAGE(P26:P45)</f>
        <v>5.429054303169252</v>
      </c>
      <c r="Q68" s="92"/>
      <c r="S68" s="127"/>
      <c r="T68" s="8"/>
      <c r="V68" s="70" t="s">
        <v>107</v>
      </c>
      <c r="W68" s="108">
        <f>X57</f>
        <v>0.00972552941897417</v>
      </c>
      <c r="X68" s="109">
        <f>10/25</f>
        <v>0.4</v>
      </c>
      <c r="Y68" s="8"/>
      <c r="Z68" s="8"/>
      <c r="AA68" s="9"/>
    </row>
    <row r="69" spans="1:27" ht="12.75">
      <c r="A69" t="s">
        <v>87</v>
      </c>
      <c r="B69" s="84"/>
      <c r="C69" s="85"/>
      <c r="D69" s="86">
        <f>E69+F69</f>
        <v>927.5194222514043</v>
      </c>
      <c r="E69" s="86">
        <f>E67</f>
        <v>762.6661916045704</v>
      </c>
      <c r="F69" s="87">
        <f>F67*C15</f>
        <v>164.85323064683394</v>
      </c>
      <c r="G69" s="88"/>
      <c r="H69" s="89"/>
      <c r="I69" s="86">
        <f>G67+H67</f>
        <v>189.09114094052333</v>
      </c>
      <c r="J69" s="86">
        <f>L69+M69+N69</f>
        <v>33.96327529234368</v>
      </c>
      <c r="K69" s="85"/>
      <c r="L69" s="86">
        <f>L67</f>
        <v>2.5363393101561638</v>
      </c>
      <c r="M69" s="86">
        <f>M67</f>
        <v>25.39045251783042</v>
      </c>
      <c r="N69" s="90">
        <f>N67*C15</f>
        <v>6.036483464357101</v>
      </c>
      <c r="O69" s="417">
        <f>L67+M67+N67*C15</f>
        <v>33.96327529234368</v>
      </c>
      <c r="P69" s="124">
        <f>AVERAGE(P27:P42)</f>
        <v>5.282845385074616</v>
      </c>
      <c r="S69" s="8"/>
      <c r="T69" s="127"/>
      <c r="V69" s="70" t="s">
        <v>108</v>
      </c>
      <c r="W69" s="108">
        <f>X58</f>
        <v>0.218024210139282</v>
      </c>
      <c r="X69" s="135">
        <f>Z64</f>
        <v>0.3895846673495055</v>
      </c>
      <c r="Y69" s="8"/>
      <c r="Z69" s="8"/>
      <c r="AA69" s="9"/>
    </row>
    <row r="70" spans="12:27" ht="12.75" customHeight="1">
      <c r="L70" s="8"/>
      <c r="M70" s="21"/>
      <c r="N70" s="21"/>
      <c r="O70" s="67"/>
      <c r="P70" s="92"/>
      <c r="R70" s="68"/>
      <c r="S70" s="68"/>
      <c r="V70" s="385" t="s">
        <v>111</v>
      </c>
      <c r="W70" s="264">
        <f>W67*X67+W68*X68+W69*X69</f>
        <v>0.8610793615905845</v>
      </c>
      <c r="X70" s="111"/>
      <c r="Y70" s="8"/>
      <c r="Z70" s="8"/>
      <c r="AA70" s="9"/>
    </row>
    <row r="71" spans="1:27" ht="15" customHeight="1">
      <c r="A71" s="8"/>
      <c r="B71" s="217"/>
      <c r="C71" s="677" t="s">
        <v>280</v>
      </c>
      <c r="D71" s="677"/>
      <c r="E71" s="677"/>
      <c r="F71" s="677"/>
      <c r="G71" s="80">
        <f>G26*16</f>
        <v>489.9925422177045</v>
      </c>
      <c r="H71" s="12"/>
      <c r="I71" s="8"/>
      <c r="L71" s="83">
        <f>NPV(N68,L24:L32)</f>
        <v>1.191413658351393</v>
      </c>
      <c r="O71" s="159">
        <f>NPV(N68,O26:O65)</f>
        <v>14.670807711920332</v>
      </c>
      <c r="P71" s="139">
        <f>O77+Q77+R77</f>
        <v>0.3139192585342958</v>
      </c>
      <c r="Q71" s="262">
        <f>(P72-P71)/P71</f>
        <v>0.1098861685894344</v>
      </c>
      <c r="U71" s="8"/>
      <c r="V71" s="386">
        <f>T15*K6</f>
        <v>40</v>
      </c>
      <c r="W71" s="136" t="s">
        <v>131</v>
      </c>
      <c r="X71" s="388" t="s">
        <v>110</v>
      </c>
      <c r="Y71" s="8"/>
      <c r="Z71" s="8"/>
      <c r="AA71" s="9"/>
    </row>
    <row r="72" spans="1:27" ht="12.75" customHeight="1">
      <c r="A72" s="8"/>
      <c r="B72" s="260">
        <f>SUM(B26:B35)</f>
        <v>1685.268274700649</v>
      </c>
      <c r="C72" s="671" t="s">
        <v>225</v>
      </c>
      <c r="D72" s="671"/>
      <c r="E72" s="671"/>
      <c r="F72" s="671"/>
      <c r="G72" s="260">
        <f>G26*10</f>
        <v>306.2453388860653</v>
      </c>
      <c r="H72" s="32"/>
      <c r="I72" s="93"/>
      <c r="J72" s="94"/>
      <c r="K72" s="3"/>
      <c r="L72" s="4"/>
      <c r="M72" s="263">
        <f>SUM(M26:M45)</f>
        <v>25.39045251783042</v>
      </c>
      <c r="N72" s="4"/>
      <c r="O72" s="263">
        <f>SUM(O26:O45)</f>
        <v>33.96327529234369</v>
      </c>
      <c r="P72" s="95">
        <f>O79+Q79+R79</f>
        <v>0.3484146431010657</v>
      </c>
      <c r="Q72" s="263">
        <f>P72*1000</f>
        <v>348.4146431010657</v>
      </c>
      <c r="R72">
        <f>(Q77+R77)*1000</f>
        <v>250.36381107148154</v>
      </c>
      <c r="U72" s="21"/>
      <c r="V72" s="70" t="s">
        <v>106</v>
      </c>
      <c r="W72" s="137">
        <f>Z56</f>
        <v>0.804435866312203</v>
      </c>
      <c r="X72" s="109">
        <v>1</v>
      </c>
      <c r="Y72" s="8"/>
      <c r="Z72" s="8"/>
      <c r="AA72" s="9"/>
    </row>
    <row r="73" spans="1:27" ht="12.75" customHeight="1" thickBot="1">
      <c r="A73" s="8"/>
      <c r="B73" s="261">
        <f>SUM(B36:B45)</f>
        <v>283.1472207650615</v>
      </c>
      <c r="C73" s="671" t="s">
        <v>226</v>
      </c>
      <c r="D73" s="671"/>
      <c r="E73" s="671"/>
      <c r="F73" s="671"/>
      <c r="G73" s="260">
        <f>G27*10</f>
        <v>306.2453388860653</v>
      </c>
      <c r="H73" s="104"/>
      <c r="I73" s="12"/>
      <c r="K73" s="2"/>
      <c r="L73" s="8"/>
      <c r="M73" s="8"/>
      <c r="N73" s="8"/>
      <c r="P73" s="8"/>
      <c r="V73" s="70" t="s">
        <v>107</v>
      </c>
      <c r="W73" s="137">
        <f>Z57</f>
        <v>0.0377787664204228</v>
      </c>
      <c r="X73" s="109">
        <v>0</v>
      </c>
      <c r="Y73" s="8"/>
      <c r="Z73" s="8"/>
      <c r="AA73" s="9"/>
    </row>
    <row r="74" spans="1:27" ht="12.75" customHeight="1">
      <c r="A74" s="8"/>
      <c r="B74" s="32"/>
      <c r="C74" s="32"/>
      <c r="D74" s="32"/>
      <c r="E74" s="32"/>
      <c r="F74" s="32"/>
      <c r="G74" s="354">
        <f>G72+G73</f>
        <v>612.4906777721307</v>
      </c>
      <c r="H74" s="32"/>
      <c r="I74" s="32"/>
      <c r="J74" s="678" t="s">
        <v>89</v>
      </c>
      <c r="K74" s="678"/>
      <c r="L74" s="678"/>
      <c r="M74" s="678"/>
      <c r="N74" s="715" t="s">
        <v>90</v>
      </c>
      <c r="O74" s="716"/>
      <c r="P74" s="715" t="s">
        <v>172</v>
      </c>
      <c r="Q74" s="716"/>
      <c r="R74" s="715" t="s">
        <v>171</v>
      </c>
      <c r="S74" s="691"/>
      <c r="T74" s="691"/>
      <c r="U74" s="691"/>
      <c r="V74" s="70" t="s">
        <v>108</v>
      </c>
      <c r="W74" s="137">
        <f>Z58</f>
        <v>0.157785367267375</v>
      </c>
      <c r="X74" s="109">
        <f>AA63</f>
        <v>0.2632</v>
      </c>
      <c r="Y74" s="8"/>
      <c r="Z74" s="8"/>
      <c r="AA74" s="9"/>
    </row>
    <row r="75" spans="1:27" ht="12.75" customHeight="1" thickBot="1">
      <c r="A75" s="12"/>
      <c r="B75" s="32"/>
      <c r="C75" s="32"/>
      <c r="D75" s="32"/>
      <c r="E75" s="32"/>
      <c r="F75" s="32"/>
      <c r="G75" s="32"/>
      <c r="H75" s="12"/>
      <c r="I75" s="12"/>
      <c r="J75" s="8"/>
      <c r="K75" s="8"/>
      <c r="L75" s="8"/>
      <c r="M75" s="8"/>
      <c r="N75" s="608" t="s">
        <v>198</v>
      </c>
      <c r="O75" s="238" t="s">
        <v>199</v>
      </c>
      <c r="P75" s="608" t="s">
        <v>198</v>
      </c>
      <c r="Q75" s="238" t="s">
        <v>199</v>
      </c>
      <c r="R75" s="636" t="s">
        <v>209</v>
      </c>
      <c r="S75" s="269" t="s">
        <v>179</v>
      </c>
      <c r="T75" s="269" t="s">
        <v>218</v>
      </c>
      <c r="U75" s="384" t="s">
        <v>174</v>
      </c>
      <c r="V75" s="385" t="s">
        <v>112</v>
      </c>
      <c r="W75" s="110">
        <f>W72*X72+W73*X73+W74*X74</f>
        <v>0.8459649749769761</v>
      </c>
      <c r="X75" s="111"/>
      <c r="Y75" s="85"/>
      <c r="Z75" s="85"/>
      <c r="AA75" s="91"/>
    </row>
    <row r="76" spans="1:21" ht="12.75" customHeight="1">
      <c r="A76" s="12"/>
      <c r="B76" s="12"/>
      <c r="C76" s="21"/>
      <c r="D76" s="21"/>
      <c r="E76" s="28"/>
      <c r="F76" s="236"/>
      <c r="G76" s="80"/>
      <c r="H76" s="92"/>
      <c r="I76" s="92"/>
      <c r="J76" s="8" t="s">
        <v>91</v>
      </c>
      <c r="K76" s="8"/>
      <c r="L76" s="8"/>
      <c r="M76" s="131">
        <f>(M79/M77)-1</f>
        <v>0.12045523179219209</v>
      </c>
      <c r="N76" s="283">
        <v>5.68</v>
      </c>
      <c r="O76" s="30">
        <v>0.69</v>
      </c>
      <c r="P76" s="302">
        <v>3.92</v>
      </c>
      <c r="Q76" s="30">
        <v>0.46</v>
      </c>
      <c r="R76" s="338">
        <v>14.28</v>
      </c>
      <c r="S76" s="270">
        <f>R76</f>
        <v>14.28</v>
      </c>
      <c r="T76" s="270">
        <v>1.66</v>
      </c>
      <c r="U76" s="11">
        <f>S76</f>
        <v>14.28</v>
      </c>
    </row>
    <row r="77" spans="1:21" ht="12.75" customHeight="1">
      <c r="A77" s="12"/>
      <c r="B77" s="21"/>
      <c r="C77" s="21"/>
      <c r="D77" s="21"/>
      <c r="E77" s="28"/>
      <c r="F77" s="236"/>
      <c r="G77" s="80"/>
      <c r="H77" s="132"/>
      <c r="I77" s="92"/>
      <c r="J77" s="8" t="s">
        <v>92</v>
      </c>
      <c r="K77" s="8"/>
      <c r="L77" s="8"/>
      <c r="M77" s="177">
        <f>N77+P77+R77</f>
        <v>0.7924260304692097</v>
      </c>
      <c r="N77" s="283">
        <f>((N11/(1+I8))*N12)/1000</f>
        <v>0.5231810747663551</v>
      </c>
      <c r="O77" s="172">
        <f>($O$76/$N$76)*N77</f>
        <v>0.06355544746281426</v>
      </c>
      <c r="P77" s="283">
        <f>((P11/(1+I8))*P12)/1000</f>
        <v>0.021391354611266473</v>
      </c>
      <c r="Q77" s="357">
        <f>(Q76/P76)*P77</f>
        <v>0.0025102099798935146</v>
      </c>
      <c r="R77" s="618">
        <f>(R11*R12)/1000</f>
        <v>0.24785360109158802</v>
      </c>
      <c r="S77" s="271">
        <f>R77</f>
        <v>0.24785360109158802</v>
      </c>
      <c r="T77" s="271">
        <f>(R11*R12*S83)/1000</f>
        <v>0.029699330254399466</v>
      </c>
      <c r="U77" s="241">
        <f>S77</f>
        <v>0.24785360109158802</v>
      </c>
    </row>
    <row r="78" spans="1:21" ht="12.75">
      <c r="A78" s="12"/>
      <c r="B78" s="21"/>
      <c r="C78" s="21"/>
      <c r="D78" s="21"/>
      <c r="E78" s="28"/>
      <c r="F78" s="236"/>
      <c r="G78" s="80"/>
      <c r="H78" s="132"/>
      <c r="I78" s="92"/>
      <c r="J78" s="8" t="s">
        <v>200</v>
      </c>
      <c r="K78" s="8"/>
      <c r="L78" s="8"/>
      <c r="M78" s="12">
        <v>25</v>
      </c>
      <c r="N78" s="283">
        <f>IF(N77*$M$78&gt;N76,(N77/N79)*N76,N77*$M$78)</f>
        <v>5.036393415044094</v>
      </c>
      <c r="O78" s="172">
        <f>IF(O77*$M$78&gt;O76,(O77/O79)*O76,O77*$M$78)</f>
        <v>0.6118153972500746</v>
      </c>
      <c r="P78" s="338">
        <f>P77*M78</f>
        <v>0.5347838652816618</v>
      </c>
      <c r="Q78" s="11">
        <f>IF(Q77*$M$78&gt;Q76,(Q77/Q79)*Q76,Q77*$M$78)</f>
        <v>0.06275524949733786</v>
      </c>
      <c r="R78" s="283">
        <f>R77*M78</f>
        <v>6.1963400272897005</v>
      </c>
      <c r="S78" s="272">
        <f>R78</f>
        <v>6.1963400272897005</v>
      </c>
      <c r="T78" s="272">
        <f>T77*M78</f>
        <v>0.7424832563599867</v>
      </c>
      <c r="U78" s="172">
        <f>S78</f>
        <v>6.1963400272897005</v>
      </c>
    </row>
    <row r="79" spans="1:21" ht="12.75">
      <c r="A79" s="12"/>
      <c r="B79" s="21"/>
      <c r="C79" s="21"/>
      <c r="D79" s="21"/>
      <c r="E79" s="28"/>
      <c r="F79" s="236"/>
      <c r="G79" s="80"/>
      <c r="H79" s="132"/>
      <c r="I79" s="92"/>
      <c r="J79" s="15" t="s">
        <v>93</v>
      </c>
      <c r="K79" s="12"/>
      <c r="L79" s="8"/>
      <c r="M79" s="177">
        <f>N79+P79+R79</f>
        <v>0.8878778916475449</v>
      </c>
      <c r="N79" s="609">
        <f>N77+((O11-N11)*O12)/1000</f>
        <v>0.5900389941334399</v>
      </c>
      <c r="O79" s="239">
        <f>($O$76/$N$76)*(IF(I8=0,N77,N79))</f>
        <v>0.07167727217466083</v>
      </c>
      <c r="P79" s="609">
        <f>P77+((($Q$11-$P$11)*$Q$12)/1000)</f>
        <v>0.02390693185658521</v>
      </c>
      <c r="Q79" s="358">
        <f>(Q76/P76)*(IF(I8=0,P77,P79))</f>
        <v>0.002805405268884999</v>
      </c>
      <c r="R79" s="621">
        <f>R77+(((S11-$R$11)*S12)/1000)</f>
        <v>0.27393196565751987</v>
      </c>
      <c r="S79" s="273">
        <f>S77+(((T11-$R$11)*T12)/1000)</f>
        <v>0.28047721577874696</v>
      </c>
      <c r="T79" s="273">
        <f>T77+(((U11-$R$11)*S83*U12)/1000)</f>
        <v>0.03391926985093823</v>
      </c>
      <c r="U79" s="242">
        <f>U77+(((V11-$R$11)*V12)/1000)</f>
        <v>0.2715943290835279</v>
      </c>
    </row>
    <row r="80" spans="1:21" ht="12.75">
      <c r="A80" s="12"/>
      <c r="B80" s="21"/>
      <c r="C80" s="21"/>
      <c r="D80" s="21"/>
      <c r="E80" s="28"/>
      <c r="F80" s="236"/>
      <c r="G80" s="80"/>
      <c r="H80" s="132"/>
      <c r="I80" s="92"/>
      <c r="J80" s="8" t="s">
        <v>201</v>
      </c>
      <c r="K80" s="8"/>
      <c r="L80" s="8"/>
      <c r="M80" s="12">
        <f>M78</f>
        <v>25</v>
      </c>
      <c r="N80" s="338">
        <f>IF(N79*$M$80&gt;N76,N76,N79*$M$80)</f>
        <v>5.68</v>
      </c>
      <c r="O80" s="172">
        <f>IF(O79*$M$80&gt;O76,O76,O79*$M$80)</f>
        <v>0.69</v>
      </c>
      <c r="P80" s="283">
        <f aca="true" t="shared" si="21" ref="P80:U80">P79*$M$80</f>
        <v>0.5976732964146302</v>
      </c>
      <c r="Q80" s="172">
        <f t="shared" si="21"/>
        <v>0.07013513172212497</v>
      </c>
      <c r="R80" s="338">
        <f t="shared" si="21"/>
        <v>6.848299141437996</v>
      </c>
      <c r="S80" s="270">
        <f t="shared" si="21"/>
        <v>7.011930394468674</v>
      </c>
      <c r="T80" s="270">
        <f t="shared" si="21"/>
        <v>0.8479817462734558</v>
      </c>
      <c r="U80" s="11">
        <f t="shared" si="21"/>
        <v>6.789858227088197</v>
      </c>
    </row>
    <row r="81" spans="1:21" ht="12.75">
      <c r="A81" s="12"/>
      <c r="B81" s="21"/>
      <c r="C81" s="21"/>
      <c r="D81" s="21"/>
      <c r="E81" s="28"/>
      <c r="F81" s="236"/>
      <c r="G81" s="80"/>
      <c r="H81" s="132"/>
      <c r="I81" s="92"/>
      <c r="J81" s="8" t="s">
        <v>115</v>
      </c>
      <c r="K81" s="8"/>
      <c r="L81" s="8"/>
      <c r="M81" s="8"/>
      <c r="N81" s="338">
        <f aca="true" t="shared" si="22" ref="N81:U81">N80-N78</f>
        <v>0.6436065849559061</v>
      </c>
      <c r="O81" s="11">
        <f t="shared" si="22"/>
        <v>0.07818460274992534</v>
      </c>
      <c r="P81" s="283">
        <f t="shared" si="22"/>
        <v>0.06288943113296841</v>
      </c>
      <c r="Q81" s="172">
        <f t="shared" si="22"/>
        <v>0.00737988222478711</v>
      </c>
      <c r="R81" s="283">
        <f t="shared" si="22"/>
        <v>0.6519591141482959</v>
      </c>
      <c r="S81" s="272">
        <f t="shared" si="22"/>
        <v>0.8155903671789737</v>
      </c>
      <c r="T81" s="272">
        <f t="shared" si="22"/>
        <v>0.1054984899134691</v>
      </c>
      <c r="U81" s="172">
        <f t="shared" si="22"/>
        <v>0.5935181997984964</v>
      </c>
    </row>
    <row r="82" spans="1:21" ht="12.75">
      <c r="A82" s="12"/>
      <c r="B82" s="21"/>
      <c r="C82" s="21"/>
      <c r="D82" s="21"/>
      <c r="E82" s="28"/>
      <c r="F82" s="236"/>
      <c r="G82" s="80"/>
      <c r="H82" s="132"/>
      <c r="I82" s="92"/>
      <c r="J82" s="8" t="s">
        <v>189</v>
      </c>
      <c r="K82" s="8"/>
      <c r="L82" s="8"/>
      <c r="M82" s="8"/>
      <c r="N82" s="338">
        <f aca="true" t="shared" si="23" ref="N82:U82">N76/N79</f>
        <v>9.626482412983442</v>
      </c>
      <c r="O82" s="11">
        <f t="shared" si="23"/>
        <v>9.626482412983442</v>
      </c>
      <c r="P82" s="292">
        <f t="shared" si="23"/>
        <v>163.96917946291083</v>
      </c>
      <c r="Q82" s="65">
        <f t="shared" si="23"/>
        <v>163.96917946291083</v>
      </c>
      <c r="R82" s="292">
        <f t="shared" si="23"/>
        <v>52.129732160770885</v>
      </c>
      <c r="S82" s="274">
        <f t="shared" si="23"/>
        <v>50.913226446403065</v>
      </c>
      <c r="T82" s="274">
        <f t="shared" si="23"/>
        <v>48.93973270341735</v>
      </c>
      <c r="U82" s="65">
        <f t="shared" si="23"/>
        <v>52.578417407265654</v>
      </c>
    </row>
    <row r="83" spans="1:21" ht="13.5" thickBot="1">
      <c r="A83" s="12"/>
      <c r="B83" s="21"/>
      <c r="C83" s="21"/>
      <c r="D83" s="21"/>
      <c r="E83" s="28"/>
      <c r="F83" s="236"/>
      <c r="G83" s="80"/>
      <c r="H83" s="132"/>
      <c r="I83" s="92"/>
      <c r="J83" s="36" t="s">
        <v>202</v>
      </c>
      <c r="K83" s="36"/>
      <c r="L83" s="36"/>
      <c r="M83" s="36"/>
      <c r="N83" s="84"/>
      <c r="O83" s="240">
        <f>O76/N76</f>
        <v>0.12147887323943661</v>
      </c>
      <c r="P83" s="84"/>
      <c r="Q83" s="240">
        <f>Q76/P76</f>
        <v>0.11734693877551021</v>
      </c>
      <c r="R83" s="624"/>
      <c r="S83" s="625">
        <f>(O83*O76+Q83*Q76)/(O76+Q76)</f>
        <v>0.11982609945386605</v>
      </c>
      <c r="T83" s="85"/>
      <c r="U83" s="91"/>
    </row>
    <row r="84" spans="1:21" ht="13.5" thickBot="1">
      <c r="A84" s="12"/>
      <c r="B84" s="21"/>
      <c r="C84" s="21"/>
      <c r="D84" s="21"/>
      <c r="E84" s="28"/>
      <c r="F84" s="236"/>
      <c r="G84" s="80"/>
      <c r="H84" s="132"/>
      <c r="I84" s="92"/>
      <c r="P84" s="44" t="s">
        <v>137</v>
      </c>
      <c r="Q84" s="44" t="s">
        <v>221</v>
      </c>
      <c r="R84" s="708" t="s">
        <v>178</v>
      </c>
      <c r="S84" s="709"/>
      <c r="T84" s="709"/>
      <c r="U84" s="710"/>
    </row>
    <row r="85" spans="1:23" ht="15.75" thickBot="1">
      <c r="A85" s="12"/>
      <c r="B85" s="21"/>
      <c r="C85" s="21"/>
      <c r="D85" s="21"/>
      <c r="E85" s="28"/>
      <c r="F85" s="236"/>
      <c r="G85" s="80"/>
      <c r="H85" s="132"/>
      <c r="I85" s="92"/>
      <c r="J85" s="166" t="s">
        <v>94</v>
      </c>
      <c r="K85" s="166"/>
      <c r="L85" s="166"/>
      <c r="M85" s="166"/>
      <c r="N85" s="166"/>
      <c r="O85" s="166"/>
      <c r="P85" s="167" t="s">
        <v>163</v>
      </c>
      <c r="Q85" s="168" t="s">
        <v>164</v>
      </c>
      <c r="R85" s="17" t="s">
        <v>222</v>
      </c>
      <c r="S85" s="16" t="s">
        <v>223</v>
      </c>
      <c r="T85" s="183" t="s">
        <v>219</v>
      </c>
      <c r="U85" s="119" t="s">
        <v>220</v>
      </c>
      <c r="V85" s="243"/>
      <c r="W85" s="32"/>
    </row>
    <row r="86" spans="1:23" ht="12.75">
      <c r="A86" s="12"/>
      <c r="B86" s="21"/>
      <c r="C86" s="21"/>
      <c r="D86" s="21"/>
      <c r="E86" s="28"/>
      <c r="F86" s="236"/>
      <c r="G86" s="80"/>
      <c r="H86" s="132"/>
      <c r="I86" s="92"/>
      <c r="J86" s="8" t="s">
        <v>95</v>
      </c>
      <c r="K86" s="8"/>
      <c r="L86" s="8"/>
      <c r="M86" s="8"/>
      <c r="N86" s="8"/>
      <c r="O86" s="8"/>
      <c r="P86" s="275">
        <f>(($N$11/(1+I8))*$H$5*$W$70)+(($P$11/(1+I8))*$H$6*$W$70)</f>
        <v>260.254045999973</v>
      </c>
      <c r="Q86" s="161">
        <f>($N$11*(I8/(1+I8))*$H$5*$W$70)+($P$11*(I8/(1+I8))*$H$6*$W$70)</f>
        <v>30.624533888606532</v>
      </c>
      <c r="R86" s="629">
        <f>$R$11*$H$6*$W$70</f>
        <v>59.08682740749502</v>
      </c>
      <c r="S86" s="275">
        <f>$R$11*$H$7</f>
        <v>96.06728724480156</v>
      </c>
      <c r="T86" s="275">
        <f>$R$11*(I8/(1+$I$8))*$H$7</f>
        <v>10.114240433042053</v>
      </c>
      <c r="U86" s="245">
        <f>$R$11*$H$7</f>
        <v>96.06728724480156</v>
      </c>
      <c r="V86" s="165" t="s">
        <v>6</v>
      </c>
      <c r="W86" s="8"/>
    </row>
    <row r="87" spans="1:23" ht="12.75">
      <c r="A87" s="12"/>
      <c r="B87" s="21"/>
      <c r="C87" s="21"/>
      <c r="D87" s="21"/>
      <c r="E87" s="28"/>
      <c r="F87" s="236"/>
      <c r="G87" s="80"/>
      <c r="H87" s="132"/>
      <c r="I87" s="92"/>
      <c r="J87" s="8" t="s">
        <v>96</v>
      </c>
      <c r="K87" s="8"/>
      <c r="L87" s="8"/>
      <c r="M87" s="8"/>
      <c r="N87" s="8"/>
      <c r="O87" s="8"/>
      <c r="P87" s="274">
        <f>($Q$15/(1+I8))*$K$6*$W$75</f>
        <v>7.568993481622401</v>
      </c>
      <c r="Q87" s="21">
        <f>$Q$15*(I8/(1+I8))*$K$6*$W$75</f>
        <v>0.8906562681473593</v>
      </c>
      <c r="R87" s="292">
        <f>$S$15*$K$6*$W$75</f>
        <v>33.838598999079046</v>
      </c>
      <c r="S87" s="274">
        <f>T15*$K$6*$W$75</f>
        <v>33.838598999079046</v>
      </c>
      <c r="T87" s="274">
        <f>(U15*(I8/(1+I8)))*$K$6*$W$75</f>
        <v>3.5626250725894373</v>
      </c>
      <c r="U87" s="65">
        <v>0</v>
      </c>
      <c r="V87" s="165" t="s">
        <v>6</v>
      </c>
      <c r="W87" s="8"/>
    </row>
    <row r="88" spans="1:28" ht="12.75">
      <c r="A88" s="12"/>
      <c r="B88" s="21"/>
      <c r="C88" s="21"/>
      <c r="D88" s="21"/>
      <c r="E88" s="28"/>
      <c r="F88" s="236"/>
      <c r="G88" s="80"/>
      <c r="H88" s="132"/>
      <c r="I88" s="92"/>
      <c r="J88" s="8" t="s">
        <v>140</v>
      </c>
      <c r="K88" s="8"/>
      <c r="L88" s="8"/>
      <c r="M88" s="8"/>
      <c r="N88" s="8"/>
      <c r="O88" s="8"/>
      <c r="P88" s="276">
        <f>(N79-N77+P79-P77)*1000</f>
        <v>69.37349661240349</v>
      </c>
      <c r="Q88" s="80">
        <f>((O79-O77+Q79-Q77)*1000)</f>
        <v>8.41702000083805</v>
      </c>
      <c r="R88" s="631">
        <f>(R79-R77)*1000</f>
        <v>26.07836456593185</v>
      </c>
      <c r="S88" s="276">
        <f>(S79-S77)*1000</f>
        <v>32.623614687158934</v>
      </c>
      <c r="T88" s="274">
        <f>(T79-T77)*1000</f>
        <v>4.219939596538765</v>
      </c>
      <c r="U88" s="65">
        <f>(U79-U77)*1000</f>
        <v>23.740727991939853</v>
      </c>
      <c r="V88" s="165" t="s">
        <v>81</v>
      </c>
      <c r="W88" s="156"/>
      <c r="X88" s="156"/>
      <c r="Y88" s="156"/>
      <c r="Z88" s="156"/>
      <c r="AA88" s="156"/>
      <c r="AB88" s="156"/>
    </row>
    <row r="89" spans="1:22" ht="12.75">
      <c r="A89" s="12"/>
      <c r="B89" s="21"/>
      <c r="C89" s="21"/>
      <c r="D89" s="21"/>
      <c r="E89" s="28"/>
      <c r="F89" s="236"/>
      <c r="G89" s="80"/>
      <c r="H89" s="132"/>
      <c r="I89" s="92"/>
      <c r="J89" s="8" t="s">
        <v>97</v>
      </c>
      <c r="K89" s="8"/>
      <c r="L89" s="8"/>
      <c r="M89" s="12"/>
      <c r="N89" s="12"/>
      <c r="O89" s="12"/>
      <c r="P89" s="275">
        <f>((($O$11-$N$11)/(1+I8))*$H$5*$W$70)+((($Q$11-$P$11)/(1+I8))*$H$6*$W$70)</f>
        <v>29.624168236119576</v>
      </c>
      <c r="Q89" s="161">
        <f>(($O$11-$N$11)*(I8/(1+I8))*$H$5*O83*$W$70)+(($Q$11-$P$11)*(I8/(1+I8))*$H$6*Q83*$W$70)</f>
        <v>0.4227232183593606</v>
      </c>
      <c r="R89" s="629">
        <f>(S11-$R$11)*$H$7</f>
        <v>10.107893242609247</v>
      </c>
      <c r="S89" s="275">
        <f>(T11-$R$11)*$H$7</f>
        <v>12.644811894247646</v>
      </c>
      <c r="T89" s="275">
        <f>((U11-$R$11)*(I8/(1+I8)))*$H$7</f>
        <v>1.4371194005624066</v>
      </c>
      <c r="U89" s="245">
        <f>((V11-$R$11)*$H$7)</f>
        <v>9.201832555015447</v>
      </c>
      <c r="V89" s="165" t="s">
        <v>6</v>
      </c>
    </row>
    <row r="90" spans="1:22" ht="12.75">
      <c r="A90" s="12"/>
      <c r="B90" s="21"/>
      <c r="C90" s="21"/>
      <c r="D90" s="21"/>
      <c r="E90" s="28"/>
      <c r="F90" s="236"/>
      <c r="G90" s="80"/>
      <c r="H90" s="132"/>
      <c r="I90" s="92"/>
      <c r="J90" s="8" t="s">
        <v>98</v>
      </c>
      <c r="K90" s="8"/>
      <c r="L90" s="8"/>
      <c r="M90" s="8"/>
      <c r="N90" s="29">
        <f>1/2</f>
        <v>0.5</v>
      </c>
      <c r="O90" s="98">
        <f>(60/45)*O12</f>
        <v>36.666666666666664</v>
      </c>
      <c r="P90" s="274">
        <f>$N$90*(N79-N77)*1000</f>
        <v>33.42895968354237</v>
      </c>
      <c r="Q90" s="21">
        <f>$N$90*(O79-O77)*1000</f>
        <v>4.060912355923284</v>
      </c>
      <c r="R90" s="302">
        <v>0</v>
      </c>
      <c r="S90" s="277">
        <v>0</v>
      </c>
      <c r="T90" s="277">
        <v>0</v>
      </c>
      <c r="U90" s="30">
        <v>0</v>
      </c>
      <c r="V90" s="165" t="s">
        <v>81</v>
      </c>
    </row>
    <row r="91" spans="1:28" ht="12.75">
      <c r="A91" s="12"/>
      <c r="B91" s="21"/>
      <c r="C91" s="21"/>
      <c r="D91" s="21"/>
      <c r="E91" s="28"/>
      <c r="F91" s="236"/>
      <c r="G91" s="80"/>
      <c r="H91" s="132"/>
      <c r="I91" s="92"/>
      <c r="J91" s="31" t="s">
        <v>188</v>
      </c>
      <c r="K91" s="8"/>
      <c r="L91" s="8"/>
      <c r="M91" s="8"/>
      <c r="N91" s="29">
        <f>1/4</f>
        <v>0.25</v>
      </c>
      <c r="O91" s="8"/>
      <c r="P91" s="275">
        <f>$N$91*(P79-P77)*1000</f>
        <v>0.6288943113296839</v>
      </c>
      <c r="Q91" s="160">
        <f>$N$91*(Q79-Q77)*1000</f>
        <v>0.07379882224787106</v>
      </c>
      <c r="R91" s="302">
        <v>0</v>
      </c>
      <c r="S91" s="277">
        <v>0</v>
      </c>
      <c r="T91" s="277">
        <v>0</v>
      </c>
      <c r="U91" s="30">
        <v>0</v>
      </c>
      <c r="V91" s="165" t="s">
        <v>81</v>
      </c>
      <c r="W91" s="156"/>
      <c r="X91" s="156"/>
      <c r="Y91" s="156"/>
      <c r="Z91" s="156"/>
      <c r="AA91" s="156"/>
      <c r="AB91" s="156"/>
    </row>
    <row r="92" spans="1:28" ht="12.75">
      <c r="A92" s="12"/>
      <c r="B92" s="21"/>
      <c r="C92" s="21"/>
      <c r="D92" s="21"/>
      <c r="E92" s="28"/>
      <c r="F92" s="236"/>
      <c r="G92" s="80"/>
      <c r="H92" s="132"/>
      <c r="I92" s="92"/>
      <c r="J92" s="31" t="s">
        <v>99</v>
      </c>
      <c r="K92" s="8"/>
      <c r="L92" s="8"/>
      <c r="M92" s="8"/>
      <c r="N92" s="29">
        <f>1-C13</f>
        <v>0.33365777618348746</v>
      </c>
      <c r="O92" s="8"/>
      <c r="P92" s="274">
        <f>1/3*(P90+P91)</f>
        <v>11.352617998290683</v>
      </c>
      <c r="Q92" s="28">
        <f>1/3*(Q90+Q91)</f>
        <v>1.3782370593903848</v>
      </c>
      <c r="R92" s="302">
        <v>0</v>
      </c>
      <c r="S92" s="277">
        <v>0</v>
      </c>
      <c r="T92" s="277">
        <v>0</v>
      </c>
      <c r="U92" s="30">
        <v>0</v>
      </c>
      <c r="V92" s="165" t="s">
        <v>81</v>
      </c>
      <c r="W92" s="156"/>
      <c r="X92" s="156"/>
      <c r="Y92" s="156"/>
      <c r="Z92" s="156"/>
      <c r="AA92" s="156"/>
      <c r="AB92" s="156"/>
    </row>
    <row r="93" spans="1:28" ht="13.5" thickBot="1">
      <c r="A93" s="12"/>
      <c r="B93" s="21"/>
      <c r="C93" s="21"/>
      <c r="D93" s="21"/>
      <c r="E93" s="28"/>
      <c r="F93" s="236"/>
      <c r="G93" s="80"/>
      <c r="H93" s="92"/>
      <c r="I93" s="92"/>
      <c r="J93" s="31" t="s">
        <v>100</v>
      </c>
      <c r="K93" s="8"/>
      <c r="L93" s="8"/>
      <c r="M93" s="8"/>
      <c r="N93" s="8"/>
      <c r="O93" s="8"/>
      <c r="P93" s="278">
        <f aca="true" t="shared" si="24" ref="P93:U93">P88-P90-P91</f>
        <v>35.31564261753144</v>
      </c>
      <c r="Q93" s="78">
        <f t="shared" si="24"/>
        <v>4.282308822666896</v>
      </c>
      <c r="R93" s="633">
        <f t="shared" si="24"/>
        <v>26.07836456593185</v>
      </c>
      <c r="S93" s="278">
        <f t="shared" si="24"/>
        <v>32.623614687158934</v>
      </c>
      <c r="T93" s="278">
        <f t="shared" si="24"/>
        <v>4.219939596538765</v>
      </c>
      <c r="U93" s="77">
        <f t="shared" si="24"/>
        <v>23.740727991939853</v>
      </c>
      <c r="V93" s="165" t="s">
        <v>81</v>
      </c>
      <c r="W93" s="156"/>
      <c r="X93" s="156"/>
      <c r="Y93" s="156"/>
      <c r="Z93" s="156"/>
      <c r="AA93" s="156"/>
      <c r="AB93" s="156"/>
    </row>
    <row r="94" spans="1:28" ht="13.5" thickTop="1">
      <c r="A94" s="8"/>
      <c r="B94" s="80"/>
      <c r="C94" s="80"/>
      <c r="D94" s="80"/>
      <c r="E94" s="80"/>
      <c r="F94" s="8"/>
      <c r="G94" s="8"/>
      <c r="H94" s="92"/>
      <c r="I94" s="92"/>
      <c r="J94" s="31" t="s">
        <v>101</v>
      </c>
      <c r="K94" s="8"/>
      <c r="L94" s="8"/>
      <c r="M94" s="8"/>
      <c r="N94" s="8"/>
      <c r="O94" s="8"/>
      <c r="P94" s="274">
        <f aca="true" t="shared" si="25" ref="P94:U94">P92+P93</f>
        <v>46.66826061582212</v>
      </c>
      <c r="Q94" s="28">
        <f t="shared" si="25"/>
        <v>5.6605458820572805</v>
      </c>
      <c r="R94" s="292">
        <f t="shared" si="25"/>
        <v>26.07836456593185</v>
      </c>
      <c r="S94" s="274">
        <f t="shared" si="25"/>
        <v>32.623614687158934</v>
      </c>
      <c r="T94" s="272">
        <f t="shared" si="25"/>
        <v>4.219939596538765</v>
      </c>
      <c r="U94" s="172">
        <f t="shared" si="25"/>
        <v>23.740727991939853</v>
      </c>
      <c r="V94" s="165" t="s">
        <v>81</v>
      </c>
      <c r="W94" s="156"/>
      <c r="X94" s="156"/>
      <c r="Y94" s="156"/>
      <c r="Z94" s="156"/>
      <c r="AA94" s="156"/>
      <c r="AB94" s="156"/>
    </row>
    <row r="95" spans="1:23" ht="13.5" thickBot="1">
      <c r="A95" s="8"/>
      <c r="B95" s="237"/>
      <c r="C95" s="21"/>
      <c r="D95" s="21"/>
      <c r="E95" s="8"/>
      <c r="F95" s="8"/>
      <c r="G95" s="12"/>
      <c r="H95" s="92"/>
      <c r="I95" s="92"/>
      <c r="J95" s="36" t="s">
        <v>102</v>
      </c>
      <c r="K95" s="36"/>
      <c r="L95" s="36"/>
      <c r="M95" s="36"/>
      <c r="N95" s="36"/>
      <c r="O95" s="36"/>
      <c r="P95" s="610">
        <f aca="true" t="shared" si="26" ref="P95:U95">P94-P89</f>
        <v>17.044092379702544</v>
      </c>
      <c r="Q95" s="213">
        <f t="shared" si="26"/>
        <v>5.23782266369792</v>
      </c>
      <c r="R95" s="637">
        <f t="shared" si="26"/>
        <v>15.970471323322602</v>
      </c>
      <c r="S95" s="279">
        <f t="shared" si="26"/>
        <v>19.97880279291129</v>
      </c>
      <c r="T95" s="280">
        <f t="shared" si="26"/>
        <v>2.7828201959763588</v>
      </c>
      <c r="U95" s="87">
        <f t="shared" si="26"/>
        <v>14.538895436924406</v>
      </c>
      <c r="V95" s="100" t="s">
        <v>81</v>
      </c>
      <c r="W95" s="8"/>
    </row>
    <row r="96" spans="1:22" ht="12.75">
      <c r="A96" s="8"/>
      <c r="B96" s="8"/>
      <c r="C96" s="21"/>
      <c r="D96" s="80"/>
      <c r="E96" s="8"/>
      <c r="F96" s="8"/>
      <c r="G96" s="8"/>
      <c r="H96" s="8"/>
      <c r="I96" s="8"/>
      <c r="R96" s="253">
        <f>1/(1+I8)</f>
        <v>0.8947171225177969</v>
      </c>
      <c r="S96" s="253">
        <f>I8/(1+I8)</f>
        <v>0.10528287748220305</v>
      </c>
      <c r="V96" s="8"/>
    </row>
    <row r="97" spans="1:19" ht="12.75">
      <c r="A97" s="8"/>
      <c r="B97" s="8"/>
      <c r="C97" s="8"/>
      <c r="D97" s="8"/>
      <c r="E97" s="131"/>
      <c r="F97" s="8"/>
      <c r="G97" s="8"/>
      <c r="H97" s="132"/>
      <c r="I97" s="92"/>
      <c r="R97" s="268"/>
      <c r="S97" s="67"/>
    </row>
    <row r="98" spans="1:19" ht="12.75">
      <c r="A98" s="8"/>
      <c r="B98" s="8"/>
      <c r="C98" s="8"/>
      <c r="D98" s="21"/>
      <c r="E98" s="21"/>
      <c r="F98" s="8"/>
      <c r="G98" s="8"/>
      <c r="H98" s="8"/>
      <c r="I98" s="8"/>
      <c r="L98" s="192"/>
      <c r="M98" s="193"/>
      <c r="N98" s="194"/>
      <c r="O98" s="247"/>
      <c r="P98" s="248"/>
      <c r="Q98" s="246"/>
      <c r="R98" s="67"/>
      <c r="S98" s="67"/>
    </row>
    <row r="99" spans="1:19" ht="12.75">
      <c r="A99" s="8"/>
      <c r="B99" s="8"/>
      <c r="C99" s="8"/>
      <c r="D99" s="8"/>
      <c r="E99" s="131"/>
      <c r="F99" s="8"/>
      <c r="G99" s="8"/>
      <c r="H99" s="8"/>
      <c r="I99" s="8"/>
      <c r="P99" s="249"/>
      <c r="R99" s="67"/>
      <c r="S99" s="67"/>
    </row>
    <row r="100" spans="16:19" ht="12.75">
      <c r="P100" s="249"/>
      <c r="R100" s="67"/>
      <c r="S100" s="67"/>
    </row>
    <row r="101" spans="16:19" ht="12.75">
      <c r="P101" s="249"/>
      <c r="R101" s="12"/>
      <c r="S101" s="12"/>
    </row>
    <row r="102" spans="18:19" ht="12.75">
      <c r="R102" s="12"/>
      <c r="S102" s="12"/>
    </row>
    <row r="103" spans="18:19" ht="12.75">
      <c r="R103" s="12"/>
      <c r="S103" s="12"/>
    </row>
    <row r="104" spans="18:19" ht="12.75">
      <c r="R104" s="21"/>
      <c r="S104" s="21"/>
    </row>
    <row r="105" spans="18:19" ht="12.75">
      <c r="R105" s="21"/>
      <c r="S105" s="21"/>
    </row>
    <row r="106" spans="18:19" ht="12.75">
      <c r="R106" s="28"/>
      <c r="S106" s="28"/>
    </row>
  </sheetData>
  <mergeCells count="49">
    <mergeCell ref="U3:V3"/>
    <mergeCell ref="W42:AA42"/>
    <mergeCell ref="L4:V4"/>
    <mergeCell ref="X3:AB3"/>
    <mergeCell ref="X26:Z26"/>
    <mergeCell ref="X19:AB19"/>
    <mergeCell ref="X25:AB25"/>
    <mergeCell ref="Z4:AA4"/>
    <mergeCell ref="T6:V6"/>
    <mergeCell ref="AB35:AC35"/>
    <mergeCell ref="C73:F73"/>
    <mergeCell ref="F8:H8"/>
    <mergeCell ref="C71:F71"/>
    <mergeCell ref="J74:M74"/>
    <mergeCell ref="F4:K4"/>
    <mergeCell ref="G20:H20"/>
    <mergeCell ref="L68:M68"/>
    <mergeCell ref="C72:F72"/>
    <mergeCell ref="A4:E4"/>
    <mergeCell ref="F9:H9"/>
    <mergeCell ref="P74:Q74"/>
    <mergeCell ref="B18:F18"/>
    <mergeCell ref="V32:AC32"/>
    <mergeCell ref="Z34:AC34"/>
    <mergeCell ref="X56:Y56"/>
    <mergeCell ref="X57:Y57"/>
    <mergeCell ref="X58:Y58"/>
    <mergeCell ref="V52:AA52"/>
    <mergeCell ref="R74:U74"/>
    <mergeCell ref="N74:O74"/>
    <mergeCell ref="R84:U84"/>
    <mergeCell ref="X62:Y62"/>
    <mergeCell ref="X64:Y64"/>
    <mergeCell ref="X59:Y59"/>
    <mergeCell ref="X61:Y61"/>
    <mergeCell ref="Z35:AA35"/>
    <mergeCell ref="X63:Y63"/>
    <mergeCell ref="X55:Y55"/>
    <mergeCell ref="C20:F20"/>
    <mergeCell ref="A1:R1"/>
    <mergeCell ref="U7:V7"/>
    <mergeCell ref="K8:K9"/>
    <mergeCell ref="D21:E21"/>
    <mergeCell ref="P5:Q5"/>
    <mergeCell ref="R5:V5"/>
    <mergeCell ref="M20:N20"/>
    <mergeCell ref="N5:O5"/>
    <mergeCell ref="J6:J7"/>
    <mergeCell ref="A3:K3"/>
  </mergeCells>
  <printOptions headings="1"/>
  <pageMargins left="0.68" right="0.37" top="1.15" bottom="0.49" header="0.37" footer="0.5"/>
  <pageSetup horizontalDpi="600" verticalDpi="600" orientation="landscape" scale="37" r:id="rId1"/>
  <headerFooter alignWithMargins="0">
    <oddHeader>&amp;L&amp;28DGEAII slope deep wells.xls&amp;R&amp;28Incentive effect</oddHeader>
    <oddFooter>&amp;RNo price threshold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3"/>
  <sheetViews>
    <sheetView workbookViewId="0" topLeftCell="A1">
      <selection activeCell="A1" sqref="A1:R1"/>
    </sheetView>
  </sheetViews>
  <sheetFormatPr defaultColWidth="9.140625" defaultRowHeight="12.75"/>
  <cols>
    <col min="2" max="2" width="17.00390625" style="0" customWidth="1"/>
    <col min="3" max="5" width="11.7109375" style="0" customWidth="1"/>
    <col min="6" max="6" width="10.8515625" style="0" customWidth="1"/>
    <col min="8" max="8" width="12.421875" style="0" customWidth="1"/>
    <col min="10" max="10" width="9.57421875" style="0" bestFit="1" customWidth="1"/>
    <col min="11" max="11" width="10.7109375" style="0" customWidth="1"/>
    <col min="12" max="12" width="11.57421875" style="0" bestFit="1" customWidth="1"/>
    <col min="13" max="14" width="12.7109375" style="0" customWidth="1"/>
    <col min="15" max="15" width="11.7109375" style="0" bestFit="1" customWidth="1"/>
    <col min="16" max="17" width="12.8515625" style="0" bestFit="1" customWidth="1"/>
    <col min="18" max="18" width="10.8515625" style="0" customWidth="1"/>
    <col min="19" max="20" width="10.7109375" style="0" customWidth="1"/>
    <col min="21" max="21" width="12.7109375" style="0" customWidth="1"/>
    <col min="22" max="22" width="13.421875" style="0" customWidth="1"/>
    <col min="23" max="23" width="10.7109375" style="0" customWidth="1"/>
    <col min="24" max="24" width="5.8515625" style="0" customWidth="1"/>
    <col min="25" max="25" width="11.28125" style="0" customWidth="1"/>
    <col min="26" max="29" width="10.7109375" style="0" customWidth="1"/>
    <col min="30" max="30" width="13.00390625" style="0" customWidth="1"/>
    <col min="31" max="31" width="11.7109375" style="0" customWidth="1"/>
    <col min="32" max="32" width="9.7109375" style="0" customWidth="1"/>
    <col min="33" max="33" width="11.7109375" style="0" customWidth="1"/>
    <col min="34" max="34" width="9.7109375" style="0" customWidth="1"/>
    <col min="35" max="35" width="10.7109375" style="0" customWidth="1"/>
    <col min="36" max="49" width="9.7109375" style="0" customWidth="1"/>
    <col min="50" max="50" width="11.421875" style="0" bestFit="1" customWidth="1"/>
    <col min="51" max="51" width="10.140625" style="0" bestFit="1" customWidth="1"/>
    <col min="52" max="52" width="11.28125" style="0" bestFit="1" customWidth="1"/>
  </cols>
  <sheetData>
    <row r="1" spans="1:51" ht="20.25">
      <c r="A1" s="692" t="s">
        <v>216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Y1" t="s">
        <v>233</v>
      </c>
      <c r="AC1" s="44">
        <f>(1-0.03)*0.99</f>
        <v>0.9602999999999999</v>
      </c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</row>
    <row r="2" spans="1:51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ht="15.75" customHeight="1" thickBot="1">
      <c r="A3" s="730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376"/>
      <c r="M3" s="376"/>
      <c r="N3" s="376"/>
      <c r="O3" s="376"/>
      <c r="P3" s="376"/>
      <c r="Q3" s="377"/>
      <c r="U3" s="729"/>
      <c r="V3" s="729"/>
      <c r="Y3" s="683" t="s">
        <v>236</v>
      </c>
      <c r="Z3" s="684"/>
      <c r="AA3" s="684"/>
      <c r="AB3" s="684"/>
      <c r="AC3" s="684"/>
      <c r="AD3" s="685"/>
      <c r="AE3" s="31"/>
      <c r="AF3" s="324"/>
      <c r="AG3" s="324"/>
      <c r="AH3" s="31"/>
      <c r="AI3" s="31"/>
      <c r="AJ3" s="31"/>
      <c r="AK3" s="31"/>
      <c r="AL3" s="31"/>
      <c r="AM3" s="31"/>
      <c r="AN3" s="32"/>
      <c r="AO3" s="31"/>
      <c r="AP3" s="31"/>
      <c r="AQ3" s="32"/>
      <c r="AR3" s="31"/>
      <c r="AS3" s="31"/>
      <c r="AT3" s="32"/>
      <c r="AU3" s="31"/>
      <c r="AV3" s="31"/>
      <c r="AW3" s="32"/>
      <c r="AX3" s="31"/>
      <c r="AY3" s="31"/>
    </row>
    <row r="4" spans="1:56" ht="13.5" customHeight="1" thickBot="1">
      <c r="A4" s="672" t="s">
        <v>1</v>
      </c>
      <c r="B4" s="691"/>
      <c r="C4" s="691"/>
      <c r="D4" s="691"/>
      <c r="E4" s="716"/>
      <c r="F4" s="715" t="s">
        <v>2</v>
      </c>
      <c r="G4" s="691"/>
      <c r="H4" s="691"/>
      <c r="I4" s="691"/>
      <c r="J4" s="691"/>
      <c r="K4" s="691"/>
      <c r="L4" s="680" t="s">
        <v>3</v>
      </c>
      <c r="M4" s="681"/>
      <c r="N4" s="681"/>
      <c r="O4" s="681"/>
      <c r="P4" s="681"/>
      <c r="Q4" s="681"/>
      <c r="R4" s="681"/>
      <c r="S4" s="681"/>
      <c r="T4" s="681"/>
      <c r="U4" s="681"/>
      <c r="V4" s="682"/>
      <c r="Y4" s="732" t="s">
        <v>203</v>
      </c>
      <c r="Z4" s="301" t="s">
        <v>138</v>
      </c>
      <c r="AA4" s="12" t="s">
        <v>135</v>
      </c>
      <c r="AB4" s="12" t="s">
        <v>136</v>
      </c>
      <c r="AC4" s="12" t="s">
        <v>211</v>
      </c>
      <c r="AD4" s="30" t="s">
        <v>212</v>
      </c>
      <c r="AE4" s="32"/>
      <c r="AF4" s="32"/>
      <c r="AG4" s="32"/>
      <c r="AH4" s="32"/>
      <c r="AI4" s="303"/>
      <c r="AJ4" s="32"/>
      <c r="AK4" s="32"/>
      <c r="AL4" s="32"/>
      <c r="AM4" s="32"/>
      <c r="AN4" s="32"/>
      <c r="AO4" s="31"/>
      <c r="AP4" s="31"/>
      <c r="AQ4" s="32"/>
      <c r="AR4" s="32"/>
      <c r="AS4" s="32"/>
      <c r="AT4" s="32"/>
      <c r="AU4" s="32"/>
      <c r="AV4" s="32"/>
      <c r="AW4" s="32"/>
      <c r="AX4" s="32"/>
      <c r="AY4" s="31"/>
      <c r="BC4" s="12"/>
      <c r="BD4" s="32"/>
    </row>
    <row r="5" spans="1:51" ht="12.75" customHeight="1" thickBot="1">
      <c r="A5" s="7" t="s">
        <v>4</v>
      </c>
      <c r="B5" s="8"/>
      <c r="C5" s="8"/>
      <c r="D5" s="8"/>
      <c r="E5" s="9"/>
      <c r="F5" s="10" t="s">
        <v>5</v>
      </c>
      <c r="G5" s="8"/>
      <c r="H5" s="179">
        <f>'Incentive effect'!H5</f>
        <v>15</v>
      </c>
      <c r="I5" s="8" t="s">
        <v>80</v>
      </c>
      <c r="K5" s="28"/>
      <c r="L5" s="7" t="s">
        <v>7</v>
      </c>
      <c r="M5" s="8"/>
      <c r="N5" s="699" t="s">
        <v>8</v>
      </c>
      <c r="O5" s="703"/>
      <c r="P5" s="698" t="s">
        <v>181</v>
      </c>
      <c r="Q5" s="699"/>
      <c r="R5" s="700" t="s">
        <v>171</v>
      </c>
      <c r="S5" s="693"/>
      <c r="T5" s="693"/>
      <c r="U5" s="693"/>
      <c r="V5" s="694"/>
      <c r="Y5" s="733"/>
      <c r="Z5" s="359"/>
      <c r="AA5" s="199">
        <f>1/3</f>
        <v>0.3333333333333333</v>
      </c>
      <c r="AB5" s="199">
        <f>1/5</f>
        <v>0.2</v>
      </c>
      <c r="AC5" s="225">
        <f>AB5</f>
        <v>0.2</v>
      </c>
      <c r="AD5" s="398">
        <f>AC5</f>
        <v>0.2</v>
      </c>
      <c r="AE5" s="304"/>
      <c r="AF5" s="304"/>
      <c r="AG5" s="304"/>
      <c r="AH5" s="304"/>
      <c r="AI5" s="305"/>
      <c r="AJ5" s="304"/>
      <c r="AK5" s="32"/>
      <c r="AL5" s="32"/>
      <c r="AM5" s="306"/>
      <c r="AN5" s="31"/>
      <c r="AO5" s="173"/>
      <c r="AP5" s="173"/>
      <c r="AQ5" s="67"/>
      <c r="AR5" s="307"/>
      <c r="AS5" s="306"/>
      <c r="AT5" s="31"/>
      <c r="AU5" s="173"/>
      <c r="AV5" s="173"/>
      <c r="AW5" s="67"/>
      <c r="AX5" s="308"/>
      <c r="AY5" s="31"/>
    </row>
    <row r="6" spans="1:56" ht="12.75" customHeight="1">
      <c r="A6" s="7" t="s">
        <v>9</v>
      </c>
      <c r="B6" s="8"/>
      <c r="C6" s="8"/>
      <c r="D6" s="12">
        <v>-0.72</v>
      </c>
      <c r="E6" s="9"/>
      <c r="F6" s="10" t="s">
        <v>10</v>
      </c>
      <c r="G6" s="8"/>
      <c r="H6" s="179">
        <f>'Incentive effect'!H6</f>
        <v>25</v>
      </c>
      <c r="I6" s="8" t="s">
        <v>80</v>
      </c>
      <c r="J6" s="704" t="s">
        <v>15</v>
      </c>
      <c r="K6" s="179">
        <v>5</v>
      </c>
      <c r="L6" s="7" t="s">
        <v>11</v>
      </c>
      <c r="M6" s="8"/>
      <c r="N6" s="12" t="s">
        <v>12</v>
      </c>
      <c r="O6" s="12" t="s">
        <v>13</v>
      </c>
      <c r="P6" s="13" t="s">
        <v>12</v>
      </c>
      <c r="Q6" s="12" t="s">
        <v>13</v>
      </c>
      <c r="R6" s="302" t="s">
        <v>12</v>
      </c>
      <c r="S6" s="331" t="s">
        <v>185</v>
      </c>
      <c r="T6" s="667" t="s">
        <v>182</v>
      </c>
      <c r="U6" s="668"/>
      <c r="V6" s="719"/>
      <c r="W6" s="139">
        <f>(N8+P8)*V17</f>
        <v>7.113057229019388</v>
      </c>
      <c r="X6" s="68">
        <v>6</v>
      </c>
      <c r="Y6" s="399">
        <v>0</v>
      </c>
      <c r="Z6" s="400">
        <v>1</v>
      </c>
      <c r="AA6" s="200">
        <f>($AA$5*$H$5*Z6)*(1-Y6)</f>
        <v>5</v>
      </c>
      <c r="AB6" s="200">
        <f>(($AB$5*$H$6*(Z6))+((1-$AB$5)*$K$6*(Z6)))*(1-Y6)</f>
        <v>9</v>
      </c>
      <c r="AC6" s="200">
        <f>(($AC$5*$H$7*(Z6))+((1-$AC$5)*$K$6*(Z6)))*(1-Y6)</f>
        <v>11</v>
      </c>
      <c r="AD6" s="401">
        <f>(($AD$5*$H$7*(Z6))*(1-Y6))</f>
        <v>7</v>
      </c>
      <c r="AE6" s="304"/>
      <c r="AF6" s="304"/>
      <c r="AG6" s="304"/>
      <c r="AH6" s="304"/>
      <c r="AI6" s="305"/>
      <c r="AJ6" s="304"/>
      <c r="AK6" s="32"/>
      <c r="AL6" s="32"/>
      <c r="AM6" s="306"/>
      <c r="AN6" s="31"/>
      <c r="AO6" s="173"/>
      <c r="AP6" s="173"/>
      <c r="AQ6" s="67"/>
      <c r="AR6" s="307"/>
      <c r="AS6" s="306"/>
      <c r="AT6" s="31"/>
      <c r="AU6" s="173"/>
      <c r="AV6" s="173"/>
      <c r="AW6" s="67"/>
      <c r="AX6" s="307"/>
      <c r="AY6" s="31"/>
      <c r="BC6" s="68"/>
      <c r="BD6" s="72"/>
    </row>
    <row r="7" spans="1:51" ht="15" customHeight="1">
      <c r="A7" s="7" t="s">
        <v>14</v>
      </c>
      <c r="B7" s="8"/>
      <c r="C7" s="8"/>
      <c r="D7" s="14">
        <v>1.093769198837692</v>
      </c>
      <c r="E7" s="9"/>
      <c r="F7" t="s">
        <v>192</v>
      </c>
      <c r="G7" s="8"/>
      <c r="H7" s="179">
        <f>'Incentive effect'!H7</f>
        <v>35</v>
      </c>
      <c r="I7" s="8" t="s">
        <v>80</v>
      </c>
      <c r="J7" s="704"/>
      <c r="K7" s="28" t="s">
        <v>196</v>
      </c>
      <c r="L7" s="97" t="s">
        <v>16</v>
      </c>
      <c r="M7" s="8"/>
      <c r="N7" s="16" t="s">
        <v>17</v>
      </c>
      <c r="O7" s="16" t="s">
        <v>17</v>
      </c>
      <c r="P7" s="17" t="s">
        <v>17</v>
      </c>
      <c r="Q7" s="16" t="s">
        <v>17</v>
      </c>
      <c r="R7" s="332" t="s">
        <v>17</v>
      </c>
      <c r="S7" s="340" t="s">
        <v>17</v>
      </c>
      <c r="T7" s="281"/>
      <c r="U7" s="693" t="s">
        <v>176</v>
      </c>
      <c r="V7" s="694"/>
      <c r="W7" s="356">
        <f>(O8+Q9)*V17</f>
        <v>0.7643889906149854</v>
      </c>
      <c r="X7" s="68">
        <f>X6+1</f>
        <v>7</v>
      </c>
      <c r="Y7" s="402">
        <f>AVERAGE(R26:R28)</f>
        <v>0.08866666666666667</v>
      </c>
      <c r="Z7" s="403">
        <v>0.991283</v>
      </c>
      <c r="AA7" s="25">
        <f>(AA5*$H$5*$Z7)*(1-$Y7)</f>
        <v>4.516946203333333</v>
      </c>
      <c r="AB7" s="25">
        <f>(($AB$5*$H$6*(Z7))+((1-$AB$5)*$K$6*(Z7)))*(1-Y7)</f>
        <v>8.130503166</v>
      </c>
      <c r="AC7" s="25">
        <f>(($AC$5*$H$7*(Z7))+((1-$AC$5)*$K$6*(Z7)))*(1-Y7)</f>
        <v>9.937281647333334</v>
      </c>
      <c r="AD7" s="172">
        <f>($AD$5*$H$7*(Z7))*(1-Y7)</f>
        <v>6.323724684666667</v>
      </c>
      <c r="AE7" s="304"/>
      <c r="AF7" s="304"/>
      <c r="AG7" s="304"/>
      <c r="AH7" s="304"/>
      <c r="AI7" s="305"/>
      <c r="AJ7" s="304"/>
      <c r="AK7" s="32"/>
      <c r="AL7" s="32"/>
      <c r="AM7" s="306"/>
      <c r="AN7" s="31"/>
      <c r="AO7" s="173"/>
      <c r="AP7" s="173"/>
      <c r="AQ7" s="67"/>
      <c r="AR7" s="307"/>
      <c r="AS7" s="306"/>
      <c r="AT7" s="31"/>
      <c r="AU7" s="173"/>
      <c r="AV7" s="173"/>
      <c r="AW7" s="67"/>
      <c r="AX7" s="307"/>
      <c r="AY7" s="31"/>
    </row>
    <row r="8" spans="1:51" ht="12.75" customHeight="1">
      <c r="A8" s="18" t="s">
        <v>18</v>
      </c>
      <c r="B8" s="8"/>
      <c r="C8" s="8"/>
      <c r="D8" s="8"/>
      <c r="E8" s="19">
        <v>0.395</v>
      </c>
      <c r="F8" s="675" t="s">
        <v>193</v>
      </c>
      <c r="G8" s="676"/>
      <c r="H8" s="676"/>
      <c r="I8" s="101">
        <f>'Incentive effect'!I8</f>
        <v>0.1176716917922948</v>
      </c>
      <c r="K8" s="734" t="s">
        <v>207</v>
      </c>
      <c r="L8" s="15" t="s">
        <v>21</v>
      </c>
      <c r="M8" s="12"/>
      <c r="N8" s="130">
        <f>('Incentive effect'!N8)</f>
        <v>63.79032839430799</v>
      </c>
      <c r="O8" s="251">
        <f>'Incentive effect'!$O$8*AA10</f>
        <v>6.885743851611324</v>
      </c>
      <c r="P8" s="121">
        <f>('Incentive effect'!P8)</f>
        <v>3.7710585959153162</v>
      </c>
      <c r="Q8" s="114"/>
      <c r="R8" s="334">
        <f>('Incentive effect'!R8)</f>
        <v>13.723898177828794</v>
      </c>
      <c r="S8" s="288"/>
      <c r="T8" s="281"/>
      <c r="U8" s="277" t="s">
        <v>183</v>
      </c>
      <c r="V8" s="282" t="s">
        <v>174</v>
      </c>
      <c r="W8" s="216"/>
      <c r="X8" s="68">
        <f aca="true" t="shared" si="0" ref="X8:X32">X7+1</f>
        <v>8</v>
      </c>
      <c r="Y8" s="84" t="s">
        <v>213</v>
      </c>
      <c r="Z8" s="231">
        <v>1.055258</v>
      </c>
      <c r="AA8" s="146">
        <f>AA7/$AA$6</f>
        <v>0.9033892406666666</v>
      </c>
      <c r="AB8" s="146">
        <f>AB7/$AB$6</f>
        <v>0.9033892406666667</v>
      </c>
      <c r="AC8" s="146">
        <f>AC7/$AC$6</f>
        <v>0.9033892406666667</v>
      </c>
      <c r="AD8" s="404">
        <f>AD7/$AD$6</f>
        <v>0.9033892406666667</v>
      </c>
      <c r="AE8" s="304"/>
      <c r="AF8" s="304"/>
      <c r="AG8" s="304"/>
      <c r="AH8" s="304"/>
      <c r="AI8" s="305"/>
      <c r="AJ8" s="304"/>
      <c r="AK8" s="32"/>
      <c r="AL8" s="32"/>
      <c r="AM8" s="306"/>
      <c r="AN8" s="31"/>
      <c r="AO8" s="173"/>
      <c r="AP8" s="173"/>
      <c r="AQ8" s="67"/>
      <c r="AR8" s="307"/>
      <c r="AS8" s="306"/>
      <c r="AT8" s="31"/>
      <c r="AU8" s="173"/>
      <c r="AV8" s="173"/>
      <c r="AW8" s="67"/>
      <c r="AX8" s="307"/>
      <c r="AY8" s="31"/>
    </row>
    <row r="9" spans="1:51" ht="12.75" customHeight="1">
      <c r="A9" s="7" t="s">
        <v>22</v>
      </c>
      <c r="B9" s="8"/>
      <c r="C9" s="8"/>
      <c r="D9" s="638"/>
      <c r="E9" s="9" t="s">
        <v>23</v>
      </c>
      <c r="F9" s="673" t="s">
        <v>194</v>
      </c>
      <c r="G9" s="674"/>
      <c r="H9" s="674"/>
      <c r="I9" s="101">
        <f>'Incentive effect'!I9</f>
        <v>0.7844488188976377</v>
      </c>
      <c r="K9" s="735"/>
      <c r="L9" s="15" t="s">
        <v>26</v>
      </c>
      <c r="M9" s="29">
        <f>'Incentive effect'!M9</f>
        <v>0.3333333333333333</v>
      </c>
      <c r="N9" s="251"/>
      <c r="O9" s="258">
        <f>$N$8+$O$8</f>
        <v>70.67607224591931</v>
      </c>
      <c r="P9" s="252"/>
      <c r="Q9" s="252">
        <f>'Incentive effect'!$Q$9*AB10</f>
        <v>0.3745914364719378</v>
      </c>
      <c r="R9" s="281"/>
      <c r="S9" s="272">
        <f>'Incentive effect'!S9*AC14</f>
        <v>1.0401882405372374</v>
      </c>
      <c r="T9" s="283">
        <f>'Incentive effect'!T9*AC18</f>
        <v>0.19531583105452466</v>
      </c>
      <c r="U9" s="272">
        <f>'Incentive effect'!U9*AC18</f>
        <v>1.050911175827367</v>
      </c>
      <c r="V9" s="284">
        <f>'Incentive effect'!V9*AC20</f>
        <v>0.9435874944298912</v>
      </c>
      <c r="W9" s="139"/>
      <c r="X9" s="68">
        <f t="shared" si="0"/>
        <v>9</v>
      </c>
      <c r="Y9" s="405">
        <f>AVERAGE(R26:R31)</f>
        <v>0.04761666666666667</v>
      </c>
      <c r="Z9" s="403">
        <v>0.991283</v>
      </c>
      <c r="AA9" s="25">
        <f>($AA$5*$H$5*$Z$9)*(1-Y9)</f>
        <v>4.720407039083334</v>
      </c>
      <c r="AB9" s="25">
        <f>(($AB$5*$H$6*(Z9))+((1-$AB$5)*$K$6*(Z9)))*(1-Y9)</f>
        <v>8.496732670350001</v>
      </c>
      <c r="AC9" s="25">
        <f>(($AC$5*$H$7*(Z9))+((1-$AC$5)*$K$6*(Z9)))*(1-Y9)</f>
        <v>10.384895485983334</v>
      </c>
      <c r="AD9" s="172">
        <f>($AD$5*$H$7*(Z9))*(1-Y9)</f>
        <v>6.6085698547166665</v>
      </c>
      <c r="AE9" s="325"/>
      <c r="AF9" s="326"/>
      <c r="AG9" s="326"/>
      <c r="AH9" s="32"/>
      <c r="AI9" s="305"/>
      <c r="AJ9" s="32"/>
      <c r="AK9" s="32"/>
      <c r="AL9" s="304"/>
      <c r="AM9" s="307"/>
      <c r="AN9" s="307"/>
      <c r="AO9" s="173"/>
      <c r="AP9" s="173"/>
      <c r="AQ9" s="67"/>
      <c r="AR9" s="307"/>
      <c r="AS9" s="307"/>
      <c r="AT9" s="307"/>
      <c r="AU9" s="173"/>
      <c r="AV9" s="173"/>
      <c r="AW9" s="67"/>
      <c r="AX9" s="307"/>
      <c r="AY9" s="31"/>
    </row>
    <row r="10" spans="1:51" ht="12.75" customHeight="1">
      <c r="A10" s="7" t="s">
        <v>27</v>
      </c>
      <c r="B10" s="8"/>
      <c r="C10" s="8"/>
      <c r="D10" s="638">
        <v>0</v>
      </c>
      <c r="E10" s="9" t="s">
        <v>23</v>
      </c>
      <c r="F10" s="102" t="s">
        <v>195</v>
      </c>
      <c r="G10" s="150"/>
      <c r="I10" s="101">
        <f>'Incentive effect'!I10</f>
        <v>0.5</v>
      </c>
      <c r="K10" s="214">
        <f>'Incentive effect'!K10</f>
        <v>0.4</v>
      </c>
      <c r="L10" s="15" t="s">
        <v>29</v>
      </c>
      <c r="M10" s="29">
        <f>'Incentive effect'!M10</f>
        <v>0.2</v>
      </c>
      <c r="N10" s="114"/>
      <c r="O10" s="31"/>
      <c r="P10" s="115"/>
      <c r="Q10" s="162">
        <f>P8+Q9</f>
        <v>4.145650032387254</v>
      </c>
      <c r="R10" s="281"/>
      <c r="S10" s="341">
        <f>$R$8+S9</f>
        <v>14.76408641836603</v>
      </c>
      <c r="T10" s="285">
        <f>$R$8+S9+T9</f>
        <v>14.959402249420556</v>
      </c>
      <c r="U10" s="286">
        <f>$R$8+U9</f>
        <v>14.77480935365616</v>
      </c>
      <c r="V10" s="287">
        <f>$R$8+V9</f>
        <v>14.667485672258685</v>
      </c>
      <c r="W10" s="235"/>
      <c r="X10" s="68">
        <f t="shared" si="0"/>
        <v>10</v>
      </c>
      <c r="Y10" s="84" t="s">
        <v>214</v>
      </c>
      <c r="Z10" s="231">
        <v>1.055258</v>
      </c>
      <c r="AA10" s="146">
        <f>AA9/$AA$6</f>
        <v>0.9440814078166667</v>
      </c>
      <c r="AB10" s="146">
        <f>AB9/$AB$6</f>
        <v>0.9440814078166668</v>
      </c>
      <c r="AC10" s="146">
        <f>AC9/$AC$6</f>
        <v>0.9440814078166667</v>
      </c>
      <c r="AD10" s="404">
        <f>AD9/$AD$6</f>
        <v>0.9440814078166666</v>
      </c>
      <c r="AE10" s="325"/>
      <c r="AF10" s="326"/>
      <c r="AG10" s="326"/>
      <c r="AH10" s="32"/>
      <c r="AI10" s="305"/>
      <c r="AJ10" s="32"/>
      <c r="AK10" s="32"/>
      <c r="AL10" s="304"/>
      <c r="AM10" s="307"/>
      <c r="AN10" s="307"/>
      <c r="AO10" s="173"/>
      <c r="AP10" s="173"/>
      <c r="AQ10" s="67"/>
      <c r="AR10" s="307"/>
      <c r="AS10" s="307"/>
      <c r="AT10" s="307"/>
      <c r="AU10" s="173"/>
      <c r="AV10" s="173"/>
      <c r="AW10" s="67"/>
      <c r="AX10" s="307"/>
      <c r="AY10" s="31"/>
    </row>
    <row r="11" spans="1:51" ht="12.75" customHeight="1">
      <c r="A11" s="7" t="s">
        <v>30</v>
      </c>
      <c r="B11" s="8"/>
      <c r="C11" s="26">
        <f>1/6</f>
        <v>0.16666666666666666</v>
      </c>
      <c r="D11" s="15" t="s">
        <v>31</v>
      </c>
      <c r="E11" s="27">
        <v>0</v>
      </c>
      <c r="F11" s="10" t="s">
        <v>19</v>
      </c>
      <c r="G11" s="8"/>
      <c r="H11" s="8"/>
      <c r="I11" s="12">
        <v>8</v>
      </c>
      <c r="J11" s="20" t="s">
        <v>20</v>
      </c>
      <c r="K11" s="8"/>
      <c r="L11" s="97" t="s">
        <v>33</v>
      </c>
      <c r="M11" s="12"/>
      <c r="N11" s="130">
        <f>N8*M9</f>
        <v>21.263442798102663</v>
      </c>
      <c r="O11" s="130">
        <f>O9*M9</f>
        <v>23.55869074863977</v>
      </c>
      <c r="P11" s="121">
        <f>P8*$M$10</f>
        <v>0.7542117191830633</v>
      </c>
      <c r="Q11" s="162">
        <f>Q10*$M$10</f>
        <v>0.8291300064774507</v>
      </c>
      <c r="R11" s="334">
        <f>R8*$M$10</f>
        <v>2.744779635565759</v>
      </c>
      <c r="S11" s="341">
        <f>S10*$M$10</f>
        <v>2.9528172836732063</v>
      </c>
      <c r="T11" s="285">
        <f>T10*$M$10</f>
        <v>2.9918804498841114</v>
      </c>
      <c r="U11" s="286">
        <f>U10*$M$10</f>
        <v>2.954961870731232</v>
      </c>
      <c r="V11" s="287">
        <f>V10*$M$10</f>
        <v>2.9334971344517373</v>
      </c>
      <c r="W11" s="105"/>
      <c r="X11" s="68">
        <f t="shared" si="0"/>
        <v>11</v>
      </c>
      <c r="Y11" s="406">
        <f>AVERAGE(R32:R45)</f>
        <v>0.004785714285714285</v>
      </c>
      <c r="Z11" s="403">
        <v>0.991283</v>
      </c>
      <c r="AA11" s="25">
        <f>($AA$5*$H$5*$Z$11)*(1-Y11)</f>
        <v>4.932695013928571</v>
      </c>
      <c r="AB11" s="25">
        <f>(($AB$5*$H$6*(Z11))+((1-$AB$5)*$K$6*(Z11)))*(1-Y11)</f>
        <v>8.878851025071429</v>
      </c>
      <c r="AC11" s="25">
        <f>(($AC$5*$H$7*(Z11))+((1-$AC$5)*$K$6*(Z11)))*(1-Y11)</f>
        <v>10.851929030642857</v>
      </c>
      <c r="AD11" s="172">
        <f>($AD$5*$H$7*(Z11))*(1-Y11)</f>
        <v>6.9057730195</v>
      </c>
      <c r="AE11" s="305"/>
      <c r="AF11" s="326"/>
      <c r="AG11" s="326"/>
      <c r="AH11" s="32"/>
      <c r="AI11" s="305"/>
      <c r="AJ11" s="32"/>
      <c r="AK11" s="32"/>
      <c r="AL11" s="304"/>
      <c r="AM11" s="307"/>
      <c r="AN11" s="307"/>
      <c r="AO11" s="173"/>
      <c r="AP11" s="173"/>
      <c r="AQ11" s="67"/>
      <c r="AR11" s="307"/>
      <c r="AS11" s="307"/>
      <c r="AT11" s="307"/>
      <c r="AU11" s="173"/>
      <c r="AV11" s="173"/>
      <c r="AW11" s="148"/>
      <c r="AX11" s="307"/>
      <c r="AY11" s="31"/>
    </row>
    <row r="12" spans="1:51" ht="12.75" customHeight="1">
      <c r="A12" s="7" t="s">
        <v>34</v>
      </c>
      <c r="B12" s="8"/>
      <c r="C12" s="29">
        <v>0.07</v>
      </c>
      <c r="D12" s="15" t="s">
        <v>35</v>
      </c>
      <c r="E12" s="30">
        <v>6</v>
      </c>
      <c r="F12" s="10" t="s">
        <v>24</v>
      </c>
      <c r="G12" s="8"/>
      <c r="H12" s="8"/>
      <c r="I12" s="23">
        <f>I11/(C14+I11)</f>
        <v>0.23529411764705882</v>
      </c>
      <c r="J12" s="8"/>
      <c r="K12" s="8"/>
      <c r="L12" s="97" t="s">
        <v>36</v>
      </c>
      <c r="M12" s="12"/>
      <c r="N12" s="32">
        <f>'Incentive effect'!N12</f>
        <v>27.5</v>
      </c>
      <c r="O12" s="32">
        <f>'Incentive effect'!O12</f>
        <v>27.5</v>
      </c>
      <c r="P12" s="32">
        <f>'Incentive effect'!P12</f>
        <v>31.7</v>
      </c>
      <c r="Q12" s="32">
        <f>'Incentive effect'!Q12</f>
        <v>31.7</v>
      </c>
      <c r="R12" s="265">
        <f>'Incentive effect'!R12</f>
        <v>90.3</v>
      </c>
      <c r="S12" s="266">
        <f>'Incentive effect'!S12</f>
        <v>90.3</v>
      </c>
      <c r="T12" s="265">
        <f>'Incentive effect'!T12</f>
        <v>90.3</v>
      </c>
      <c r="U12" s="266">
        <f>'Incentive effect'!U12</f>
        <v>90.3</v>
      </c>
      <c r="V12" s="267">
        <f>'Incentive effect'!V12</f>
        <v>90.3</v>
      </c>
      <c r="W12" s="254"/>
      <c r="X12" s="68">
        <f t="shared" si="0"/>
        <v>12</v>
      </c>
      <c r="Y12" s="84" t="s">
        <v>237</v>
      </c>
      <c r="Z12" s="231">
        <v>1.055258</v>
      </c>
      <c r="AA12" s="146">
        <f>AA11/$AA$6</f>
        <v>0.9865390027857142</v>
      </c>
      <c r="AB12" s="146">
        <f>AB11/$AB$6</f>
        <v>0.9865390027857143</v>
      </c>
      <c r="AC12" s="146">
        <f>AC11/$AC$6</f>
        <v>0.9865390027857143</v>
      </c>
      <c r="AD12" s="404">
        <f>AD11/$AD$6</f>
        <v>0.9865390027857143</v>
      </c>
      <c r="AE12" s="31"/>
      <c r="AF12" s="326"/>
      <c r="AG12" s="326"/>
      <c r="AH12" s="32"/>
      <c r="AI12" s="305"/>
      <c r="AJ12" s="32"/>
      <c r="AK12" s="32"/>
      <c r="AL12" s="304"/>
      <c r="AM12" s="307"/>
      <c r="AN12" s="307"/>
      <c r="AO12" s="173"/>
      <c r="AP12" s="173"/>
      <c r="AQ12" s="148"/>
      <c r="AR12" s="307"/>
      <c r="AS12" s="307"/>
      <c r="AT12" s="307"/>
      <c r="AU12" s="173"/>
      <c r="AV12" s="173"/>
      <c r="AW12" s="67"/>
      <c r="AX12" s="307"/>
      <c r="AY12" s="31"/>
    </row>
    <row r="13" spans="1:51" ht="12.75" customHeight="1">
      <c r="A13" s="18" t="s">
        <v>37</v>
      </c>
      <c r="B13" s="8"/>
      <c r="C13" s="14">
        <f>(1/(1+C12)^E12)</f>
        <v>0.6663422238165125</v>
      </c>
      <c r="D13" s="8"/>
      <c r="E13" s="9"/>
      <c r="F13" s="10" t="s">
        <v>28</v>
      </c>
      <c r="G13" s="8"/>
      <c r="H13" s="8"/>
      <c r="I13" s="8"/>
      <c r="J13" s="25">
        <f>'Incentive effect'!J13</f>
        <v>13.910055604292817</v>
      </c>
      <c r="K13" s="187">
        <f>ROUND(J13,0)</f>
        <v>14</v>
      </c>
      <c r="L13" s="18" t="s">
        <v>38</v>
      </c>
      <c r="M13" s="8"/>
      <c r="N13" s="105">
        <f>'Incentive effect'!N13</f>
        <v>2.0075</v>
      </c>
      <c r="O13" s="105">
        <f>'Incentive effect'!O13</f>
        <v>2.0075</v>
      </c>
      <c r="P13" s="105">
        <f>'Incentive effect'!P13</f>
        <v>2.3086249999999997</v>
      </c>
      <c r="Q13" s="105">
        <f>'Incentive effect'!Q13</f>
        <v>2.3086249999999997</v>
      </c>
      <c r="R13" s="342">
        <f>'Incentive effect'!R13</f>
        <v>6.3145</v>
      </c>
      <c r="S13" s="286">
        <f>'Incentive effect'!S13</f>
        <v>6.3145</v>
      </c>
      <c r="T13" s="281"/>
      <c r="U13" s="288"/>
      <c r="V13" s="289"/>
      <c r="W13" s="299"/>
      <c r="X13" s="68">
        <f t="shared" si="0"/>
        <v>13</v>
      </c>
      <c r="Y13" s="407">
        <f>AVERAGE(S26:S31)</f>
        <v>0.22678333333333336</v>
      </c>
      <c r="Z13" s="403">
        <v>0.93164</v>
      </c>
      <c r="AA13" s="25">
        <f>($AA$5*$H$5*Z13)*(1-Y13)</f>
        <v>3.6017978766666667</v>
      </c>
      <c r="AB13" s="25">
        <f>(($AB$5*$H$6*(Z13))+((1-$AB$5)*$K$6*(Z13)))*(1-Y13)</f>
        <v>6.483236178</v>
      </c>
      <c r="AC13" s="25">
        <f>(($AC$5*$H$7*(Z13))+((1-$AC$5)*$K$6*(Z13)))*(1-Y13)</f>
        <v>7.923955328666667</v>
      </c>
      <c r="AD13" s="172">
        <f>($AD$5*$H$7*(Z13))*(1-Y13)</f>
        <v>5.042517027333334</v>
      </c>
      <c r="AE13" s="304"/>
      <c r="AF13" s="32"/>
      <c r="AG13" s="173"/>
      <c r="AH13" s="32"/>
      <c r="AI13" s="305"/>
      <c r="AJ13" s="32"/>
      <c r="AK13" s="304"/>
      <c r="AL13" s="32"/>
      <c r="AM13" s="309"/>
      <c r="AN13" s="31"/>
      <c r="AO13" s="173"/>
      <c r="AP13" s="173"/>
      <c r="AQ13" s="67"/>
      <c r="AR13" s="307"/>
      <c r="AS13" s="306"/>
      <c r="AT13" s="31"/>
      <c r="AU13" s="173"/>
      <c r="AV13" s="173"/>
      <c r="AW13" s="67"/>
      <c r="AX13" s="307"/>
      <c r="AY13" s="31"/>
    </row>
    <row r="14" spans="1:51" ht="12.75" customHeight="1">
      <c r="A14" s="7" t="s">
        <v>39</v>
      </c>
      <c r="B14" s="8"/>
      <c r="C14" s="8">
        <v>26</v>
      </c>
      <c r="D14" s="8" t="s">
        <v>40</v>
      </c>
      <c r="E14" s="9"/>
      <c r="F14" s="10" t="s">
        <v>32</v>
      </c>
      <c r="G14" s="8"/>
      <c r="H14" s="8"/>
      <c r="I14" s="8"/>
      <c r="J14" s="28">
        <f>'Incentive effect'!J14</f>
        <v>4.636685201430939</v>
      </c>
      <c r="K14" s="187">
        <f>ROUND(J14,0)</f>
        <v>5</v>
      </c>
      <c r="L14" s="7" t="s">
        <v>42</v>
      </c>
      <c r="M14" s="8"/>
      <c r="N14" s="8"/>
      <c r="O14" s="32">
        <v>2.5</v>
      </c>
      <c r="P14" s="8"/>
      <c r="Q14" s="12">
        <f>O14</f>
        <v>2.5</v>
      </c>
      <c r="R14" s="281"/>
      <c r="S14" s="288"/>
      <c r="T14" s="290">
        <f>(U10-U11)*$O$15</f>
        <v>7.879898321949952</v>
      </c>
      <c r="U14" s="291">
        <f>(V10-V11)*$O$15</f>
        <v>7.822659025204631</v>
      </c>
      <c r="V14" s="289"/>
      <c r="X14" s="68">
        <f t="shared" si="0"/>
        <v>14</v>
      </c>
      <c r="Y14" s="84" t="s">
        <v>228</v>
      </c>
      <c r="Z14" s="231">
        <v>1.112814</v>
      </c>
      <c r="AA14" s="146">
        <f>AA13/$AA$6</f>
        <v>0.7203595753333334</v>
      </c>
      <c r="AB14" s="146">
        <f>AB13/$AB$6</f>
        <v>0.7203595753333334</v>
      </c>
      <c r="AC14" s="146">
        <f>AC13/$AC$6</f>
        <v>0.7203595753333333</v>
      </c>
      <c r="AD14" s="404">
        <f>AD13/$AD$6</f>
        <v>0.7203595753333334</v>
      </c>
      <c r="AE14" s="304"/>
      <c r="AF14" s="173"/>
      <c r="AG14" s="173"/>
      <c r="AH14" s="310"/>
      <c r="AI14" s="305"/>
      <c r="AJ14" s="304"/>
      <c r="AK14" s="31"/>
      <c r="AL14" s="31"/>
      <c r="AM14" s="309"/>
      <c r="AN14" s="31"/>
      <c r="AO14" s="173"/>
      <c r="AP14" s="173"/>
      <c r="AQ14" s="67"/>
      <c r="AR14" s="307"/>
      <c r="AS14" s="309"/>
      <c r="AT14" s="31"/>
      <c r="AU14" s="173"/>
      <c r="AV14" s="173"/>
      <c r="AW14" s="67"/>
      <c r="AX14" s="307"/>
      <c r="AY14" s="31"/>
    </row>
    <row r="15" spans="1:51" ht="12.75" customHeight="1">
      <c r="A15" s="7" t="s">
        <v>43</v>
      </c>
      <c r="B15" s="8"/>
      <c r="C15" s="8">
        <v>5.62</v>
      </c>
      <c r="D15" s="8" t="s">
        <v>40</v>
      </c>
      <c r="E15" s="9"/>
      <c r="F15" s="10" t="s">
        <v>41</v>
      </c>
      <c r="G15" s="8"/>
      <c r="H15" s="8"/>
      <c r="I15" s="14"/>
      <c r="J15" s="25">
        <f>'Incentive effect'!J15</f>
        <v>9.273370402861877</v>
      </c>
      <c r="K15" s="187">
        <f>ROUND(J15,0)</f>
        <v>9</v>
      </c>
      <c r="L15" s="188" t="s">
        <v>44</v>
      </c>
      <c r="M15" s="8"/>
      <c r="N15" s="8"/>
      <c r="O15" s="29">
        <f>2/3</f>
        <v>0.6666666666666666</v>
      </c>
      <c r="P15" s="34">
        <f>(Q10-Q11)*$O$15</f>
        <v>2.2110133506065353</v>
      </c>
      <c r="Q15" s="12">
        <f>ROUND(P15,0)</f>
        <v>2</v>
      </c>
      <c r="R15" s="290">
        <f>(S10-S11)*$O$15</f>
        <v>7.87417942312855</v>
      </c>
      <c r="S15" s="277">
        <f>ROUND(R15,0)</f>
        <v>8</v>
      </c>
      <c r="T15" s="292">
        <f>ROUND(T14,0)</f>
        <v>8</v>
      </c>
      <c r="U15" s="274">
        <f>ROUND(U14,0)</f>
        <v>8</v>
      </c>
      <c r="V15" s="289"/>
      <c r="W15" s="216"/>
      <c r="X15" s="68">
        <f t="shared" si="0"/>
        <v>15</v>
      </c>
      <c r="Y15" s="406">
        <f>AVERAGE(S32:S45)</f>
        <v>0.07821428571428571</v>
      </c>
      <c r="Z15" s="403">
        <v>0.93164</v>
      </c>
      <c r="AA15" s="25">
        <f>($AA$5*$H$5*Z15)*(1-Y15)</f>
        <v>4.293862214285714</v>
      </c>
      <c r="AB15" s="25">
        <f>(($AB$5*$H$6*(Z15))+((1-$AB$5)*$K$6*(Z15)))*(1-Y15)</f>
        <v>7.728951985714286</v>
      </c>
      <c r="AC15" s="25">
        <f>(($AC$5*$H$7*(Z15))+((1-$AC$5)*$K$6*(Z15)))*(1-Y15)</f>
        <v>9.446496871428572</v>
      </c>
      <c r="AD15" s="172">
        <f>($AD$5*$H$7*(Z15))*(1-Y15)</f>
        <v>6.0114071000000004</v>
      </c>
      <c r="AE15" s="304"/>
      <c r="AF15" s="173"/>
      <c r="AG15" s="173"/>
      <c r="AH15" s="31"/>
      <c r="AI15" s="31"/>
      <c r="AJ15" s="31"/>
      <c r="AK15" s="31"/>
      <c r="AL15" s="31"/>
      <c r="AM15" s="151"/>
      <c r="AN15" s="31"/>
      <c r="AO15" s="32"/>
      <c r="AP15" s="32"/>
      <c r="AQ15" s="67"/>
      <c r="AR15" s="31"/>
      <c r="AS15" s="31"/>
      <c r="AT15" s="31"/>
      <c r="AU15" s="31"/>
      <c r="AV15" s="31"/>
      <c r="AW15" s="31"/>
      <c r="AX15" s="31"/>
      <c r="AY15" s="31"/>
    </row>
    <row r="16" spans="1:51" ht="12.75" customHeight="1" thickBot="1">
      <c r="A16" s="35" t="s">
        <v>45</v>
      </c>
      <c r="B16" s="36"/>
      <c r="C16" s="37">
        <f>(1-(C15/(C14+C15)))</f>
        <v>0.8222643896268185</v>
      </c>
      <c r="D16" s="36"/>
      <c r="E16" s="38"/>
      <c r="F16" s="39" t="s">
        <v>46</v>
      </c>
      <c r="G16" s="36"/>
      <c r="H16" s="36"/>
      <c r="I16" s="36"/>
      <c r="J16" s="40">
        <v>2</v>
      </c>
      <c r="K16" s="36" t="s">
        <v>47</v>
      </c>
      <c r="L16" s="35" t="s">
        <v>48</v>
      </c>
      <c r="M16" s="36"/>
      <c r="N16" s="36"/>
      <c r="O16" s="36"/>
      <c r="P16" s="36"/>
      <c r="Q16" s="52">
        <v>1</v>
      </c>
      <c r="R16" s="39"/>
      <c r="S16" s="55"/>
      <c r="T16" s="36"/>
      <c r="U16" s="36"/>
      <c r="V16" s="100"/>
      <c r="W16" s="139"/>
      <c r="X16" s="68">
        <f t="shared" si="0"/>
        <v>16</v>
      </c>
      <c r="Y16" s="84" t="s">
        <v>238</v>
      </c>
      <c r="Z16" s="231">
        <v>1.112814</v>
      </c>
      <c r="AA16" s="259">
        <f>AA15/$AA$6</f>
        <v>0.8587724428571428</v>
      </c>
      <c r="AB16" s="259">
        <f>AB15/$AB$6</f>
        <v>0.8587724428571428</v>
      </c>
      <c r="AC16" s="259">
        <f>AC15/$AC$6</f>
        <v>0.8587724428571429</v>
      </c>
      <c r="AD16" s="408">
        <f>AD15/$AD$6</f>
        <v>0.8587724428571429</v>
      </c>
      <c r="AE16" s="304"/>
      <c r="AF16" s="173"/>
      <c r="AG16" s="173"/>
      <c r="AH16" s="31"/>
      <c r="AI16" s="31"/>
      <c r="AJ16" s="31"/>
      <c r="AK16" s="31"/>
      <c r="AL16" s="31"/>
      <c r="AM16" s="31"/>
      <c r="AN16" s="31"/>
      <c r="AO16" s="307"/>
      <c r="AP16" s="307"/>
      <c r="AQ16" s="32"/>
      <c r="AR16" s="307"/>
      <c r="AS16" s="311"/>
      <c r="AT16" s="31"/>
      <c r="AU16" s="311"/>
      <c r="AV16" s="311"/>
      <c r="AW16" s="31"/>
      <c r="AX16" s="31"/>
      <c r="AY16" s="31"/>
    </row>
    <row r="17" spans="1:51" ht="12.75" customHeight="1">
      <c r="A17" s="41"/>
      <c r="B17" s="41"/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15">
        <f>N8+P8+R8</f>
        <v>81.2852851680521</v>
      </c>
      <c r="S17" s="215">
        <f>O9+Q10+S10-R17</f>
        <v>8.300523528620502</v>
      </c>
      <c r="T17" t="s">
        <v>215</v>
      </c>
      <c r="U17" s="234">
        <f>1.66/(14.28+1.66)</f>
        <v>0.1041405269761606</v>
      </c>
      <c r="V17" s="234">
        <f>I8/(1+I8)</f>
        <v>0.10528287748220305</v>
      </c>
      <c r="W17" s="300"/>
      <c r="X17" s="68">
        <f t="shared" si="0"/>
        <v>17</v>
      </c>
      <c r="Y17" s="409">
        <f>AVERAGE(T26:T31)</f>
        <v>0.38221666666666665</v>
      </c>
      <c r="Z17" s="403">
        <v>0.872354</v>
      </c>
      <c r="AA17" s="95">
        <f>($AA$5*$H$5*Z17)*(1-Y17)</f>
        <v>2.6946288098333335</v>
      </c>
      <c r="AB17" s="95">
        <f>(($AB$5*$H$6*(Z17))+((1-$AB$5)*$K$6*(Z17)))*(1-Y17)</f>
        <v>4.8503318577000005</v>
      </c>
      <c r="AC17" s="25">
        <f>(($AC$5*$H$7*(Z17))+((1-$AC$5)*$K$6*(Z17)))*(1-Y17)</f>
        <v>5.928183381633334</v>
      </c>
      <c r="AD17" s="172">
        <f>($AD$5*$H$7*(Z17))*(1-Y17)</f>
        <v>3.772480333766667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104"/>
      <c r="AP17" s="104"/>
      <c r="AQ17" s="31"/>
      <c r="AR17" s="31"/>
      <c r="AS17" s="31"/>
      <c r="AT17" s="31"/>
      <c r="AU17" s="31"/>
      <c r="AV17" s="31"/>
      <c r="AW17" s="31"/>
      <c r="AX17" s="31"/>
      <c r="AY17" s="31"/>
    </row>
    <row r="18" spans="1:51" ht="15" customHeight="1">
      <c r="A18" s="8"/>
      <c r="B18" s="717" t="s">
        <v>49</v>
      </c>
      <c r="C18" s="718"/>
      <c r="D18" s="718"/>
      <c r="E18" s="718"/>
      <c r="F18" s="690"/>
      <c r="G18" s="717" t="s">
        <v>50</v>
      </c>
      <c r="H18" s="718"/>
      <c r="I18" s="718"/>
      <c r="J18" s="718"/>
      <c r="K18" s="718"/>
      <c r="L18" s="718"/>
      <c r="M18" s="718"/>
      <c r="N18" s="718"/>
      <c r="O18" s="718"/>
      <c r="P18" s="690"/>
      <c r="R18" s="366">
        <v>0.8906562681473593</v>
      </c>
      <c r="S18" s="373">
        <v>0.8906562681473593</v>
      </c>
      <c r="T18" s="373">
        <v>0.8906562681473593</v>
      </c>
      <c r="U18" s="367">
        <v>0.8906562681473593</v>
      </c>
      <c r="V18" s="373">
        <v>0.8906562681473593</v>
      </c>
      <c r="W18" s="368">
        <v>0.8906562681473593</v>
      </c>
      <c r="X18" s="68">
        <f t="shared" si="0"/>
        <v>18</v>
      </c>
      <c r="Y18" s="84" t="s">
        <v>224</v>
      </c>
      <c r="Z18" s="232">
        <v>1.150236</v>
      </c>
      <c r="AA18" s="146">
        <f>AA17/$AA$6</f>
        <v>0.5389257619666667</v>
      </c>
      <c r="AB18" s="146">
        <f>AB17/$AB$6</f>
        <v>0.5389257619666667</v>
      </c>
      <c r="AC18" s="146">
        <f>AC17/$AC$6</f>
        <v>0.5389257619666666</v>
      </c>
      <c r="AD18" s="404">
        <f>AD17/$AD$6</f>
        <v>0.5389257619666667</v>
      </c>
      <c r="AE18" s="31"/>
      <c r="AF18" s="31"/>
      <c r="AG18" s="32"/>
      <c r="AH18" s="32"/>
      <c r="AI18" s="32"/>
      <c r="AJ18" s="312"/>
      <c r="AK18" s="32"/>
      <c r="AL18" s="313"/>
      <c r="AM18" s="31"/>
      <c r="AN18" s="31"/>
      <c r="AO18" s="314"/>
      <c r="AP18" s="307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:51" ht="12.75" customHeight="1">
      <c r="A19" s="44" t="s">
        <v>51</v>
      </c>
      <c r="B19" s="13" t="s">
        <v>52</v>
      </c>
      <c r="C19" s="12" t="s">
        <v>53</v>
      </c>
      <c r="D19" s="12" t="s">
        <v>54</v>
      </c>
      <c r="E19" s="12" t="s">
        <v>55</v>
      </c>
      <c r="F19" s="30" t="s">
        <v>56</v>
      </c>
      <c r="G19" s="13" t="s">
        <v>57</v>
      </c>
      <c r="H19" s="12" t="s">
        <v>58</v>
      </c>
      <c r="I19" s="12" t="s">
        <v>59</v>
      </c>
      <c r="J19" s="12" t="s">
        <v>60</v>
      </c>
      <c r="K19" s="12" t="s">
        <v>61</v>
      </c>
      <c r="L19" s="12" t="s">
        <v>62</v>
      </c>
      <c r="M19" s="12" t="s">
        <v>63</v>
      </c>
      <c r="N19" s="12" t="s">
        <v>64</v>
      </c>
      <c r="O19" s="12" t="s">
        <v>65</v>
      </c>
      <c r="P19" s="30"/>
      <c r="Q19" s="112"/>
      <c r="R19" s="374">
        <v>5.344016125343456</v>
      </c>
      <c r="S19" s="369">
        <v>4.077628427753626</v>
      </c>
      <c r="T19" s="369">
        <v>3.0506140026349904</v>
      </c>
      <c r="U19" s="369">
        <v>1.6388150297852384</v>
      </c>
      <c r="V19" s="369">
        <v>0.6215097927813776</v>
      </c>
      <c r="W19" s="370">
        <v>0.2633086936521585</v>
      </c>
      <c r="X19" s="68">
        <f t="shared" si="0"/>
        <v>19</v>
      </c>
      <c r="Y19" s="406">
        <f>AVERAGE(T32:T45)</f>
        <v>0.17716428571428572</v>
      </c>
      <c r="Z19" s="403">
        <v>0.872354</v>
      </c>
      <c r="AA19" s="25">
        <f>($AA$5*$H$5*Z19)*(1-Y19)</f>
        <v>3.5890201335</v>
      </c>
      <c r="AB19" s="25">
        <f>(($AB$5*$H$6*(Z19))+((1-$AB$5)*$K$6*(Z19)))*(1-Y19)</f>
        <v>6.4602362403</v>
      </c>
      <c r="AC19" s="25">
        <f>(($AC$5*$H$7*(Z19))+((1-$AC$5)*$K$6*(Z19)))*(1-Y19)</f>
        <v>7.8958442937</v>
      </c>
      <c r="AD19" s="172">
        <f>($AD$5*$H$7*(Z19))*(1-Y19)</f>
        <v>5.0246281869</v>
      </c>
      <c r="AE19" s="31"/>
      <c r="AF19" s="31"/>
      <c r="AG19" s="327"/>
      <c r="AH19" s="327"/>
      <c r="AI19" s="327"/>
      <c r="AJ19" s="327"/>
      <c r="AK19" s="327"/>
      <c r="AL19" s="31"/>
      <c r="AM19" s="304"/>
      <c r="AN19" s="31"/>
      <c r="AO19" s="314"/>
      <c r="AP19" s="307"/>
      <c r="AQ19" s="31"/>
      <c r="AR19" s="31"/>
      <c r="AS19" s="31"/>
      <c r="AT19" s="31"/>
      <c r="AU19" s="31"/>
      <c r="AV19" s="31"/>
      <c r="AW19" s="31"/>
      <c r="AX19" s="31"/>
      <c r="AY19" s="31"/>
    </row>
    <row r="20" spans="1:51" ht="12.75" customHeight="1">
      <c r="A20" s="45"/>
      <c r="B20" s="46" t="s">
        <v>122</v>
      </c>
      <c r="C20" s="701" t="s">
        <v>124</v>
      </c>
      <c r="D20" s="697"/>
      <c r="E20" s="697"/>
      <c r="F20" s="702"/>
      <c r="G20" s="701" t="s">
        <v>67</v>
      </c>
      <c r="H20" s="697"/>
      <c r="I20" s="19"/>
      <c r="J20" s="13" t="s">
        <v>103</v>
      </c>
      <c r="K20" s="47" t="s">
        <v>68</v>
      </c>
      <c r="L20" s="13" t="s">
        <v>69</v>
      </c>
      <c r="M20" s="701" t="s">
        <v>104</v>
      </c>
      <c r="N20" s="702"/>
      <c r="O20" s="48" t="s">
        <v>105</v>
      </c>
      <c r="P20" s="47"/>
      <c r="Q20" s="49" t="s">
        <v>116</v>
      </c>
      <c r="R20" s="374">
        <v>0.39908513110549676</v>
      </c>
      <c r="S20" s="369">
        <v>0.3045127180608888</v>
      </c>
      <c r="T20" s="369">
        <v>0.21066829556006567</v>
      </c>
      <c r="U20" s="371">
        <v>0.12238486854817746</v>
      </c>
      <c r="V20" s="371">
        <v>0.04641365432249017</v>
      </c>
      <c r="W20" s="372">
        <v>0.019663597950059043</v>
      </c>
      <c r="X20" s="68">
        <f t="shared" si="0"/>
        <v>20</v>
      </c>
      <c r="Y20" s="84" t="s">
        <v>239</v>
      </c>
      <c r="Z20" s="232">
        <v>1.150236</v>
      </c>
      <c r="AA20" s="259">
        <f>AA19/$AA$6</f>
        <v>0.7178040267</v>
      </c>
      <c r="AB20" s="259">
        <f>AB19/$AB$6</f>
        <v>0.7178040267000001</v>
      </c>
      <c r="AC20" s="259">
        <f>AC19/$AC$6</f>
        <v>0.7178040267</v>
      </c>
      <c r="AD20" s="408">
        <f>AD19/$AD$6</f>
        <v>0.7178040267</v>
      </c>
      <c r="AE20" s="31"/>
      <c r="AF20" s="32"/>
      <c r="AG20" s="327"/>
      <c r="AH20" s="327"/>
      <c r="AI20" s="327"/>
      <c r="AJ20" s="327"/>
      <c r="AK20" s="327"/>
      <c r="AL20" s="31"/>
      <c r="AM20" s="315"/>
      <c r="AN20" s="31"/>
      <c r="AO20" s="314"/>
      <c r="AP20" s="307"/>
      <c r="AQ20" s="31"/>
      <c r="AR20" s="31"/>
      <c r="AS20" s="31"/>
      <c r="AT20" s="31"/>
      <c r="AU20" s="31"/>
      <c r="AV20" s="31"/>
      <c r="AW20" s="31"/>
      <c r="AX20" s="31"/>
      <c r="AY20" s="31"/>
    </row>
    <row r="21" spans="1:51" ht="12.75" customHeight="1">
      <c r="A21" s="45"/>
      <c r="B21" s="49" t="s">
        <v>123</v>
      </c>
      <c r="C21" s="13" t="s">
        <v>70</v>
      </c>
      <c r="D21" s="697" t="s">
        <v>71</v>
      </c>
      <c r="E21" s="697"/>
      <c r="F21" s="30" t="s">
        <v>72</v>
      </c>
      <c r="G21" s="6" t="s">
        <v>73</v>
      </c>
      <c r="H21" s="5"/>
      <c r="I21" s="17" t="s">
        <v>74</v>
      </c>
      <c r="J21" s="17" t="s">
        <v>75</v>
      </c>
      <c r="K21" s="50" t="s">
        <v>66</v>
      </c>
      <c r="L21" s="17" t="s">
        <v>76</v>
      </c>
      <c r="M21" s="6" t="s">
        <v>77</v>
      </c>
      <c r="N21" s="51" t="s">
        <v>72</v>
      </c>
      <c r="O21" s="13" t="s">
        <v>78</v>
      </c>
      <c r="P21" s="47"/>
      <c r="Q21" s="46" t="s">
        <v>117</v>
      </c>
      <c r="R21" s="725" t="s">
        <v>277</v>
      </c>
      <c r="S21" s="726"/>
      <c r="T21" s="726"/>
      <c r="U21" s="726"/>
      <c r="V21" s="726"/>
      <c r="W21" s="727"/>
      <c r="X21" s="68">
        <f t="shared" si="0"/>
        <v>21</v>
      </c>
      <c r="Y21" s="407">
        <f>AVERAGE(U26:U31)</f>
        <v>0.6168333333333332</v>
      </c>
      <c r="Z21" s="403">
        <v>0.755586</v>
      </c>
      <c r="AA21" s="25">
        <f>($AA$5*$H$5*Z21)*(1-Y21)</f>
        <v>1.4475768450000004</v>
      </c>
      <c r="AB21" s="25">
        <f>(($AB$5*$H$6*(Z21))+((1-$AB$5)*$K$6*(Z21)))*(1-Y21)</f>
        <v>2.6056383210000007</v>
      </c>
      <c r="AC21" s="25">
        <f>(($AC$5*$H$7*(Z21))+((1-$AC$5)*$K$6*(Z21)))*(1-Y21)</f>
        <v>3.184669059000001</v>
      </c>
      <c r="AD21" s="172">
        <f>($AD$5*$H$7*(Z21))*(1-Y21)</f>
        <v>2.0266075830000005</v>
      </c>
      <c r="AE21" s="31"/>
      <c r="AF21" s="32"/>
      <c r="AG21" s="32"/>
      <c r="AH21" s="25"/>
      <c r="AI21" s="25"/>
      <c r="AJ21" s="327"/>
      <c r="AK21" s="327"/>
      <c r="AL21" s="31"/>
      <c r="AM21" s="315"/>
      <c r="AN21" s="32"/>
      <c r="AO21" s="316"/>
      <c r="AP21" s="307"/>
      <c r="AQ21" s="31"/>
      <c r="AR21" s="31"/>
      <c r="AS21" s="31"/>
      <c r="AT21" s="31"/>
      <c r="AU21" s="31"/>
      <c r="AV21" s="31"/>
      <c r="AW21" s="31"/>
      <c r="AX21" s="31"/>
      <c r="AY21" s="31"/>
    </row>
    <row r="22" spans="1:51" ht="12.75" customHeight="1" thickBot="1">
      <c r="A22" s="52" t="s">
        <v>79</v>
      </c>
      <c r="B22" s="53" t="s">
        <v>80</v>
      </c>
      <c r="C22" s="54" t="s">
        <v>81</v>
      </c>
      <c r="D22" s="55" t="s">
        <v>81</v>
      </c>
      <c r="E22" s="56" t="s">
        <v>6</v>
      </c>
      <c r="F22" s="57" t="s">
        <v>82</v>
      </c>
      <c r="G22" s="53" t="s">
        <v>83</v>
      </c>
      <c r="H22" s="58" t="s">
        <v>84</v>
      </c>
      <c r="I22" s="59" t="s">
        <v>6</v>
      </c>
      <c r="J22" s="59" t="s">
        <v>81</v>
      </c>
      <c r="K22" s="59" t="s">
        <v>6</v>
      </c>
      <c r="L22" s="57" t="s">
        <v>6</v>
      </c>
      <c r="M22" s="53" t="s">
        <v>6</v>
      </c>
      <c r="N22" s="57" t="s">
        <v>82</v>
      </c>
      <c r="O22" s="52" t="s">
        <v>81</v>
      </c>
      <c r="P22" s="57"/>
      <c r="Q22" s="53" t="s">
        <v>114</v>
      </c>
      <c r="R22" s="328">
        <v>9.34</v>
      </c>
      <c r="S22" s="329">
        <v>7.34</v>
      </c>
      <c r="T22" s="329">
        <v>6.5</v>
      </c>
      <c r="U22" s="329">
        <v>5.34</v>
      </c>
      <c r="V22" s="329">
        <v>4.22</v>
      </c>
      <c r="W22" s="362">
        <v>3.5</v>
      </c>
      <c r="X22" s="68">
        <f t="shared" si="0"/>
        <v>22</v>
      </c>
      <c r="Y22" s="84" t="s">
        <v>227</v>
      </c>
      <c r="Z22" s="231">
        <v>1.247768</v>
      </c>
      <c r="AA22" s="146">
        <f>AA21/$AA$6</f>
        <v>0.2895153690000001</v>
      </c>
      <c r="AB22" s="146">
        <f>AB21/$AB$6</f>
        <v>0.2895153690000001</v>
      </c>
      <c r="AC22" s="146">
        <f>AC21/$AC$6</f>
        <v>0.2895153690000001</v>
      </c>
      <c r="AD22" s="404">
        <f>AD21/$AD$6</f>
        <v>0.2895153690000001</v>
      </c>
      <c r="AE22" s="31"/>
      <c r="AF22" s="104"/>
      <c r="AG22" s="104"/>
      <c r="AH22" s="12"/>
      <c r="AI22" s="606"/>
      <c r="AJ22" s="327"/>
      <c r="AK22" s="327"/>
      <c r="AL22" s="301"/>
      <c r="AM22" s="301"/>
      <c r="AN22" s="30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</row>
    <row r="23" spans="1:51" ht="12.75" customHeight="1">
      <c r="A23" s="44">
        <v>2003</v>
      </c>
      <c r="B23" s="60">
        <f>'Incentive effect'!B23</f>
        <v>378.4249</v>
      </c>
      <c r="C23" s="61">
        <f>(N11*N12)+(P11*P12)</f>
        <v>608.6531884459263</v>
      </c>
      <c r="D23" s="8"/>
      <c r="E23" s="62">
        <f aca="true" t="shared" si="1" ref="E23:E39">D23*$C$16</f>
        <v>0</v>
      </c>
      <c r="F23" s="30">
        <f aca="true" t="shared" si="2" ref="F23:F39">E23/$C$14</f>
        <v>0</v>
      </c>
      <c r="G23" s="22"/>
      <c r="H23" s="65"/>
      <c r="I23" s="32"/>
      <c r="J23" s="63"/>
      <c r="K23" s="63"/>
      <c r="L23" s="65"/>
      <c r="M23" s="65"/>
      <c r="N23" s="66">
        <f>IF(K23&gt;J23,(SUM($J$23:J23)-SUM($K$23:K23))/$K$14,0)</f>
        <v>0</v>
      </c>
      <c r="O23" s="67">
        <f aca="true" t="shared" si="3" ref="O23:O65">L23+M23+$C$15*N23</f>
        <v>0</v>
      </c>
      <c r="P23" s="122"/>
      <c r="Q23" s="153">
        <f>'Incentive effect'!P23</f>
        <v>5.39714653015137</v>
      </c>
      <c r="R23" s="123"/>
      <c r="S23" s="132"/>
      <c r="U23" s="8"/>
      <c r="V23" s="8"/>
      <c r="X23" s="68">
        <f t="shared" si="0"/>
        <v>23</v>
      </c>
      <c r="Y23" s="406">
        <f>AVERAGE(U32:U45)</f>
        <v>0.4263142857142857</v>
      </c>
      <c r="Z23" s="403">
        <v>0.755586</v>
      </c>
      <c r="AA23" s="25">
        <f>($AA$5*$H$5*Z23)*(1-Y23)</f>
        <v>2.167344470571429</v>
      </c>
      <c r="AB23" s="25">
        <f>(($AB$5*$H$6*(Z23))+((1-$AB$5)*$K$6*(Z23)))*(1-Y23)</f>
        <v>3.901220047028572</v>
      </c>
      <c r="AC23" s="25">
        <f>(($AC$5*$H$7*(Z23))+((1-$AC$5)*$K$6*(Z23)))*(1-Y23)</f>
        <v>4.768157835257144</v>
      </c>
      <c r="AD23" s="172">
        <f>($AD$5*$H$7*(Z23))*(1-Y23)</f>
        <v>3.0342822588000002</v>
      </c>
      <c r="AE23" s="31"/>
      <c r="AF23" s="8"/>
      <c r="AG23" s="132"/>
      <c r="AH23" s="12"/>
      <c r="AI23" s="606"/>
      <c r="AJ23" s="31"/>
      <c r="AK23" s="31"/>
      <c r="AL23" s="301"/>
      <c r="AM23" s="301"/>
      <c r="AN23" s="301"/>
      <c r="AO23" s="318"/>
      <c r="AP23" s="318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2.75" customHeight="1">
      <c r="A24" s="44">
        <v>2004</v>
      </c>
      <c r="B24" s="60">
        <f>'Incentive effect'!B24</f>
        <v>365.0443</v>
      </c>
      <c r="C24" s="70">
        <f>C23</f>
        <v>608.6531884459263</v>
      </c>
      <c r="D24" s="21">
        <f>(SUM($C$23:C23)/$K$13)</f>
        <v>43.47522774613759</v>
      </c>
      <c r="E24" s="71">
        <f t="shared" si="1"/>
        <v>35.74813160656475</v>
      </c>
      <c r="F24" s="65">
        <f t="shared" si="2"/>
        <v>1.3749281387140289</v>
      </c>
      <c r="G24" s="22"/>
      <c r="H24" s="65"/>
      <c r="I24" s="22"/>
      <c r="J24" s="63"/>
      <c r="K24" s="63"/>
      <c r="L24" s="65"/>
      <c r="M24" s="65"/>
      <c r="N24" s="65">
        <f aca="true" t="shared" si="4" ref="N24:N65">(L24+M24)/$C$14</f>
        <v>0</v>
      </c>
      <c r="O24" s="67">
        <f t="shared" si="3"/>
        <v>0</v>
      </c>
      <c r="P24" s="375"/>
      <c r="Q24" s="154">
        <f>'Incentive effect'!P24</f>
        <v>5.809999294281011</v>
      </c>
      <c r="R24" s="123"/>
      <c r="S24" s="132"/>
      <c r="T24" s="105"/>
      <c r="U24" s="8"/>
      <c r="V24" s="177"/>
      <c r="W24" s="177"/>
      <c r="X24" s="68">
        <f t="shared" si="0"/>
        <v>24</v>
      </c>
      <c r="Y24" s="84" t="s">
        <v>240</v>
      </c>
      <c r="Z24" s="231">
        <v>1.247768</v>
      </c>
      <c r="AA24" s="259">
        <f>AA23/$AA$6</f>
        <v>0.4334688941142858</v>
      </c>
      <c r="AB24" s="259">
        <f>AB23/$AB$6</f>
        <v>0.4334688941142858</v>
      </c>
      <c r="AC24" s="259">
        <f>AC23/$AC$6</f>
        <v>0.4334688941142858</v>
      </c>
      <c r="AD24" s="408">
        <f>AD23/$AD$6</f>
        <v>0.43346889411428574</v>
      </c>
      <c r="AE24" s="31"/>
      <c r="AF24" s="105"/>
      <c r="AG24" s="132"/>
      <c r="AH24" s="12"/>
      <c r="AI24" s="606"/>
      <c r="AJ24" s="317"/>
      <c r="AK24" s="319"/>
      <c r="AL24" s="304"/>
      <c r="AM24" s="304"/>
      <c r="AN24" s="304"/>
      <c r="AO24" s="318"/>
      <c r="AP24" s="318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2.75" customHeight="1">
      <c r="A25" s="44">
        <v>2005</v>
      </c>
      <c r="B25" s="60">
        <f>'Incentive effect'!B25</f>
        <v>331.7466</v>
      </c>
      <c r="C25" s="70">
        <f aca="true" t="shared" si="5" ref="C25:C39">C24</f>
        <v>608.6531884459263</v>
      </c>
      <c r="D25" s="21">
        <f>(SUM($C$23:C24)/$K$13)</f>
        <v>86.95045549227518</v>
      </c>
      <c r="E25" s="71">
        <f t="shared" si="1"/>
        <v>71.4962632131295</v>
      </c>
      <c r="F25" s="65">
        <f t="shared" si="2"/>
        <v>2.7498562774280577</v>
      </c>
      <c r="G25" s="22"/>
      <c r="H25" s="65"/>
      <c r="I25" s="22"/>
      <c r="J25" s="63"/>
      <c r="K25" s="63"/>
      <c r="L25" s="65"/>
      <c r="M25" s="65"/>
      <c r="N25" s="65">
        <f t="shared" si="4"/>
        <v>0</v>
      </c>
      <c r="O25" s="67">
        <f t="shared" si="3"/>
        <v>0</v>
      </c>
      <c r="P25" s="375"/>
      <c r="Q25" s="154">
        <f>'Incentive effect'!P25</f>
        <v>7.93536979675292</v>
      </c>
      <c r="R25" s="124"/>
      <c r="S25" s="132"/>
      <c r="T25" s="105"/>
      <c r="U25" s="8"/>
      <c r="V25" s="8"/>
      <c r="X25" s="68">
        <f t="shared" si="0"/>
        <v>25</v>
      </c>
      <c r="Y25" s="409">
        <f>AVERAGE(V26:V31)</f>
        <v>0.8203833333333334</v>
      </c>
      <c r="Z25" s="403">
        <v>0.611284</v>
      </c>
      <c r="AA25" s="95">
        <f>($AA$5*$H$5*Z25)*(1-Y25)</f>
        <v>0.5489839723333333</v>
      </c>
      <c r="AB25" s="95">
        <f>(($AB$5*$H$6*(Z25))+((1-$AB$5)*$K$6*(Z25)))*(1-Y25)</f>
        <v>0.9881711502</v>
      </c>
      <c r="AC25" s="25">
        <f>(($AC$5*$H$7*(Z25))+((1-$AC$5)*$K$6*(Z25)))*(1-Y25)</f>
        <v>1.2077647391333333</v>
      </c>
      <c r="AD25" s="172">
        <f>($AD$5*$H$7*(Z25))*(1-Y25)</f>
        <v>0.7685775612666665</v>
      </c>
      <c r="AE25" s="31"/>
      <c r="AF25" s="105"/>
      <c r="AG25" s="132"/>
      <c r="AH25" s="12"/>
      <c r="AI25" s="606"/>
      <c r="AJ25" s="317"/>
      <c r="AK25" s="319"/>
      <c r="AL25" s="304"/>
      <c r="AM25" s="304"/>
      <c r="AN25" s="304"/>
      <c r="AO25" s="318"/>
      <c r="AP25" s="318"/>
      <c r="AQ25" s="31"/>
      <c r="AR25" s="31"/>
      <c r="AS25" s="31"/>
      <c r="AT25" s="31"/>
      <c r="AU25" s="31"/>
      <c r="AV25" s="31"/>
      <c r="AW25" s="31"/>
      <c r="AX25" s="31"/>
      <c r="AY25" s="31"/>
    </row>
    <row r="26" spans="1:51" ht="12.75" customHeight="1">
      <c r="A26" s="44">
        <v>2006</v>
      </c>
      <c r="B26" s="60">
        <f>'Incentive effect'!B26</f>
        <v>297.8337</v>
      </c>
      <c r="C26" s="70">
        <f t="shared" si="5"/>
        <v>608.6531884459263</v>
      </c>
      <c r="D26" s="21">
        <f>(SUM($C$23:C25)/$K$13)</f>
        <v>130.42568323841277</v>
      </c>
      <c r="E26" s="71">
        <f t="shared" si="1"/>
        <v>107.24439481969425</v>
      </c>
      <c r="F26" s="65">
        <f t="shared" si="2"/>
        <v>4.124784416142086</v>
      </c>
      <c r="G26" s="22">
        <f aca="true" t="shared" si="6" ref="G26:G31">$Q$86</f>
        <v>30.624533888606532</v>
      </c>
      <c r="H26" s="365">
        <f>AVERAGE(R18:W18)</f>
        <v>0.8906562681473593</v>
      </c>
      <c r="I26" s="349">
        <f>(SUM($G$25:G25)/$K$14)+(SUM(H25:H25)/$J$16)</f>
        <v>0</v>
      </c>
      <c r="J26" s="363">
        <f>AVERAGE(R19:W19)</f>
        <v>2.499315345325141</v>
      </c>
      <c r="K26" s="364">
        <f>AVERAGE(R20:W20)</f>
        <v>0.183788044257863</v>
      </c>
      <c r="L26" s="65">
        <v>0</v>
      </c>
      <c r="M26" s="163">
        <v>0</v>
      </c>
      <c r="N26" s="11">
        <f t="shared" si="4"/>
        <v>0</v>
      </c>
      <c r="O26" s="220">
        <f t="shared" si="3"/>
        <v>0</v>
      </c>
      <c r="P26" s="375"/>
      <c r="Q26" s="154">
        <f>'Incentive effect'!P26</f>
        <v>7.16958362579346</v>
      </c>
      <c r="R26" s="101">
        <v>0.1563</v>
      </c>
      <c r="S26" s="131">
        <v>0.451</v>
      </c>
      <c r="T26" s="227">
        <v>0.6273</v>
      </c>
      <c r="U26" s="226">
        <v>0.8063</v>
      </c>
      <c r="V26" s="198">
        <v>0.9123</v>
      </c>
      <c r="W26" s="198">
        <v>0.9597</v>
      </c>
      <c r="X26" s="68">
        <f t="shared" si="0"/>
        <v>26</v>
      </c>
      <c r="Y26" s="84" t="s">
        <v>241</v>
      </c>
      <c r="Z26" s="232">
        <v>1.433469</v>
      </c>
      <c r="AA26" s="146">
        <f>AA25/$AA$6</f>
        <v>0.10979679446666665</v>
      </c>
      <c r="AB26" s="146">
        <f>AB25/$AB$6</f>
        <v>0.10979679446666667</v>
      </c>
      <c r="AC26" s="146">
        <f>AC25/$AC$6</f>
        <v>0.10979679446666667</v>
      </c>
      <c r="AD26" s="404">
        <f>AD25/$AD$6</f>
        <v>0.10979679446666665</v>
      </c>
      <c r="AE26" s="31"/>
      <c r="AF26" s="227"/>
      <c r="AG26" s="226"/>
      <c r="AH26" s="12"/>
      <c r="AI26" s="606"/>
      <c r="AJ26" s="317"/>
      <c r="AK26" s="319"/>
      <c r="AL26" s="304"/>
      <c r="AM26" s="304"/>
      <c r="AN26" s="304"/>
      <c r="AO26" s="318"/>
      <c r="AP26" s="318"/>
      <c r="AQ26" s="31"/>
      <c r="AR26" s="31"/>
      <c r="AS26" s="31"/>
      <c r="AT26" s="31"/>
      <c r="AU26" s="31"/>
      <c r="AV26" s="31"/>
      <c r="AW26" s="31"/>
      <c r="AX26" s="31"/>
      <c r="AY26" s="31"/>
    </row>
    <row r="27" spans="1:51" ht="12.75" customHeight="1">
      <c r="A27" s="44">
        <v>2007</v>
      </c>
      <c r="B27" s="60">
        <f>'Incentive effect'!B27</f>
        <v>261.3062</v>
      </c>
      <c r="C27" s="70">
        <f t="shared" si="5"/>
        <v>608.6531884459263</v>
      </c>
      <c r="D27" s="21">
        <f>(SUM($C$23:C26)/$K$13)</f>
        <v>173.90091098455036</v>
      </c>
      <c r="E27" s="71">
        <f t="shared" si="1"/>
        <v>142.992526426259</v>
      </c>
      <c r="F27" s="65">
        <f t="shared" si="2"/>
        <v>5.499712554856115</v>
      </c>
      <c r="G27" s="22">
        <f t="shared" si="6"/>
        <v>30.624533888606532</v>
      </c>
      <c r="H27" s="172">
        <f>$Q$87</f>
        <v>0.8906562681473593</v>
      </c>
      <c r="I27" s="349">
        <f>(SUM($G$26:G26)/$K$14)+(SUM(H26:H26)/$J$16)</f>
        <v>6.570234911794985</v>
      </c>
      <c r="J27" s="410">
        <f>$Q$94</f>
        <v>5.344016125343456</v>
      </c>
      <c r="K27" s="411">
        <f>$Q$89</f>
        <v>0.39908513110549676</v>
      </c>
      <c r="L27" s="65">
        <f>SUM($K$26:K26)/$K$14</f>
        <v>0.0367576088515726</v>
      </c>
      <c r="M27" s="163">
        <f>IF($K$14&gt;(A27-$A$27),0,(((((1-($C$15/($C$14+$C$15)))*SUM($J$26:J26)))-SUM($K$26:K26))/$K$15))</f>
        <v>0</v>
      </c>
      <c r="N27" s="11">
        <f t="shared" si="4"/>
        <v>0.0014137541865989463</v>
      </c>
      <c r="O27" s="220">
        <f t="shared" si="3"/>
        <v>0.04470290738025868</v>
      </c>
      <c r="P27" s="375"/>
      <c r="Q27" s="154">
        <f>'Incentive effect'!P27</f>
        <v>6.45482761383057</v>
      </c>
      <c r="R27" s="186">
        <v>0.0747</v>
      </c>
      <c r="S27" s="131">
        <v>0.33</v>
      </c>
      <c r="T27" s="227">
        <v>0.5123</v>
      </c>
      <c r="U27" s="226">
        <v>0.7217</v>
      </c>
      <c r="V27" s="198">
        <v>0.8777</v>
      </c>
      <c r="W27" s="198">
        <v>0.9347</v>
      </c>
      <c r="X27" s="68">
        <f t="shared" si="0"/>
        <v>27</v>
      </c>
      <c r="Y27" s="406">
        <f>AVERAGE(V32:V45)</f>
        <v>0.6981642857142856</v>
      </c>
      <c r="Z27" s="403">
        <v>0.611284</v>
      </c>
      <c r="AA27" s="25">
        <f>($AA$5*$H$5*Z27)*(1-Y27)</f>
        <v>0.9225367138571433</v>
      </c>
      <c r="AB27" s="25">
        <f>(($AB$5*$H$6*(Z27))+((1-$AB$5)*$K$6*(Z27)))*(1-Y27)</f>
        <v>1.660566084942858</v>
      </c>
      <c r="AC27" s="25">
        <f>(($AC$5*$H$7*(Z27))+((1-$AC$5)*$K$6*(Z27)))*(1-Y27)</f>
        <v>2.0295807704857154</v>
      </c>
      <c r="AD27" s="172">
        <f>($AD$5*$H$7*(Z27))*(1-Y27)</f>
        <v>1.2915513994000005</v>
      </c>
      <c r="AE27" s="31"/>
      <c r="AF27" s="227"/>
      <c r="AG27" s="226"/>
      <c r="AH27" s="12"/>
      <c r="AI27" s="606"/>
      <c r="AJ27" s="317"/>
      <c r="AK27" s="319"/>
      <c r="AL27" s="304"/>
      <c r="AM27" s="304"/>
      <c r="AN27" s="304"/>
      <c r="AO27" s="318"/>
      <c r="AP27" s="318"/>
      <c r="AQ27" s="31"/>
      <c r="AR27" s="31"/>
      <c r="AS27" s="31"/>
      <c r="AT27" s="31"/>
      <c r="AU27" s="31"/>
      <c r="AV27" s="31"/>
      <c r="AW27" s="31"/>
      <c r="AX27" s="31"/>
      <c r="AY27" s="31"/>
    </row>
    <row r="28" spans="1:51" ht="12.75" customHeight="1">
      <c r="A28" s="44">
        <v>2008</v>
      </c>
      <c r="B28" s="60">
        <f>'Incentive effect'!B28</f>
        <v>226.5474</v>
      </c>
      <c r="C28" s="70">
        <f t="shared" si="5"/>
        <v>608.6531884459263</v>
      </c>
      <c r="D28" s="21">
        <f>(SUM($C$23:C27)/$K$13)</f>
        <v>217.37613873068796</v>
      </c>
      <c r="E28" s="71">
        <f t="shared" si="1"/>
        <v>178.74065803282375</v>
      </c>
      <c r="F28" s="65">
        <f t="shared" si="2"/>
        <v>6.874640693570144</v>
      </c>
      <c r="G28" s="22">
        <f t="shared" si="6"/>
        <v>30.624533888606532</v>
      </c>
      <c r="H28" s="65">
        <f>$Q$87</f>
        <v>0.8906562681473593</v>
      </c>
      <c r="I28" s="349">
        <f>(SUM($G$26:G27)/$K$14)+(SUM(H26:H27)/$J$16)</f>
        <v>13.14046982358997</v>
      </c>
      <c r="J28" s="22">
        <f>$Q$94</f>
        <v>5.344016125343456</v>
      </c>
      <c r="K28" s="63">
        <f>$Q$89</f>
        <v>0.39908513110549676</v>
      </c>
      <c r="L28" s="65">
        <f>SUM($K$26:K27)/$K$14</f>
        <v>0.11657463507267196</v>
      </c>
      <c r="M28" s="163">
        <f>IF($K$14&gt;(A28-$A$27),0,(((((1-($C$15/($C$14+$C$15)))*SUM($J$26:J27)))-SUM($K$26:K27))/$K$15))</f>
        <v>0</v>
      </c>
      <c r="N28" s="11">
        <f t="shared" si="4"/>
        <v>0.004483639810487383</v>
      </c>
      <c r="O28" s="220">
        <f t="shared" si="3"/>
        <v>0.14177269080761107</v>
      </c>
      <c r="P28" s="375"/>
      <c r="Q28" s="154">
        <f>'Incentive effect'!P28</f>
        <v>6.09526426315308</v>
      </c>
      <c r="R28" s="186">
        <v>0.035</v>
      </c>
      <c r="S28" s="131">
        <v>0.2387</v>
      </c>
      <c r="T28" s="227">
        <v>0.4253</v>
      </c>
      <c r="U28" s="226">
        <v>0.666</v>
      </c>
      <c r="V28" s="198">
        <v>0.856</v>
      </c>
      <c r="W28" s="198">
        <v>0.925</v>
      </c>
      <c r="X28" s="68">
        <f t="shared" si="0"/>
        <v>28</v>
      </c>
      <c r="Y28" s="84" t="s">
        <v>242</v>
      </c>
      <c r="Z28" s="232">
        <v>1.433469</v>
      </c>
      <c r="AA28" s="259">
        <f>AA27/$AA$6</f>
        <v>0.18450734277142866</v>
      </c>
      <c r="AB28" s="259">
        <f>AB27/$AB$6</f>
        <v>0.18450734277142866</v>
      </c>
      <c r="AC28" s="259">
        <f>AC27/$AC$6</f>
        <v>0.18450734277142866</v>
      </c>
      <c r="AD28" s="408">
        <f>AD27/$AD$6</f>
        <v>0.18450734277142863</v>
      </c>
      <c r="AE28" s="31"/>
      <c r="AF28" s="228"/>
      <c r="AG28" s="226"/>
      <c r="AH28" s="12"/>
      <c r="AI28" s="606"/>
      <c r="AJ28" s="317"/>
      <c r="AK28" s="319"/>
      <c r="AL28" s="304"/>
      <c r="AM28" s="304"/>
      <c r="AN28" s="304"/>
      <c r="AO28" s="318"/>
      <c r="AP28" s="318"/>
      <c r="AQ28" s="31"/>
      <c r="AR28" s="31"/>
      <c r="AS28" s="31"/>
      <c r="AT28" s="31"/>
      <c r="AU28" s="31"/>
      <c r="AV28" s="31"/>
      <c r="AW28" s="31"/>
      <c r="AX28" s="31"/>
      <c r="AY28" s="31"/>
    </row>
    <row r="29" spans="1:51" ht="12.75" customHeight="1">
      <c r="A29" s="44">
        <v>2009</v>
      </c>
      <c r="B29" s="60">
        <f>'Incentive effect'!B29</f>
        <v>197.3254</v>
      </c>
      <c r="C29" s="70">
        <f t="shared" si="5"/>
        <v>608.6531884459263</v>
      </c>
      <c r="D29" s="21">
        <f aca="true" t="shared" si="7" ref="D29:D39">(SUM(C23:C28)/$K$13)</f>
        <v>260.85136647682555</v>
      </c>
      <c r="E29" s="71">
        <f t="shared" si="1"/>
        <v>214.4887896393885</v>
      </c>
      <c r="F29" s="65">
        <f t="shared" si="2"/>
        <v>8.249568832284172</v>
      </c>
      <c r="G29" s="22">
        <f t="shared" si="6"/>
        <v>30.624533888606532</v>
      </c>
      <c r="H29" s="65">
        <f>$Q$87</f>
        <v>0.8906562681473593</v>
      </c>
      <c r="I29" s="350">
        <f>(SUM($G$26:G28)/$K$14)+(SUM(H27:H28)/$J$16)</f>
        <v>19.265376601311278</v>
      </c>
      <c r="J29" s="22">
        <f>$Q$94</f>
        <v>5.344016125343456</v>
      </c>
      <c r="K29" s="63">
        <f>$Q$89</f>
        <v>0.39908513110549676</v>
      </c>
      <c r="L29" s="65">
        <f>SUM($K$26:K28)/$K$14</f>
        <v>0.19639166129377134</v>
      </c>
      <c r="M29" s="163">
        <f>IF($K$14&gt;(A29-$A$27),0,(((((1-($C$15/($C$14+$C$15)))*SUM($J$26:J28)))-SUM($K$26:K28))/$K$15))</f>
        <v>0</v>
      </c>
      <c r="N29" s="11">
        <f t="shared" si="4"/>
        <v>0.00755352543437582</v>
      </c>
      <c r="O29" s="220">
        <f t="shared" si="3"/>
        <v>0.23884247423496344</v>
      </c>
      <c r="P29" s="375"/>
      <c r="Q29" s="154">
        <f>'Incentive effect'!P29</f>
        <v>5.66388208389282</v>
      </c>
      <c r="R29" s="186">
        <v>0.0127</v>
      </c>
      <c r="S29" s="131">
        <v>0.171</v>
      </c>
      <c r="T29" s="228">
        <v>0.3147</v>
      </c>
      <c r="U29" s="227">
        <v>0.5687</v>
      </c>
      <c r="V29" s="198">
        <v>0.8027</v>
      </c>
      <c r="W29" s="198">
        <v>0.9057</v>
      </c>
      <c r="X29" s="68">
        <f t="shared" si="0"/>
        <v>29</v>
      </c>
      <c r="Y29" s="409">
        <f>AVERAGE(W26:W31)</f>
        <v>0.9077833333333333</v>
      </c>
      <c r="Z29" s="403">
        <v>0.504426</v>
      </c>
      <c r="AA29" s="95">
        <f>($AA$5*$H$5*Z29)*(1-Y29)</f>
        <v>0.23258242150000016</v>
      </c>
      <c r="AB29" s="95">
        <f>(($AB$5*$H$6*(Z29))+((1-$AB$5)*$K$6*(Z29)))*(1-Y29)</f>
        <v>0.41864835870000033</v>
      </c>
      <c r="AC29" s="25">
        <f>(($AC$5*$H$7*(Z29))+((1-$AC$5)*$K$6*(Z29)))*(1-Y29)</f>
        <v>0.5116813273000004</v>
      </c>
      <c r="AD29" s="172">
        <f>($AD$5*$H$7*(Z29))*(1-Y29)</f>
        <v>0.32561539010000023</v>
      </c>
      <c r="AE29" s="31"/>
      <c r="AF29" s="227"/>
      <c r="AG29" s="226"/>
      <c r="AH29" s="12"/>
      <c r="AI29" s="606"/>
      <c r="AJ29" s="317"/>
      <c r="AK29" s="319"/>
      <c r="AL29" s="304"/>
      <c r="AM29" s="304"/>
      <c r="AN29" s="30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</row>
    <row r="30" spans="1:51" ht="12.75" customHeight="1">
      <c r="A30" s="44">
        <v>2010</v>
      </c>
      <c r="B30" s="60">
        <f>'Incentive effect'!B30</f>
        <v>171.4101</v>
      </c>
      <c r="C30" s="70">
        <f t="shared" si="5"/>
        <v>608.6531884459263</v>
      </c>
      <c r="D30" s="21">
        <f t="shared" si="7"/>
        <v>260.85136647682555</v>
      </c>
      <c r="E30" s="71">
        <f t="shared" si="1"/>
        <v>214.4887896393885</v>
      </c>
      <c r="F30" s="65">
        <f t="shared" si="2"/>
        <v>8.249568832284172</v>
      </c>
      <c r="G30" s="22">
        <f t="shared" si="6"/>
        <v>30.624533888606532</v>
      </c>
      <c r="H30" s="65">
        <f>$Q$87</f>
        <v>0.8906562681473593</v>
      </c>
      <c r="I30" s="350">
        <f>(SUM($G$26:G29)/$K$14)+(SUM(H28:H29)/$J$16)</f>
        <v>25.390283379032585</v>
      </c>
      <c r="J30" s="22">
        <f>$Q$94</f>
        <v>5.344016125343456</v>
      </c>
      <c r="K30" s="63">
        <f>$Q$89</f>
        <v>0.39908513110549676</v>
      </c>
      <c r="L30" s="65">
        <f>SUM($K$26:K29)/$K$14</f>
        <v>0.2762086875148707</v>
      </c>
      <c r="M30" s="163">
        <f>IF($K$14&gt;(A30-$A$27),0,(((((1-($C$15/($C$14+$C$15)))*SUM($J$26:J29)))-SUM($K$26:K29))/$K$15))</f>
        <v>0</v>
      </c>
      <c r="N30" s="11">
        <f t="shared" si="4"/>
        <v>0.010623411058264257</v>
      </c>
      <c r="O30" s="220">
        <f t="shared" si="3"/>
        <v>0.33591225766231586</v>
      </c>
      <c r="P30" s="375"/>
      <c r="Q30" s="154">
        <f>'Incentive effect'!P30</f>
        <v>5.34626657485962</v>
      </c>
      <c r="R30" s="101">
        <v>0.0037</v>
      </c>
      <c r="S30" s="131">
        <v>0.1043</v>
      </c>
      <c r="T30" s="226">
        <v>0.234</v>
      </c>
      <c r="U30" s="227">
        <v>0.493</v>
      </c>
      <c r="V30" s="198">
        <v>0.7523</v>
      </c>
      <c r="W30" s="198">
        <v>0.8803</v>
      </c>
      <c r="X30" s="68">
        <f t="shared" si="0"/>
        <v>30</v>
      </c>
      <c r="Y30" s="84" t="s">
        <v>229</v>
      </c>
      <c r="Z30" s="232">
        <v>1.642212</v>
      </c>
      <c r="AA30" s="146">
        <f>AA29/$AA$6</f>
        <v>0.046516484300000036</v>
      </c>
      <c r="AB30" s="146">
        <f>AB29/$AB$6</f>
        <v>0.046516484300000036</v>
      </c>
      <c r="AC30" s="146">
        <f>AC29/$AC$6</f>
        <v>0.046516484300000036</v>
      </c>
      <c r="AD30" s="404">
        <f>AD29/$AD$6</f>
        <v>0.046516484300000036</v>
      </c>
      <c r="AE30" s="31"/>
      <c r="AF30" s="226"/>
      <c r="AG30" s="226"/>
      <c r="AH30" s="12"/>
      <c r="AI30" s="606"/>
      <c r="AJ30" s="317"/>
      <c r="AK30" s="319"/>
      <c r="AL30" s="304"/>
      <c r="AM30" s="304"/>
      <c r="AN30" s="304"/>
      <c r="AO30" s="318"/>
      <c r="AP30" s="31"/>
      <c r="AQ30" s="31"/>
      <c r="AR30" s="31"/>
      <c r="AS30" s="31"/>
      <c r="AT30" s="31"/>
      <c r="AU30" s="31"/>
      <c r="AV30" s="31"/>
      <c r="AW30" s="31"/>
      <c r="AX30" s="31"/>
      <c r="AY30" s="31"/>
    </row>
    <row r="31" spans="1:51" ht="12.75" customHeight="1">
      <c r="A31" s="44">
        <v>2011</v>
      </c>
      <c r="B31" s="60">
        <f>'Incentive effect'!B31</f>
        <v>149.3398</v>
      </c>
      <c r="C31" s="70">
        <f t="shared" si="5"/>
        <v>608.6531884459263</v>
      </c>
      <c r="D31" s="21">
        <f t="shared" si="7"/>
        <v>260.85136647682555</v>
      </c>
      <c r="E31" s="71">
        <f t="shared" si="1"/>
        <v>214.4887896393885</v>
      </c>
      <c r="F31" s="65">
        <f t="shared" si="2"/>
        <v>8.249568832284172</v>
      </c>
      <c r="G31" s="22">
        <f t="shared" si="6"/>
        <v>30.624533888606532</v>
      </c>
      <c r="H31" s="65">
        <f>$Q$87</f>
        <v>0.8906562681473593</v>
      </c>
      <c r="I31" s="350">
        <f>(SUM(G26:G30)/$K$14)+(SUM(H29:H30)/$J$16)</f>
        <v>31.515190156753892</v>
      </c>
      <c r="J31" s="22">
        <f>$Q$94</f>
        <v>5.344016125343456</v>
      </c>
      <c r="K31" s="63">
        <f>$Q$89</f>
        <v>0.39908513110549676</v>
      </c>
      <c r="L31" s="65">
        <f>SUM(K26:K30)/$K$14</f>
        <v>0.35602571373597003</v>
      </c>
      <c r="M31" s="163">
        <f>IF($K$14&gt;(A31-$A$27),0,(((((1-($C$15/($C$14+$C$15)))*SUM($J$26:J30)))-SUM($K$26:K30))/$K$15))</f>
        <v>0</v>
      </c>
      <c r="N31" s="11">
        <f t="shared" si="4"/>
        <v>0.013693296682152693</v>
      </c>
      <c r="O31" s="220">
        <f t="shared" si="3"/>
        <v>0.43298204108966815</v>
      </c>
      <c r="P31" s="375"/>
      <c r="Q31" s="154">
        <f>'Incentive effect'!P31</f>
        <v>5.101605243682861</v>
      </c>
      <c r="R31" s="186">
        <v>0.0033</v>
      </c>
      <c r="S31" s="131">
        <v>0.0657</v>
      </c>
      <c r="T31" s="226">
        <v>0.1797</v>
      </c>
      <c r="U31" s="227">
        <v>0.4453</v>
      </c>
      <c r="V31" s="198">
        <v>0.7213</v>
      </c>
      <c r="W31" s="198">
        <v>0.8413</v>
      </c>
      <c r="X31" s="68">
        <f t="shared" si="0"/>
        <v>31</v>
      </c>
      <c r="Y31" s="406">
        <f>AVERAGE(W32:W45)</f>
        <v>0.8393428571428572</v>
      </c>
      <c r="Z31" s="403">
        <v>0.504426</v>
      </c>
      <c r="AA31" s="25">
        <f>($AA$5*$H$5*Z31)*(1-Y31)</f>
        <v>0.40519819971428567</v>
      </c>
      <c r="AB31" s="25">
        <f>(($AB$5*$H$6*(Z31))+((1-$AB$5)*$K$6*(Z31)))*(1-Y31)</f>
        <v>0.7293567594857143</v>
      </c>
      <c r="AC31" s="25">
        <f>(($AC$5*$H$7*(Z31))+((1-$AC$5)*$K$6*(Z31)))*(1-Y31)</f>
        <v>0.8914360393714285</v>
      </c>
      <c r="AD31" s="172">
        <f>($AD$5*$H$7*(Z31))*(1-Y31)</f>
        <v>0.5672774796</v>
      </c>
      <c r="AE31" s="31"/>
      <c r="AF31" s="226"/>
      <c r="AG31" s="226"/>
      <c r="AH31" s="12"/>
      <c r="AI31" s="606"/>
      <c r="AJ31" s="317"/>
      <c r="AK31" s="319"/>
      <c r="AL31" s="304"/>
      <c r="AM31" s="304"/>
      <c r="AN31" s="304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</row>
    <row r="32" spans="1:51" ht="12.75" customHeight="1">
      <c r="A32" s="44">
        <v>2012</v>
      </c>
      <c r="B32" s="60">
        <f>'Incentive effect'!B32</f>
        <v>124.1935</v>
      </c>
      <c r="C32" s="70">
        <f t="shared" si="5"/>
        <v>608.6531884459263</v>
      </c>
      <c r="D32" s="21">
        <f t="shared" si="7"/>
        <v>260.85136647682555</v>
      </c>
      <c r="E32" s="71">
        <f t="shared" si="1"/>
        <v>214.4887896393885</v>
      </c>
      <c r="F32" s="65">
        <f t="shared" si="2"/>
        <v>8.249568832284172</v>
      </c>
      <c r="G32" s="22">
        <v>0</v>
      </c>
      <c r="H32" s="65">
        <v>0</v>
      </c>
      <c r="I32" s="350">
        <f>(SUM(G27:G31)/$K$14)+(SUM(H30:H31)/$J$16)</f>
        <v>31.515190156753892</v>
      </c>
      <c r="J32" s="22">
        <v>0</v>
      </c>
      <c r="K32" s="63">
        <v>0</v>
      </c>
      <c r="L32" s="65">
        <f aca="true" t="shared" si="8" ref="L32:L61">SUM(K27:K31)/$K$14</f>
        <v>0.39908513110549676</v>
      </c>
      <c r="M32" s="163">
        <f>IF($K$14&gt;(A32-$A$27),0,(((((1-($C$15/($C$14+$C$15)))*SUM($J$26:J26)))-SUM($K$26:K26))/$K$15))</f>
        <v>0.20792332918342835</v>
      </c>
      <c r="N32" s="11">
        <f t="shared" si="4"/>
        <v>0.023346479241881733</v>
      </c>
      <c r="O32" s="220">
        <f t="shared" si="3"/>
        <v>0.7382156736283004</v>
      </c>
      <c r="P32" s="375"/>
      <c r="Q32" s="154">
        <f>'Incentive effect'!P32</f>
        <v>5.04159004211426</v>
      </c>
      <c r="R32" s="186">
        <v>0.003</v>
      </c>
      <c r="S32" s="131">
        <v>0.0467</v>
      </c>
      <c r="T32" s="226">
        <v>0.1563</v>
      </c>
      <c r="U32" s="227">
        <v>0.3947</v>
      </c>
      <c r="V32" s="198">
        <v>0.6833</v>
      </c>
      <c r="W32" s="198">
        <v>0.8227</v>
      </c>
      <c r="X32" s="68">
        <f t="shared" si="0"/>
        <v>32</v>
      </c>
      <c r="Y32" s="84" t="s">
        <v>230</v>
      </c>
      <c r="Z32" s="232">
        <v>1.642212</v>
      </c>
      <c r="AA32" s="259">
        <f>AA31/$AA$6</f>
        <v>0.08103963994285714</v>
      </c>
      <c r="AB32" s="259">
        <f>AB31/$AB$6</f>
        <v>0.08103963994285715</v>
      </c>
      <c r="AC32" s="259">
        <f>AC31/$AC$6</f>
        <v>0.08103963994285714</v>
      </c>
      <c r="AD32" s="408">
        <f>AD31/$AD$6</f>
        <v>0.08103963994285714</v>
      </c>
      <c r="AE32" s="31"/>
      <c r="AF32" s="226"/>
      <c r="AG32" s="226"/>
      <c r="AH32" s="12"/>
      <c r="AI32" s="606"/>
      <c r="AJ32" s="317"/>
      <c r="AK32" s="319"/>
      <c r="AL32" s="304"/>
      <c r="AM32" s="304"/>
      <c r="AN32" s="304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spans="1:51" ht="12.75" customHeight="1">
      <c r="A33" s="44">
        <v>2013</v>
      </c>
      <c r="B33" s="60">
        <f>'Incentive effect'!B33</f>
        <v>102.5846</v>
      </c>
      <c r="C33" s="70">
        <f t="shared" si="5"/>
        <v>608.6531884459263</v>
      </c>
      <c r="D33" s="21">
        <f t="shared" si="7"/>
        <v>260.85136647682555</v>
      </c>
      <c r="E33" s="71">
        <f t="shared" si="1"/>
        <v>214.4887896393885</v>
      </c>
      <c r="F33" s="65">
        <f t="shared" si="2"/>
        <v>8.249568832284172</v>
      </c>
      <c r="G33" s="22"/>
      <c r="H33" s="65"/>
      <c r="I33" s="350">
        <f aca="true" t="shared" si="9" ref="I33:I61">(SUM(G28:G32)/$K$14)+(SUM(H31:H32)/$J$16)</f>
        <v>24.944955244958905</v>
      </c>
      <c r="J33" s="22"/>
      <c r="K33" s="63"/>
      <c r="L33" s="65">
        <f t="shared" si="8"/>
        <v>0.3192681048843974</v>
      </c>
      <c r="M33" s="163">
        <f>IF($K$14&gt;(A33-$A$27),0,(((((1-($C$15/($C$14+$C$15)))*SUM($J$26:J27)))-SUM($K$26:K27))/$K$15))</f>
        <v>0.6518243321118634</v>
      </c>
      <c r="N33" s="11">
        <f t="shared" si="4"/>
        <v>0.0373497091152408</v>
      </c>
      <c r="O33" s="220">
        <f t="shared" si="3"/>
        <v>1.180997802223914</v>
      </c>
      <c r="P33" s="375"/>
      <c r="Q33" s="154">
        <f>'Incentive effect'!P33</f>
        <v>5.11849672317505</v>
      </c>
      <c r="R33" s="186">
        <v>0.002</v>
      </c>
      <c r="S33" s="131">
        <v>0.06</v>
      </c>
      <c r="T33" s="226">
        <v>0.15</v>
      </c>
      <c r="U33" s="227">
        <v>0.4047</v>
      </c>
      <c r="V33" s="198">
        <v>0.6943</v>
      </c>
      <c r="W33" s="198">
        <v>0.83</v>
      </c>
      <c r="X33" s="198"/>
      <c r="AE33" s="31"/>
      <c r="AF33" s="226"/>
      <c r="AG33" s="226"/>
      <c r="AH33" s="12"/>
      <c r="AI33" s="606"/>
      <c r="AJ33" s="317"/>
      <c r="AK33" s="319"/>
      <c r="AL33" s="304"/>
      <c r="AM33" s="304"/>
      <c r="AN33" s="304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</row>
    <row r="34" spans="1:51" ht="12.75" customHeight="1">
      <c r="A34" s="44">
        <v>2014</v>
      </c>
      <c r="B34" s="73">
        <f aca="true" t="shared" si="10" ref="B34:B39">B33*(B33/B32)</f>
        <v>84.7355147987616</v>
      </c>
      <c r="C34" s="70">
        <f t="shared" si="5"/>
        <v>608.6531884459263</v>
      </c>
      <c r="D34" s="21">
        <f t="shared" si="7"/>
        <v>260.85136647682555</v>
      </c>
      <c r="E34" s="71">
        <f t="shared" si="1"/>
        <v>214.4887896393885</v>
      </c>
      <c r="F34" s="65">
        <f t="shared" si="2"/>
        <v>8.249568832284172</v>
      </c>
      <c r="G34" s="22"/>
      <c r="H34" s="65"/>
      <c r="I34" s="350">
        <f t="shared" si="9"/>
        <v>18.374720333163918</v>
      </c>
      <c r="J34" s="22"/>
      <c r="K34" s="63"/>
      <c r="L34" s="65">
        <f t="shared" si="8"/>
        <v>0.23945107866329804</v>
      </c>
      <c r="M34" s="163">
        <f>IF($K$14&gt;(A34-$A$27),0,(((((1-($C$15/($C$14+$C$15)))*SUM($J$26:J28)))-SUM($K$26:K28))/$K$15))</f>
        <v>1.0957253350402985</v>
      </c>
      <c r="N34" s="11">
        <f t="shared" si="4"/>
        <v>0.05135293898859986</v>
      </c>
      <c r="O34" s="220">
        <f t="shared" si="3"/>
        <v>1.6237799308195275</v>
      </c>
      <c r="P34" s="375"/>
      <c r="Q34" s="154">
        <f>'Incentive effect'!P34</f>
        <v>5.0262349319458</v>
      </c>
      <c r="R34" s="186">
        <v>0.0023</v>
      </c>
      <c r="S34" s="131">
        <v>0.0553</v>
      </c>
      <c r="T34" s="226">
        <v>0.1373</v>
      </c>
      <c r="U34" s="227">
        <v>0.3763</v>
      </c>
      <c r="V34" s="198">
        <v>0.683</v>
      </c>
      <c r="W34" s="198">
        <v>0.8357</v>
      </c>
      <c r="X34" s="198"/>
      <c r="AE34" s="31"/>
      <c r="AF34" s="226"/>
      <c r="AG34" s="226"/>
      <c r="AH34" s="12"/>
      <c r="AI34" s="606"/>
      <c r="AJ34" s="317"/>
      <c r="AK34" s="319"/>
      <c r="AL34" s="304"/>
      <c r="AM34" s="304"/>
      <c r="AN34" s="304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</row>
    <row r="35" spans="1:51" ht="12.75" customHeight="1">
      <c r="A35" s="44">
        <v>2015</v>
      </c>
      <c r="B35" s="73">
        <f t="shared" si="10"/>
        <v>69.99205990188729</v>
      </c>
      <c r="C35" s="70">
        <f t="shared" si="5"/>
        <v>608.6531884459263</v>
      </c>
      <c r="D35" s="21">
        <f t="shared" si="7"/>
        <v>260.85136647682555</v>
      </c>
      <c r="E35" s="71">
        <f t="shared" si="1"/>
        <v>214.4887896393885</v>
      </c>
      <c r="F35" s="65">
        <f t="shared" si="2"/>
        <v>8.249568832284172</v>
      </c>
      <c r="G35" s="22"/>
      <c r="H35" s="65"/>
      <c r="I35" s="350">
        <f t="shared" si="9"/>
        <v>12.249813555442612</v>
      </c>
      <c r="J35" s="22"/>
      <c r="K35" s="63"/>
      <c r="L35" s="65">
        <f t="shared" si="8"/>
        <v>0.1596340524421987</v>
      </c>
      <c r="M35" s="163">
        <f>IF($K$14&gt;(A35-$A$27),0,(((((1-($C$15/($C$14+$C$15)))*SUM($J$26:J29)))-SUM($K$26:K29))/$K$15))</f>
        <v>1.5396263379687336</v>
      </c>
      <c r="N35" s="11">
        <f t="shared" si="4"/>
        <v>0.06535616886195893</v>
      </c>
      <c r="O35" s="220">
        <f t="shared" si="3"/>
        <v>2.0665620594151415</v>
      </c>
      <c r="P35" s="375"/>
      <c r="Q35" s="154">
        <f>'Incentive effect'!P35</f>
        <v>4.840802021026611</v>
      </c>
      <c r="R35" s="101">
        <v>0.001</v>
      </c>
      <c r="S35" s="131">
        <v>0.042</v>
      </c>
      <c r="T35" s="226">
        <v>0.1247</v>
      </c>
      <c r="U35" s="227">
        <v>0.3537</v>
      </c>
      <c r="V35" s="198">
        <v>0.666</v>
      </c>
      <c r="W35" s="198">
        <v>0.8077</v>
      </c>
      <c r="X35" s="198"/>
      <c r="AE35" s="31"/>
      <c r="AF35" s="226"/>
      <c r="AG35" s="226"/>
      <c r="AH35" s="12"/>
      <c r="AI35" s="606"/>
      <c r="AJ35" s="31"/>
      <c r="AK35" s="319"/>
      <c r="AL35" s="304"/>
      <c r="AM35" s="304"/>
      <c r="AN35" s="304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51" ht="12.75" customHeight="1">
      <c r="A36" s="44">
        <v>2016</v>
      </c>
      <c r="B36" s="73">
        <f t="shared" si="10"/>
        <v>57.81387486632671</v>
      </c>
      <c r="C36" s="70">
        <f t="shared" si="5"/>
        <v>608.6531884459263</v>
      </c>
      <c r="D36" s="21">
        <f t="shared" si="7"/>
        <v>260.85136647682555</v>
      </c>
      <c r="E36" s="71">
        <f t="shared" si="1"/>
        <v>214.4887896393885</v>
      </c>
      <c r="F36" s="65">
        <f t="shared" si="2"/>
        <v>8.249568832284172</v>
      </c>
      <c r="G36" s="22"/>
      <c r="H36" s="65"/>
      <c r="I36" s="350">
        <f t="shared" si="9"/>
        <v>6.124906777721306</v>
      </c>
      <c r="J36" s="22"/>
      <c r="K36" s="63"/>
      <c r="L36" s="65">
        <f t="shared" si="8"/>
        <v>0.07981702622109935</v>
      </c>
      <c r="M36" s="163">
        <f>IF($K$14&gt;(A36-$A$27),0,(((((1-($C$15/($C$14+$C$15)))*SUM($J$26:J30)))-SUM($K$26:K30))/$K$15))</f>
        <v>1.9835273408971692</v>
      </c>
      <c r="N36" s="11">
        <f t="shared" si="4"/>
        <v>0.07935939873531803</v>
      </c>
      <c r="O36" s="220">
        <f t="shared" si="3"/>
        <v>2.509344188010756</v>
      </c>
      <c r="P36" s="375"/>
      <c r="Q36" s="154">
        <f>'Incentive effect'!P36</f>
        <v>4.7822163772583</v>
      </c>
      <c r="R36" s="186">
        <v>0.0007</v>
      </c>
      <c r="S36" s="131">
        <v>0.035</v>
      </c>
      <c r="T36" s="226">
        <v>0.1097</v>
      </c>
      <c r="U36" s="198">
        <v>0.3203</v>
      </c>
      <c r="V36" s="198">
        <v>0.6403</v>
      </c>
      <c r="W36" s="198">
        <v>0.8007</v>
      </c>
      <c r="X36" s="198"/>
      <c r="AE36" s="31"/>
      <c r="AF36" s="226"/>
      <c r="AG36" s="226"/>
      <c r="AH36" s="12"/>
      <c r="AI36" s="606"/>
      <c r="AJ36" s="31"/>
      <c r="AK36" s="319"/>
      <c r="AL36" s="304"/>
      <c r="AM36" s="304"/>
      <c r="AN36" s="304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</row>
    <row r="37" spans="1:51" ht="12.75" customHeight="1">
      <c r="A37" s="44">
        <v>2017</v>
      </c>
      <c r="B37" s="73">
        <f t="shared" si="10"/>
        <v>47.754618620235185</v>
      </c>
      <c r="C37" s="70">
        <f t="shared" si="5"/>
        <v>608.6531884459263</v>
      </c>
      <c r="D37" s="21">
        <f t="shared" si="7"/>
        <v>260.85136647682555</v>
      </c>
      <c r="E37" s="71">
        <f t="shared" si="1"/>
        <v>214.4887896393885</v>
      </c>
      <c r="F37" s="65">
        <f t="shared" si="2"/>
        <v>8.249568832284172</v>
      </c>
      <c r="G37" s="22"/>
      <c r="H37" s="65"/>
      <c r="I37" s="350">
        <f t="shared" si="9"/>
        <v>0</v>
      </c>
      <c r="J37" s="22"/>
      <c r="K37" s="63"/>
      <c r="L37" s="65">
        <f t="shared" si="8"/>
        <v>0</v>
      </c>
      <c r="M37" s="163">
        <f>IF($K$14&gt;(A37-$A$27),0,(((((1-($C$15/($C$14+$C$15)))*SUM($J$26:J31)))-SUM($K$26:K31))/$K$15))</f>
        <v>2.4274283438256044</v>
      </c>
      <c r="N37" s="11">
        <f t="shared" si="4"/>
        <v>0.09336262860867708</v>
      </c>
      <c r="O37" s="220">
        <f t="shared" si="3"/>
        <v>2.9521263166063694</v>
      </c>
      <c r="P37" s="375"/>
      <c r="Q37" s="154">
        <f>'Incentive effect'!P37</f>
        <v>4.84901649475098</v>
      </c>
      <c r="R37" s="186">
        <v>0.0007</v>
      </c>
      <c r="S37" s="131">
        <v>0.0367</v>
      </c>
      <c r="T37" s="226">
        <v>0.109</v>
      </c>
      <c r="U37" s="198">
        <v>0.3307</v>
      </c>
      <c r="V37" s="198">
        <v>0.6347</v>
      </c>
      <c r="W37" s="198">
        <v>0.8</v>
      </c>
      <c r="X37" s="198"/>
      <c r="AE37" s="31"/>
      <c r="AF37" s="226"/>
      <c r="AG37" s="226"/>
      <c r="AH37" s="317"/>
      <c r="AI37" s="317"/>
      <c r="AJ37" s="317"/>
      <c r="AK37" s="319"/>
      <c r="AL37" s="304"/>
      <c r="AM37" s="304"/>
      <c r="AN37" s="304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</row>
    <row r="38" spans="1:51" ht="12.75" customHeight="1">
      <c r="A38" s="44">
        <v>2018</v>
      </c>
      <c r="B38" s="73">
        <f t="shared" si="10"/>
        <v>39.445610674547204</v>
      </c>
      <c r="C38" s="70">
        <f t="shared" si="5"/>
        <v>608.6531884459263</v>
      </c>
      <c r="D38" s="21">
        <f t="shared" si="7"/>
        <v>260.85136647682555</v>
      </c>
      <c r="E38" s="71">
        <f t="shared" si="1"/>
        <v>214.4887896393885</v>
      </c>
      <c r="F38" s="65">
        <f t="shared" si="2"/>
        <v>8.249568832284172</v>
      </c>
      <c r="G38" s="22"/>
      <c r="H38" s="65"/>
      <c r="I38" s="350">
        <f t="shared" si="9"/>
        <v>0</v>
      </c>
      <c r="J38" s="22"/>
      <c r="K38" s="63"/>
      <c r="L38" s="65">
        <f t="shared" si="8"/>
        <v>0</v>
      </c>
      <c r="M38" s="163">
        <f>IF($K$14&gt;(A38-$A$27),0,(((((1-($C$15/($C$14+$C$15)))*SUM($J$26:J32)))-SUM($K$26:K32))/$K$15))</f>
        <v>2.4274283438256044</v>
      </c>
      <c r="N38" s="11">
        <f t="shared" si="4"/>
        <v>0.09336262860867708</v>
      </c>
      <c r="O38" s="220">
        <f t="shared" si="3"/>
        <v>2.9521263166063694</v>
      </c>
      <c r="P38" s="375"/>
      <c r="Q38" s="154">
        <f>'Incentive effect'!P38</f>
        <v>5.026547260284421</v>
      </c>
      <c r="R38" s="186">
        <v>0.003</v>
      </c>
      <c r="S38" s="131">
        <v>0.0493</v>
      </c>
      <c r="T38" s="226">
        <v>0.135</v>
      </c>
      <c r="U38" s="226">
        <v>0.3707</v>
      </c>
      <c r="V38" s="198">
        <v>0.6507</v>
      </c>
      <c r="W38" s="198">
        <v>0.8223</v>
      </c>
      <c r="X38" s="198"/>
      <c r="AC38" s="8"/>
      <c r="AD38" s="8"/>
      <c r="AE38" s="31"/>
      <c r="AF38" s="226"/>
      <c r="AG38" s="226"/>
      <c r="AH38" s="317"/>
      <c r="AI38" s="317"/>
      <c r="AJ38" s="317"/>
      <c r="AK38" s="319"/>
      <c r="AL38" s="304"/>
      <c r="AM38" s="304"/>
      <c r="AN38" s="304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</row>
    <row r="39" spans="1:51" ht="12.75" customHeight="1">
      <c r="A39" s="44">
        <v>2019</v>
      </c>
      <c r="B39" s="73">
        <f t="shared" si="10"/>
        <v>32.58231866244332</v>
      </c>
      <c r="C39" s="70">
        <f t="shared" si="5"/>
        <v>608.6531884459263</v>
      </c>
      <c r="D39" s="21">
        <f t="shared" si="7"/>
        <v>260.85136647682555</v>
      </c>
      <c r="E39" s="71">
        <f t="shared" si="1"/>
        <v>214.4887896393885</v>
      </c>
      <c r="F39" s="65">
        <f t="shared" si="2"/>
        <v>8.249568832284172</v>
      </c>
      <c r="G39" s="22"/>
      <c r="H39" s="65"/>
      <c r="I39" s="350">
        <f t="shared" si="9"/>
        <v>0</v>
      </c>
      <c r="J39" s="22"/>
      <c r="K39" s="63"/>
      <c r="L39" s="65">
        <f t="shared" si="8"/>
        <v>0</v>
      </c>
      <c r="M39" s="163">
        <f>IF($K$14&gt;(A39-$A$27),0,(((((1-($C$15/($C$14+$C$15)))*SUM($J$26:J33)))-SUM($K$26:K33))/$K$15))</f>
        <v>2.4274283438256044</v>
      </c>
      <c r="N39" s="11">
        <f t="shared" si="4"/>
        <v>0.09336262860867708</v>
      </c>
      <c r="O39" s="220">
        <f t="shared" si="3"/>
        <v>2.9521263166063694</v>
      </c>
      <c r="P39" s="375"/>
      <c r="Q39" s="154">
        <f>'Incentive effect'!P39</f>
        <v>5.16989643096924</v>
      </c>
      <c r="R39" s="186">
        <v>0.0013</v>
      </c>
      <c r="S39" s="186">
        <v>0.068</v>
      </c>
      <c r="T39" s="186">
        <v>0.1643</v>
      </c>
      <c r="U39" s="186">
        <v>0.4237</v>
      </c>
      <c r="V39" s="186">
        <v>0.6773</v>
      </c>
      <c r="W39" s="186">
        <v>0.828</v>
      </c>
      <c r="X39" s="186"/>
      <c r="AC39" s="8"/>
      <c r="AD39" s="8"/>
      <c r="AE39" s="31"/>
      <c r="AF39" s="607"/>
      <c r="AG39" s="607"/>
      <c r="AH39" s="317"/>
      <c r="AI39" s="317"/>
      <c r="AJ39" s="317"/>
      <c r="AK39" s="319"/>
      <c r="AL39" s="304"/>
      <c r="AM39" s="304"/>
      <c r="AN39" s="304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1:51" ht="12.75" customHeight="1">
      <c r="A40" s="44">
        <v>2020</v>
      </c>
      <c r="B40" s="73"/>
      <c r="C40" s="71"/>
      <c r="D40" s="21"/>
      <c r="E40" s="71"/>
      <c r="F40" s="65"/>
      <c r="G40" s="22"/>
      <c r="H40" s="65"/>
      <c r="I40" s="350">
        <f t="shared" si="9"/>
        <v>0</v>
      </c>
      <c r="J40" s="22"/>
      <c r="K40" s="63"/>
      <c r="L40" s="65">
        <f t="shared" si="8"/>
        <v>0</v>
      </c>
      <c r="M40" s="163">
        <f>IF($K$14&gt;(A40-$A$27),0,(((((1-($C$15/($C$14+$C$15)))*SUM(J26:J34)))-SUM(K26:K34))/$K$15))</f>
        <v>2.4274283438256044</v>
      </c>
      <c r="N40" s="11">
        <f t="shared" si="4"/>
        <v>0.09336262860867708</v>
      </c>
      <c r="O40" s="220">
        <f t="shared" si="3"/>
        <v>2.9521263166063694</v>
      </c>
      <c r="P40" s="375"/>
      <c r="Q40" s="154">
        <f>'Incentive effect'!P40</f>
        <v>5.218754119873051</v>
      </c>
      <c r="R40" s="186">
        <v>0.0053</v>
      </c>
      <c r="S40" s="186">
        <v>0.0717</v>
      </c>
      <c r="T40" s="186">
        <v>0.1877</v>
      </c>
      <c r="U40" s="186">
        <v>0.433</v>
      </c>
      <c r="V40" s="186">
        <v>0.6987</v>
      </c>
      <c r="W40" s="186">
        <v>0.8437</v>
      </c>
      <c r="X40" s="186"/>
      <c r="AC40" s="8"/>
      <c r="AD40" s="8"/>
      <c r="AE40" s="31"/>
      <c r="AF40" s="607"/>
      <c r="AG40" s="607"/>
      <c r="AH40" s="317"/>
      <c r="AI40" s="317"/>
      <c r="AJ40" s="317"/>
      <c r="AK40" s="319"/>
      <c r="AL40" s="304"/>
      <c r="AM40" s="304"/>
      <c r="AN40" s="304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spans="1:51" ht="12.75" customHeight="1">
      <c r="A41" s="44">
        <v>2021</v>
      </c>
      <c r="B41" s="73"/>
      <c r="C41" s="71"/>
      <c r="D41" s="21"/>
      <c r="E41" s="71"/>
      <c r="F41" s="65"/>
      <c r="G41" s="22"/>
      <c r="H41" s="65"/>
      <c r="I41" s="350">
        <f t="shared" si="9"/>
        <v>0</v>
      </c>
      <c r="J41" s="22"/>
      <c r="K41" s="63"/>
      <c r="L41" s="65">
        <f t="shared" si="8"/>
        <v>0</v>
      </c>
      <c r="M41" s="163">
        <f aca="true" t="shared" si="11" ref="M41:M65">IF($K$14&gt;(A41-$A$27),0,(((((1-($C$15/($C$14+$C$15)))*SUM(J27:J35)))-SUM(K27:K35))/$K$15))</f>
        <v>2.2195050146421753</v>
      </c>
      <c r="N41" s="11">
        <f t="shared" si="4"/>
        <v>0.0853655774862375</v>
      </c>
      <c r="O41" s="220">
        <f t="shared" si="3"/>
        <v>2.69925956011483</v>
      </c>
      <c r="P41" s="375"/>
      <c r="Q41" s="154">
        <f>'Incentive effect'!P41</f>
        <v>5.353616065979001</v>
      </c>
      <c r="R41" s="186">
        <v>0.006</v>
      </c>
      <c r="S41" s="186">
        <v>0.0903</v>
      </c>
      <c r="T41" s="186">
        <v>0.2103</v>
      </c>
      <c r="U41" s="186">
        <v>0.4763</v>
      </c>
      <c r="V41" s="186">
        <v>0.718</v>
      </c>
      <c r="W41" s="186">
        <v>0.86</v>
      </c>
      <c r="X41" s="186"/>
      <c r="AC41" s="8"/>
      <c r="AD41" s="8"/>
      <c r="AE41" s="31"/>
      <c r="AF41" s="607"/>
      <c r="AG41" s="607"/>
      <c r="AH41" s="317"/>
      <c r="AI41" s="317"/>
      <c r="AJ41" s="317"/>
      <c r="AK41" s="319"/>
      <c r="AL41" s="304"/>
      <c r="AM41" s="304"/>
      <c r="AN41" s="304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spans="1:51" ht="12.75" customHeight="1">
      <c r="A42" s="44">
        <v>2022</v>
      </c>
      <c r="B42" s="73"/>
      <c r="C42" s="71"/>
      <c r="D42" s="21"/>
      <c r="E42" s="71"/>
      <c r="F42" s="65"/>
      <c r="G42" s="22"/>
      <c r="H42" s="65"/>
      <c r="I42" s="350">
        <f t="shared" si="9"/>
        <v>0</v>
      </c>
      <c r="J42" s="22"/>
      <c r="K42" s="63"/>
      <c r="L42" s="65">
        <f t="shared" si="8"/>
        <v>0</v>
      </c>
      <c r="M42" s="163">
        <f t="shared" si="11"/>
        <v>1.7756040117137404</v>
      </c>
      <c r="N42" s="11">
        <f t="shared" si="4"/>
        <v>0.06829246198899001</v>
      </c>
      <c r="O42" s="220">
        <f t="shared" si="3"/>
        <v>2.1594076480918645</v>
      </c>
      <c r="P42" s="375"/>
      <c r="Q42" s="154">
        <f>'Incentive effect'!P42</f>
        <v>5.43650991439819</v>
      </c>
      <c r="R42" s="186">
        <v>0.0077</v>
      </c>
      <c r="S42" s="186">
        <v>0.116</v>
      </c>
      <c r="T42" s="186">
        <v>0.224</v>
      </c>
      <c r="U42" s="186">
        <v>0.482</v>
      </c>
      <c r="V42" s="186">
        <v>0.729</v>
      </c>
      <c r="W42" s="186">
        <v>0.863</v>
      </c>
      <c r="X42" s="186"/>
      <c r="AC42" s="8"/>
      <c r="AD42" s="8"/>
      <c r="AE42" s="31"/>
      <c r="AF42" s="607"/>
      <c r="AG42" s="607"/>
      <c r="AH42" s="317"/>
      <c r="AI42" s="317"/>
      <c r="AJ42" s="317"/>
      <c r="AK42" s="319"/>
      <c r="AL42" s="304"/>
      <c r="AM42" s="304"/>
      <c r="AN42" s="304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spans="1:51" ht="12.75" customHeight="1">
      <c r="A43" s="44">
        <v>2023</v>
      </c>
      <c r="B43" s="73"/>
      <c r="C43" s="71"/>
      <c r="D43" s="21"/>
      <c r="E43" s="71"/>
      <c r="F43" s="65"/>
      <c r="G43" s="22"/>
      <c r="H43" s="65"/>
      <c r="I43" s="350">
        <f t="shared" si="9"/>
        <v>0</v>
      </c>
      <c r="J43" s="22"/>
      <c r="K43" s="63"/>
      <c r="L43" s="65">
        <f t="shared" si="8"/>
        <v>0</v>
      </c>
      <c r="M43" s="163">
        <f t="shared" si="11"/>
        <v>1.331703008785305</v>
      </c>
      <c r="N43" s="11">
        <f t="shared" si="4"/>
        <v>0.0512193464917425</v>
      </c>
      <c r="O43" s="220">
        <f t="shared" si="3"/>
        <v>1.619555736068898</v>
      </c>
      <c r="P43" s="375"/>
      <c r="Q43" s="154">
        <f>'Incentive effect'!P43</f>
        <v>5.508484668731691</v>
      </c>
      <c r="R43" s="186">
        <v>0.008</v>
      </c>
      <c r="S43" s="186">
        <v>0.1203</v>
      </c>
      <c r="T43" s="186">
        <v>0.2397</v>
      </c>
      <c r="U43" s="186">
        <v>0.5133</v>
      </c>
      <c r="V43" s="186">
        <v>0.751</v>
      </c>
      <c r="W43" s="186">
        <v>0.8777</v>
      </c>
      <c r="X43" s="186"/>
      <c r="AC43" s="8"/>
      <c r="AD43" s="8"/>
      <c r="AE43" s="31"/>
      <c r="AF43" s="607"/>
      <c r="AG43" s="607"/>
      <c r="AH43" s="317"/>
      <c r="AI43" s="317"/>
      <c r="AJ43" s="317"/>
      <c r="AK43" s="319"/>
      <c r="AL43" s="304"/>
      <c r="AM43" s="304"/>
      <c r="AN43" s="304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</row>
    <row r="44" spans="1:51" ht="12.75" customHeight="1">
      <c r="A44" s="44">
        <v>2024</v>
      </c>
      <c r="B44" s="73"/>
      <c r="C44" s="71"/>
      <c r="D44" s="21"/>
      <c r="E44" s="71"/>
      <c r="F44" s="65"/>
      <c r="G44" s="22"/>
      <c r="H44" s="65"/>
      <c r="I44" s="350">
        <f t="shared" si="9"/>
        <v>0</v>
      </c>
      <c r="J44" s="22"/>
      <c r="K44" s="63"/>
      <c r="L44" s="65">
        <f t="shared" si="8"/>
        <v>0</v>
      </c>
      <c r="M44" s="163">
        <f t="shared" si="11"/>
        <v>0.8878020058568702</v>
      </c>
      <c r="N44" s="11">
        <f t="shared" si="4"/>
        <v>0.03414623099449501</v>
      </c>
      <c r="O44" s="220">
        <f t="shared" si="3"/>
        <v>1.0797038240459322</v>
      </c>
      <c r="P44" s="375"/>
      <c r="Q44" s="154">
        <f>'Incentive effect'!P44</f>
        <v>5.6243699264526406</v>
      </c>
      <c r="R44" s="186">
        <v>0.011</v>
      </c>
      <c r="S44" s="186">
        <v>0.146</v>
      </c>
      <c r="T44" s="186">
        <v>0.2553</v>
      </c>
      <c r="U44" s="186">
        <v>0.5373</v>
      </c>
      <c r="V44" s="186">
        <v>0.7687</v>
      </c>
      <c r="W44" s="186">
        <v>0.875</v>
      </c>
      <c r="X44" s="186"/>
      <c r="AC44" s="8"/>
      <c r="AD44" s="8"/>
      <c r="AE44" s="31"/>
      <c r="AF44" s="607"/>
      <c r="AG44" s="607"/>
      <c r="AH44" s="317"/>
      <c r="AI44" s="317"/>
      <c r="AJ44" s="317"/>
      <c r="AK44" s="319"/>
      <c r="AL44" s="304"/>
      <c r="AM44" s="304"/>
      <c r="AN44" s="304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</row>
    <row r="45" spans="1:51" ht="12.75" customHeight="1">
      <c r="A45" s="44">
        <v>2025</v>
      </c>
      <c r="B45" s="73"/>
      <c r="C45" s="71"/>
      <c r="D45" s="21"/>
      <c r="E45" s="71"/>
      <c r="F45" s="65"/>
      <c r="G45" s="22"/>
      <c r="H45" s="65"/>
      <c r="I45" s="350">
        <f t="shared" si="9"/>
        <v>0</v>
      </c>
      <c r="J45" s="22"/>
      <c r="K45" s="63"/>
      <c r="L45" s="65">
        <f t="shared" si="8"/>
        <v>0</v>
      </c>
      <c r="M45" s="163">
        <f t="shared" si="11"/>
        <v>0.4439010029284351</v>
      </c>
      <c r="N45" s="11">
        <f t="shared" si="4"/>
        <v>0.017073115497247503</v>
      </c>
      <c r="O45" s="220">
        <f t="shared" si="3"/>
        <v>0.5398519120229661</v>
      </c>
      <c r="P45" s="375"/>
      <c r="Q45" s="154">
        <f>'Incentive effect'!P45</f>
        <v>5.75312168121338</v>
      </c>
      <c r="R45" s="186">
        <v>0.015</v>
      </c>
      <c r="S45" s="186">
        <v>0.1577</v>
      </c>
      <c r="T45" s="186">
        <v>0.277</v>
      </c>
      <c r="U45" s="186">
        <v>0.5517</v>
      </c>
      <c r="V45" s="186">
        <v>0.7793</v>
      </c>
      <c r="W45" s="186">
        <v>0.8843</v>
      </c>
      <c r="X45" s="186"/>
      <c r="AC45" s="8"/>
      <c r="AD45" s="8"/>
      <c r="AE45" s="31"/>
      <c r="AF45" s="607"/>
      <c r="AG45" s="607"/>
      <c r="AH45" s="317"/>
      <c r="AI45" s="317"/>
      <c r="AJ45" s="317"/>
      <c r="AK45" s="319"/>
      <c r="AL45" s="304"/>
      <c r="AM45" s="304"/>
      <c r="AN45" s="304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spans="1:51" ht="12.75" customHeight="1">
      <c r="A46" s="44">
        <v>2026</v>
      </c>
      <c r="B46" s="73"/>
      <c r="C46" s="71"/>
      <c r="D46" s="21"/>
      <c r="E46" s="71"/>
      <c r="F46" s="65"/>
      <c r="G46" s="22"/>
      <c r="H46" s="65"/>
      <c r="I46" s="350">
        <f t="shared" si="9"/>
        <v>0</v>
      </c>
      <c r="J46" s="22"/>
      <c r="K46" s="63"/>
      <c r="L46" s="65">
        <f t="shared" si="8"/>
        <v>0</v>
      </c>
      <c r="M46" s="163">
        <f t="shared" si="11"/>
        <v>0</v>
      </c>
      <c r="N46" s="11">
        <f t="shared" si="4"/>
        <v>0</v>
      </c>
      <c r="O46" s="220">
        <f t="shared" si="3"/>
        <v>0</v>
      </c>
      <c r="P46" s="375"/>
      <c r="Q46" s="154">
        <f>'Incentive effect'!P46</f>
        <v>5.833718605041501</v>
      </c>
      <c r="R46" s="186">
        <v>0.017333333333333333</v>
      </c>
      <c r="S46" s="186">
        <v>0.1701666666666667</v>
      </c>
      <c r="T46" s="186">
        <v>0.2894333333333334</v>
      </c>
      <c r="U46" s="186">
        <v>0.5645</v>
      </c>
      <c r="V46" s="186">
        <v>0.7887333333333333</v>
      </c>
      <c r="W46" s="186">
        <v>0.8865</v>
      </c>
      <c r="X46" s="186"/>
      <c r="AC46" s="8"/>
      <c r="AD46" s="8"/>
      <c r="AE46" s="31"/>
      <c r="AF46" s="607"/>
      <c r="AG46" s="607"/>
      <c r="AH46" s="317"/>
      <c r="AI46" s="317"/>
      <c r="AJ46" s="317"/>
      <c r="AK46" s="319"/>
      <c r="AL46" s="304"/>
      <c r="AM46" s="304"/>
      <c r="AN46" s="304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51" ht="12.75" customHeight="1">
      <c r="A47" s="44">
        <v>2027</v>
      </c>
      <c r="B47" s="73"/>
      <c r="C47" s="71"/>
      <c r="D47" s="21"/>
      <c r="E47" s="71"/>
      <c r="F47" s="65"/>
      <c r="G47" s="22"/>
      <c r="H47" s="65"/>
      <c r="I47" s="350">
        <f t="shared" si="9"/>
        <v>0</v>
      </c>
      <c r="J47" s="22"/>
      <c r="K47" s="63"/>
      <c r="L47" s="65">
        <f t="shared" si="8"/>
        <v>0</v>
      </c>
      <c r="M47" s="163">
        <f t="shared" si="11"/>
        <v>0</v>
      </c>
      <c r="N47" s="11">
        <f t="shared" si="4"/>
        <v>0</v>
      </c>
      <c r="O47" s="220">
        <f t="shared" si="3"/>
        <v>0</v>
      </c>
      <c r="P47" s="375"/>
      <c r="Q47" s="154">
        <f>'Incentive effect'!P47</f>
        <v>5.93260366439819</v>
      </c>
      <c r="R47" s="186">
        <v>0.019444444444444445</v>
      </c>
      <c r="S47" s="186">
        <v>0.17822222222222225</v>
      </c>
      <c r="T47" s="186">
        <v>0.30081111111111114</v>
      </c>
      <c r="U47" s="186">
        <v>0.5735666666666667</v>
      </c>
      <c r="V47" s="186">
        <v>0.7954111111111111</v>
      </c>
      <c r="W47" s="186">
        <v>0.8903333333333333</v>
      </c>
      <c r="X47" s="186"/>
      <c r="AC47" s="8"/>
      <c r="AD47" s="8"/>
      <c r="AE47" s="31"/>
      <c r="AF47" s="607"/>
      <c r="AG47" s="607"/>
      <c r="AH47" s="317"/>
      <c r="AI47" s="317"/>
      <c r="AJ47" s="317"/>
      <c r="AK47" s="319"/>
      <c r="AL47" s="304"/>
      <c r="AM47" s="304"/>
      <c r="AN47" s="304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1:51" ht="12.75" customHeight="1">
      <c r="A48" s="44">
        <v>2028</v>
      </c>
      <c r="B48" s="73"/>
      <c r="C48" s="71"/>
      <c r="D48" s="21"/>
      <c r="E48" s="71"/>
      <c r="F48" s="65"/>
      <c r="G48" s="22"/>
      <c r="H48" s="65"/>
      <c r="I48" s="350">
        <f t="shared" si="9"/>
        <v>0</v>
      </c>
      <c r="J48" s="22"/>
      <c r="K48" s="63"/>
      <c r="L48" s="65">
        <f t="shared" si="8"/>
        <v>0</v>
      </c>
      <c r="M48" s="163">
        <f t="shared" si="11"/>
        <v>0</v>
      </c>
      <c r="N48" s="11">
        <f t="shared" si="4"/>
        <v>0</v>
      </c>
      <c r="O48" s="220">
        <f t="shared" si="3"/>
        <v>0</v>
      </c>
      <c r="P48" s="375"/>
      <c r="Q48" s="154">
        <f>'Incentive effect'!P48</f>
        <v>5.99089939117432</v>
      </c>
      <c r="R48" s="186">
        <v>0.020925925925925928</v>
      </c>
      <c r="S48" s="186">
        <v>0.185062962962963</v>
      </c>
      <c r="T48" s="186">
        <v>0.30874814814814816</v>
      </c>
      <c r="U48" s="186">
        <v>0.5808555555555556</v>
      </c>
      <c r="V48" s="186">
        <v>0.8007814814814814</v>
      </c>
      <c r="W48" s="186">
        <v>0.8923444444444444</v>
      </c>
      <c r="X48" s="186"/>
      <c r="AC48" s="8"/>
      <c r="AD48" s="8"/>
      <c r="AE48" s="31"/>
      <c r="AF48" s="607"/>
      <c r="AG48" s="607"/>
      <c r="AH48" s="317"/>
      <c r="AI48" s="317"/>
      <c r="AJ48" s="317"/>
      <c r="AK48" s="319"/>
      <c r="AL48" s="304"/>
      <c r="AM48" s="304"/>
      <c r="AN48" s="304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1:51" ht="12.75" customHeight="1">
      <c r="A49" s="44">
        <v>2029</v>
      </c>
      <c r="B49" s="73"/>
      <c r="C49" s="71"/>
      <c r="D49" s="21"/>
      <c r="E49" s="71"/>
      <c r="F49" s="65"/>
      <c r="G49" s="22"/>
      <c r="H49" s="65"/>
      <c r="I49" s="350">
        <f t="shared" si="9"/>
        <v>0</v>
      </c>
      <c r="J49" s="22"/>
      <c r="K49" s="63"/>
      <c r="L49" s="65">
        <f t="shared" si="8"/>
        <v>0</v>
      </c>
      <c r="M49" s="163">
        <f t="shared" si="11"/>
        <v>0</v>
      </c>
      <c r="N49" s="11">
        <f t="shared" si="4"/>
        <v>0</v>
      </c>
      <c r="O49" s="220">
        <f t="shared" si="3"/>
        <v>0</v>
      </c>
      <c r="P49" s="375"/>
      <c r="Q49" s="154">
        <f>'Incentive effect'!P49</f>
        <v>6.071451492309571</v>
      </c>
      <c r="R49" s="186">
        <v>0.02212345679012346</v>
      </c>
      <c r="S49" s="186">
        <v>0.19002839506172844</v>
      </c>
      <c r="T49" s="186">
        <v>0.3151864197530864</v>
      </c>
      <c r="U49" s="186">
        <v>0.5863074074074074</v>
      </c>
      <c r="V49" s="186">
        <v>0.8047975308641975</v>
      </c>
      <c r="W49" s="186">
        <v>0.8942925925925925</v>
      </c>
      <c r="X49" s="186"/>
      <c r="AC49" s="8"/>
      <c r="AD49" s="8"/>
      <c r="AE49" s="31"/>
      <c r="AF49" s="607"/>
      <c r="AG49" s="607"/>
      <c r="AH49" s="317"/>
      <c r="AI49" s="317"/>
      <c r="AJ49" s="317"/>
      <c r="AK49" s="319"/>
      <c r="AL49" s="304"/>
      <c r="AM49" s="304"/>
      <c r="AN49" s="304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1:51" ht="12.75" customHeight="1">
      <c r="A50" s="44">
        <v>2030</v>
      </c>
      <c r="B50" s="73"/>
      <c r="C50" s="71"/>
      <c r="D50" s="21"/>
      <c r="E50" s="71"/>
      <c r="F50" s="65"/>
      <c r="G50" s="22"/>
      <c r="H50" s="65"/>
      <c r="I50" s="350">
        <f t="shared" si="9"/>
        <v>0</v>
      </c>
      <c r="J50" s="22"/>
      <c r="K50" s="63"/>
      <c r="L50" s="65">
        <f t="shared" si="8"/>
        <v>0</v>
      </c>
      <c r="M50" s="163">
        <f t="shared" si="11"/>
        <v>0</v>
      </c>
      <c r="N50" s="11">
        <f t="shared" si="4"/>
        <v>0</v>
      </c>
      <c r="O50" s="220">
        <f t="shared" si="3"/>
        <v>0</v>
      </c>
      <c r="P50" s="375"/>
      <c r="Q50" s="154">
        <f>'Incentive effect'!P50</f>
        <v>6.239461727142331</v>
      </c>
      <c r="R50" s="186">
        <v>0.023016460905349798</v>
      </c>
      <c r="S50" s="186">
        <v>0.1939637860082305</v>
      </c>
      <c r="T50" s="186">
        <v>0.3199781893004115</v>
      </c>
      <c r="U50" s="186">
        <v>0.5905543209876543</v>
      </c>
      <c r="V50" s="186">
        <v>0.8079263374485596</v>
      </c>
      <c r="W50" s="186">
        <v>0.8956123456790123</v>
      </c>
      <c r="X50" s="186"/>
      <c r="AC50" s="8"/>
      <c r="AD50" s="8"/>
      <c r="AE50" s="31"/>
      <c r="AF50" s="607"/>
      <c r="AG50" s="607"/>
      <c r="AH50" s="317"/>
      <c r="AI50" s="317"/>
      <c r="AJ50" s="31"/>
      <c r="AK50" s="319"/>
      <c r="AL50" s="304"/>
      <c r="AM50" s="304"/>
      <c r="AN50" s="304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1:51" ht="12.75" customHeight="1">
      <c r="A51" s="44">
        <v>2031</v>
      </c>
      <c r="B51" s="73"/>
      <c r="C51" s="71"/>
      <c r="D51" s="21"/>
      <c r="E51" s="71"/>
      <c r="F51" s="65"/>
      <c r="G51" s="22"/>
      <c r="H51" s="65"/>
      <c r="I51" s="350">
        <f t="shared" si="9"/>
        <v>0</v>
      </c>
      <c r="J51" s="22"/>
      <c r="K51" s="63"/>
      <c r="L51" s="65">
        <f t="shared" si="8"/>
        <v>0</v>
      </c>
      <c r="M51" s="163">
        <f t="shared" si="11"/>
        <v>0</v>
      </c>
      <c r="N51" s="11">
        <f t="shared" si="4"/>
        <v>0</v>
      </c>
      <c r="O51" s="220">
        <f t="shared" si="3"/>
        <v>0</v>
      </c>
      <c r="P51" s="375"/>
      <c r="Q51" s="154">
        <f>'Incentive effect'!P51</f>
        <v>6.323070514286038</v>
      </c>
      <c r="R51" s="186">
        <v>0.023713305898491088</v>
      </c>
      <c r="S51" s="186">
        <v>0.19693072702331965</v>
      </c>
      <c r="T51" s="186">
        <v>0.32372153635116596</v>
      </c>
      <c r="U51" s="186">
        <v>0.5937872427983538</v>
      </c>
      <c r="V51" s="186">
        <v>0.8103079561042523</v>
      </c>
      <c r="W51" s="186">
        <v>0.8967016460905349</v>
      </c>
      <c r="X51" s="186"/>
      <c r="AC51" s="8"/>
      <c r="AD51" s="8"/>
      <c r="AE51" s="31"/>
      <c r="AF51" s="607"/>
      <c r="AG51" s="607"/>
      <c r="AH51" s="317"/>
      <c r="AI51" s="317"/>
      <c r="AJ51" s="31"/>
      <c r="AK51" s="319"/>
      <c r="AL51" s="304"/>
      <c r="AM51" s="304"/>
      <c r="AN51" s="304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51" ht="12.75" customHeight="1">
      <c r="A52" s="44">
        <v>2032</v>
      </c>
      <c r="B52" s="73"/>
      <c r="C52" s="71"/>
      <c r="D52" s="21"/>
      <c r="E52" s="71"/>
      <c r="F52" s="65"/>
      <c r="G52" s="22"/>
      <c r="H52" s="65"/>
      <c r="I52" s="350">
        <f t="shared" si="9"/>
        <v>0</v>
      </c>
      <c r="J52" s="22"/>
      <c r="K52" s="63"/>
      <c r="L52" s="65">
        <f t="shared" si="8"/>
        <v>0</v>
      </c>
      <c r="M52" s="163">
        <f t="shared" si="11"/>
        <v>0</v>
      </c>
      <c r="N52" s="11">
        <f t="shared" si="4"/>
        <v>0</v>
      </c>
      <c r="O52" s="220">
        <f t="shared" si="3"/>
        <v>0</v>
      </c>
      <c r="P52" s="375"/>
      <c r="Q52" s="154">
        <f>'Incentive effect'!P52</f>
        <v>6.4077996591774715</v>
      </c>
      <c r="R52" s="186">
        <v>0.024243255601280298</v>
      </c>
      <c r="S52" s="186">
        <v>0.19923150434385006</v>
      </c>
      <c r="T52" s="186">
        <v>0.32656657521719246</v>
      </c>
      <c r="U52" s="186">
        <v>0.5962805212620026</v>
      </c>
      <c r="V52" s="186">
        <v>0.812144764517604</v>
      </c>
      <c r="W52" s="186">
        <v>0.8975046639231824</v>
      </c>
      <c r="X52" s="186"/>
      <c r="AC52" s="8"/>
      <c r="AD52" s="8"/>
      <c r="AE52" s="31"/>
      <c r="AF52" s="607"/>
      <c r="AG52" s="607"/>
      <c r="AH52" s="317"/>
      <c r="AI52" s="317"/>
      <c r="AJ52" s="31"/>
      <c r="AK52" s="319"/>
      <c r="AL52" s="304"/>
      <c r="AM52" s="304"/>
      <c r="AN52" s="304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1:51" ht="12.75" customHeight="1">
      <c r="A53" s="44">
        <v>2033</v>
      </c>
      <c r="B53" s="73"/>
      <c r="C53" s="71"/>
      <c r="D53" s="21"/>
      <c r="E53" s="71"/>
      <c r="F53" s="65"/>
      <c r="G53" s="22"/>
      <c r="H53" s="65"/>
      <c r="I53" s="350">
        <f t="shared" si="9"/>
        <v>0</v>
      </c>
      <c r="J53" s="22"/>
      <c r="K53" s="63"/>
      <c r="L53" s="65">
        <f t="shared" si="8"/>
        <v>0</v>
      </c>
      <c r="M53" s="163">
        <f t="shared" si="11"/>
        <v>0</v>
      </c>
      <c r="N53" s="11">
        <f t="shared" si="4"/>
        <v>0</v>
      </c>
      <c r="O53" s="220">
        <f t="shared" si="3"/>
        <v>0</v>
      </c>
      <c r="P53" s="375"/>
      <c r="Q53" s="154">
        <f>'Incentive effect'!P53</f>
        <v>6.49366417461045</v>
      </c>
      <c r="R53" s="186">
        <v>0.024652187166590466</v>
      </c>
      <c r="S53" s="186">
        <v>0.20098741045572324</v>
      </c>
      <c r="T53" s="186">
        <v>0.32876270385611944</v>
      </c>
      <c r="U53" s="186">
        <v>0.5981892546867854</v>
      </c>
      <c r="V53" s="186">
        <v>0.8135509068739522</v>
      </c>
      <c r="W53" s="186">
        <v>0.8981354366712391</v>
      </c>
      <c r="X53" s="186"/>
      <c r="AC53" s="8"/>
      <c r="AD53" s="8"/>
      <c r="AE53" s="31"/>
      <c r="AF53" s="607"/>
      <c r="AG53" s="607"/>
      <c r="AH53" s="317"/>
      <c r="AI53" s="317"/>
      <c r="AJ53" s="31"/>
      <c r="AK53" s="319"/>
      <c r="AL53" s="304"/>
      <c r="AM53" s="304"/>
      <c r="AN53" s="304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2.75" customHeight="1">
      <c r="A54" s="44">
        <v>2034</v>
      </c>
      <c r="B54" s="73"/>
      <c r="C54" s="71"/>
      <c r="D54" s="21"/>
      <c r="E54" s="71"/>
      <c r="F54" s="65"/>
      <c r="G54" s="22"/>
      <c r="H54" s="65"/>
      <c r="I54" s="350">
        <f t="shared" si="9"/>
        <v>0</v>
      </c>
      <c r="J54" s="22"/>
      <c r="K54" s="63"/>
      <c r="L54" s="65">
        <f t="shared" si="8"/>
        <v>0</v>
      </c>
      <c r="M54" s="163">
        <f t="shared" si="11"/>
        <v>0</v>
      </c>
      <c r="N54" s="11">
        <f t="shared" si="4"/>
        <v>0</v>
      </c>
      <c r="O54" s="220">
        <f t="shared" si="3"/>
        <v>0</v>
      </c>
      <c r="P54" s="375"/>
      <c r="Q54" s="154">
        <f>'Incentive effect'!P54</f>
        <v>6.580679274550231</v>
      </c>
      <c r="R54" s="186">
        <v>0.02496514758929026</v>
      </c>
      <c r="S54" s="186">
        <v>0.20233963826652443</v>
      </c>
      <c r="T54" s="186">
        <v>0.33044309302443725</v>
      </c>
      <c r="U54" s="186">
        <v>0.5996565919829293</v>
      </c>
      <c r="V54" s="186">
        <v>0.8146318904638521</v>
      </c>
      <c r="W54" s="186">
        <v>0.8986133668648071</v>
      </c>
      <c r="X54" s="186"/>
      <c r="AC54" s="8"/>
      <c r="AD54" s="8"/>
      <c r="AE54" s="31"/>
      <c r="AF54" s="607"/>
      <c r="AG54" s="607"/>
      <c r="AH54" s="317"/>
      <c r="AI54" s="317"/>
      <c r="AJ54" s="31"/>
      <c r="AK54" s="319"/>
      <c r="AL54" s="304"/>
      <c r="AM54" s="304"/>
      <c r="AN54" s="304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51" ht="12.75" customHeight="1">
      <c r="A55" s="44">
        <v>2035</v>
      </c>
      <c r="B55" s="73"/>
      <c r="C55" s="71"/>
      <c r="D55" s="21"/>
      <c r="E55" s="71"/>
      <c r="F55" s="65"/>
      <c r="G55" s="22"/>
      <c r="H55" s="65"/>
      <c r="I55" s="350">
        <f t="shared" si="9"/>
        <v>0</v>
      </c>
      <c r="J55" s="22"/>
      <c r="K55" s="63"/>
      <c r="L55" s="65">
        <f t="shared" si="8"/>
        <v>0</v>
      </c>
      <c r="M55" s="163">
        <f t="shared" si="11"/>
        <v>0</v>
      </c>
      <c r="N55" s="11">
        <f t="shared" si="4"/>
        <v>0</v>
      </c>
      <c r="O55" s="220">
        <f t="shared" si="3"/>
        <v>0</v>
      </c>
      <c r="P55" s="375"/>
      <c r="Q55" s="154">
        <f>'Incentive effect'!P55</f>
        <v>6.668860376829205</v>
      </c>
      <c r="R55" s="186">
        <v>0.025205778251960246</v>
      </c>
      <c r="S55" s="186">
        <v>0.2033756829074159</v>
      </c>
      <c r="T55" s="186">
        <v>0.3317352656268522</v>
      </c>
      <c r="U55" s="186">
        <v>0.6007819488899049</v>
      </c>
      <c r="V55" s="186">
        <v>0.8154609324459348</v>
      </c>
      <c r="W55" s="186">
        <v>0.8989829345120153</v>
      </c>
      <c r="X55" s="186"/>
      <c r="AC55" s="8"/>
      <c r="AD55" s="8"/>
      <c r="AE55" s="31"/>
      <c r="AF55" s="607"/>
      <c r="AG55" s="607"/>
      <c r="AH55" s="317"/>
      <c r="AI55" s="317"/>
      <c r="AJ55" s="31"/>
      <c r="AK55" s="319"/>
      <c r="AL55" s="304"/>
      <c r="AM55" s="304"/>
      <c r="AN55" s="304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2.75" customHeight="1">
      <c r="A56" s="44">
        <v>2036</v>
      </c>
      <c r="B56" s="73"/>
      <c r="C56" s="71"/>
      <c r="D56" s="21"/>
      <c r="E56" s="71"/>
      <c r="F56" s="65"/>
      <c r="G56" s="13"/>
      <c r="H56" s="21"/>
      <c r="I56" s="350">
        <f t="shared" si="9"/>
        <v>0</v>
      </c>
      <c r="J56" s="65"/>
      <c r="K56" s="67"/>
      <c r="L56" s="65">
        <f t="shared" si="8"/>
        <v>0</v>
      </c>
      <c r="M56" s="163">
        <f t="shared" si="11"/>
        <v>0</v>
      </c>
      <c r="N56" s="11">
        <f t="shared" si="4"/>
        <v>0</v>
      </c>
      <c r="O56" s="220">
        <f t="shared" si="3"/>
        <v>0</v>
      </c>
      <c r="P56" s="375"/>
      <c r="Q56" s="154">
        <f>'Incentive effect'!P56</f>
        <v>6.7582231058787166</v>
      </c>
      <c r="R56" s="186">
        <v>0.025390308613750173</v>
      </c>
      <c r="S56" s="186">
        <v>0.2041717737246468</v>
      </c>
      <c r="T56" s="186">
        <v>0.33272611955042974</v>
      </c>
      <c r="U56" s="186">
        <v>0.6016461802909447</v>
      </c>
      <c r="V56" s="186">
        <v>0.8160976076365957</v>
      </c>
      <c r="W56" s="186">
        <v>0.899265433792274</v>
      </c>
      <c r="X56" s="186"/>
      <c r="AC56" s="8"/>
      <c r="AD56" s="8"/>
      <c r="AE56" s="31"/>
      <c r="AF56" s="607"/>
      <c r="AG56" s="607"/>
      <c r="AH56" s="317"/>
      <c r="AI56" s="317"/>
      <c r="AJ56" s="31"/>
      <c r="AK56" s="319"/>
      <c r="AL56" s="304"/>
      <c r="AM56" s="304"/>
      <c r="AN56" s="304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2.75" customHeight="1">
      <c r="A57" s="44">
        <v>2037</v>
      </c>
      <c r="B57" s="73"/>
      <c r="C57" s="71"/>
      <c r="D57" s="21"/>
      <c r="E57" s="71"/>
      <c r="F57" s="65"/>
      <c r="G57" s="10"/>
      <c r="H57" s="21"/>
      <c r="I57" s="350">
        <f t="shared" si="9"/>
        <v>0</v>
      </c>
      <c r="J57" s="65"/>
      <c r="K57" s="8"/>
      <c r="L57" s="65">
        <f t="shared" si="8"/>
        <v>0</v>
      </c>
      <c r="M57" s="163">
        <f t="shared" si="11"/>
        <v>0</v>
      </c>
      <c r="N57" s="11">
        <f t="shared" si="4"/>
        <v>0</v>
      </c>
      <c r="O57" s="220">
        <f t="shared" si="3"/>
        <v>0</v>
      </c>
      <c r="P57" s="375"/>
      <c r="Q57" s="154">
        <f>'Incentive effect'!P57</f>
        <v>6.848783295497492</v>
      </c>
      <c r="R57" s="186">
        <v>0.02553202895523681</v>
      </c>
      <c r="S57" s="186">
        <v>0.2047824855440209</v>
      </c>
      <c r="T57" s="186">
        <v>0.3334871283924272</v>
      </c>
      <c r="U57" s="186">
        <v>0.6023093763936166</v>
      </c>
      <c r="V57" s="186">
        <v>0.8165861800275102</v>
      </c>
      <c r="W57" s="186">
        <v>0.8994827894347629</v>
      </c>
      <c r="X57" s="186"/>
      <c r="AC57" s="8"/>
      <c r="AD57" s="8"/>
      <c r="AE57" s="31"/>
      <c r="AF57" s="607"/>
      <c r="AG57" s="607"/>
      <c r="AH57" s="317"/>
      <c r="AI57" s="317"/>
      <c r="AJ57" s="31"/>
      <c r="AK57" s="319"/>
      <c r="AL57" s="304"/>
      <c r="AM57" s="304"/>
      <c r="AN57" s="304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51" ht="12.75" customHeight="1">
      <c r="A58" s="44">
        <v>2038</v>
      </c>
      <c r="B58" s="73"/>
      <c r="C58" s="71"/>
      <c r="D58" s="21"/>
      <c r="E58" s="71"/>
      <c r="F58" s="65"/>
      <c r="G58" s="10"/>
      <c r="H58" s="21"/>
      <c r="I58" s="350">
        <f t="shared" si="9"/>
        <v>0</v>
      </c>
      <c r="J58" s="65"/>
      <c r="K58" s="8"/>
      <c r="L58" s="65">
        <f t="shared" si="8"/>
        <v>0</v>
      </c>
      <c r="M58" s="163">
        <f t="shared" si="11"/>
        <v>0</v>
      </c>
      <c r="N58" s="11">
        <f t="shared" si="4"/>
        <v>0</v>
      </c>
      <c r="O58" s="220">
        <f t="shared" si="3"/>
        <v>0</v>
      </c>
      <c r="P58" s="375"/>
      <c r="Q58" s="154">
        <f>'Incentive effect'!P58</f>
        <v>6.940556991657159</v>
      </c>
      <c r="R58" s="186">
        <v>0.025640779189662333</v>
      </c>
      <c r="S58" s="186">
        <v>0.20525141975622258</v>
      </c>
      <c r="T58" s="186">
        <v>0.3340710826476189</v>
      </c>
      <c r="U58" s="186">
        <v>0.6028185188948538</v>
      </c>
      <c r="V58" s="186">
        <v>0.8169612625547019</v>
      </c>
      <c r="W58" s="186">
        <v>0.8996494077423455</v>
      </c>
      <c r="X58" s="186"/>
      <c r="AC58" s="8"/>
      <c r="AD58" s="8"/>
      <c r="AE58" s="31"/>
      <c r="AF58" s="607"/>
      <c r="AG58" s="607"/>
      <c r="AH58" s="317"/>
      <c r="AI58" s="317"/>
      <c r="AJ58" s="31"/>
      <c r="AK58" s="319"/>
      <c r="AL58" s="304"/>
      <c r="AM58" s="304"/>
      <c r="AN58" s="304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1:51" ht="12.75" customHeight="1">
      <c r="A59" s="44">
        <v>2039</v>
      </c>
      <c r="B59" s="73"/>
      <c r="C59" s="71"/>
      <c r="D59" s="21"/>
      <c r="E59" s="71"/>
      <c r="F59" s="65"/>
      <c r="G59" s="10"/>
      <c r="H59" s="21"/>
      <c r="I59" s="350">
        <f t="shared" si="9"/>
        <v>0</v>
      </c>
      <c r="J59" s="65"/>
      <c r="K59" s="8"/>
      <c r="L59" s="65">
        <f t="shared" si="8"/>
        <v>0</v>
      </c>
      <c r="M59" s="163">
        <f t="shared" si="11"/>
        <v>0</v>
      </c>
      <c r="N59" s="11">
        <f t="shared" si="4"/>
        <v>0</v>
      </c>
      <c r="O59" s="220">
        <f t="shared" si="3"/>
        <v>0</v>
      </c>
      <c r="P59" s="375"/>
      <c r="Q59" s="154">
        <f>'Incentive effect'!P59</f>
        <v>7.0335604553453654</v>
      </c>
      <c r="R59" s="186">
        <v>0.025724269381633053</v>
      </c>
      <c r="S59" s="186">
        <v>0.20561130176674783</v>
      </c>
      <c r="T59" s="186">
        <v>0.3345194036800153</v>
      </c>
      <c r="U59" s="186">
        <v>0.6032092984294902</v>
      </c>
      <c r="V59" s="186">
        <v>0.817249147527404</v>
      </c>
      <c r="W59" s="186">
        <v>0.899777399059036</v>
      </c>
      <c r="X59" s="186"/>
      <c r="AC59" s="8"/>
      <c r="AD59" s="8"/>
      <c r="AE59" s="31"/>
      <c r="AF59" s="607"/>
      <c r="AG59" s="607"/>
      <c r="AH59" s="317"/>
      <c r="AI59" s="317"/>
      <c r="AJ59" s="31"/>
      <c r="AK59" s="319"/>
      <c r="AL59" s="304"/>
      <c r="AM59" s="304"/>
      <c r="AN59" s="304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1:51" ht="12.75" customHeight="1">
      <c r="A60" s="44">
        <v>2040</v>
      </c>
      <c r="B60" s="73"/>
      <c r="C60" s="71"/>
      <c r="D60" s="21"/>
      <c r="E60" s="71"/>
      <c r="F60" s="65"/>
      <c r="G60" s="10"/>
      <c r="H60" s="21"/>
      <c r="I60" s="350">
        <f t="shared" si="9"/>
        <v>0</v>
      </c>
      <c r="J60" s="65"/>
      <c r="K60" s="8"/>
      <c r="L60" s="65">
        <f t="shared" si="8"/>
        <v>0</v>
      </c>
      <c r="M60" s="163">
        <f t="shared" si="11"/>
        <v>0</v>
      </c>
      <c r="N60" s="11">
        <f t="shared" si="4"/>
        <v>0</v>
      </c>
      <c r="O60" s="220">
        <f t="shared" si="3"/>
        <v>0</v>
      </c>
      <c r="P60" s="375"/>
      <c r="Q60" s="154">
        <f>'Incentive effect'!P60</f>
        <v>7.127810165446994</v>
      </c>
      <c r="R60" s="186">
        <v>0.025788349523765134</v>
      </c>
      <c r="S60" s="186">
        <v>0.20588757384099013</v>
      </c>
      <c r="T60" s="186">
        <v>0.3348634954425447</v>
      </c>
      <c r="U60" s="186">
        <v>0.6035092724414481</v>
      </c>
      <c r="V60" s="186">
        <v>0.8174701366940352</v>
      </c>
      <c r="W60" s="186">
        <v>0.899875602267127</v>
      </c>
      <c r="X60" s="186"/>
      <c r="AC60" s="8"/>
      <c r="AD60" s="8"/>
      <c r="AE60" s="31"/>
      <c r="AF60" s="607"/>
      <c r="AG60" s="607"/>
      <c r="AH60" s="317"/>
      <c r="AI60" s="317"/>
      <c r="AJ60" s="31"/>
      <c r="AK60" s="319"/>
      <c r="AL60" s="304"/>
      <c r="AM60" s="304"/>
      <c r="AN60" s="304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1:51" ht="12.75" customHeight="1">
      <c r="A61" s="44">
        <v>2041</v>
      </c>
      <c r="B61" s="73"/>
      <c r="C61" s="71"/>
      <c r="D61" s="21"/>
      <c r="E61" s="71"/>
      <c r="F61" s="65"/>
      <c r="G61" s="10"/>
      <c r="H61" s="21"/>
      <c r="I61" s="350">
        <f t="shared" si="9"/>
        <v>0</v>
      </c>
      <c r="J61" s="65"/>
      <c r="K61" s="8"/>
      <c r="L61" s="65">
        <f t="shared" si="8"/>
        <v>0</v>
      </c>
      <c r="M61" s="163">
        <f t="shared" si="11"/>
        <v>0</v>
      </c>
      <c r="N61" s="11">
        <f t="shared" si="4"/>
        <v>0</v>
      </c>
      <c r="O61" s="220">
        <f t="shared" si="3"/>
        <v>0</v>
      </c>
      <c r="P61" s="375"/>
      <c r="Q61" s="154">
        <f>'Incentive effect'!P61</f>
        <v>7.223322821663984</v>
      </c>
      <c r="R61" s="186">
        <v>0.025837539635132734</v>
      </c>
      <c r="S61" s="186">
        <v>0.20609962520257932</v>
      </c>
      <c r="T61" s="186">
        <v>0.33512763304085325</v>
      </c>
      <c r="U61" s="186">
        <v>0.6037395236236462</v>
      </c>
      <c r="V61" s="186">
        <v>0.8176397614071463</v>
      </c>
      <c r="W61" s="186">
        <v>0.8999510004420542</v>
      </c>
      <c r="X61" s="186"/>
      <c r="AC61" s="8"/>
      <c r="AD61" s="8"/>
      <c r="AE61" s="31"/>
      <c r="AF61" s="607"/>
      <c r="AG61" s="607"/>
      <c r="AH61" s="317"/>
      <c r="AI61" s="317"/>
      <c r="AJ61" s="31"/>
      <c r="AK61" s="319"/>
      <c r="AL61" s="304"/>
      <c r="AM61" s="304"/>
      <c r="AN61" s="304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51" ht="12.75" customHeight="1">
      <c r="A62" s="44">
        <v>2042</v>
      </c>
      <c r="B62" s="73"/>
      <c r="C62" s="71"/>
      <c r="D62" s="21"/>
      <c r="E62" s="71"/>
      <c r="F62" s="65"/>
      <c r="G62" s="10"/>
      <c r="H62" s="21"/>
      <c r="I62" s="351"/>
      <c r="J62" s="65"/>
      <c r="K62" s="8"/>
      <c r="L62" s="65"/>
      <c r="M62" s="163">
        <f t="shared" si="11"/>
        <v>0</v>
      </c>
      <c r="N62" s="11">
        <f t="shared" si="4"/>
        <v>0</v>
      </c>
      <c r="O62" s="220">
        <f t="shared" si="3"/>
        <v>0</v>
      </c>
      <c r="P62" s="375"/>
      <c r="Q62" s="154">
        <f>'Incentive effect'!P62</f>
        <v>7.320115347474283</v>
      </c>
      <c r="R62" s="186">
        <v>0.025875296386299294</v>
      </c>
      <c r="S62" s="186">
        <v>0.2062623996811898</v>
      </c>
      <c r="T62" s="186">
        <v>0.33533037616113254</v>
      </c>
      <c r="U62" s="186">
        <v>0.6039162653550316</v>
      </c>
      <c r="V62" s="186">
        <v>0.8177699660337271</v>
      </c>
      <c r="W62" s="186">
        <v>0.900008867569727</v>
      </c>
      <c r="X62" s="186"/>
      <c r="AC62" s="8"/>
      <c r="AD62" s="8"/>
      <c r="AE62" s="31"/>
      <c r="AF62" s="607"/>
      <c r="AG62" s="607"/>
      <c r="AH62" s="317"/>
      <c r="AI62" s="317"/>
      <c r="AJ62" s="31"/>
      <c r="AK62" s="319"/>
      <c r="AL62" s="304"/>
      <c r="AM62" s="304"/>
      <c r="AN62" s="304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51" ht="12.75" customHeight="1">
      <c r="A63" s="44">
        <v>2043</v>
      </c>
      <c r="B63" s="73"/>
      <c r="C63" s="71"/>
      <c r="D63" s="21"/>
      <c r="E63" s="71"/>
      <c r="F63" s="65"/>
      <c r="G63" s="10"/>
      <c r="H63" s="21"/>
      <c r="I63" s="351"/>
      <c r="J63" s="65"/>
      <c r="K63" s="8"/>
      <c r="L63" s="65"/>
      <c r="M63" s="163">
        <f t="shared" si="11"/>
        <v>0</v>
      </c>
      <c r="N63" s="11">
        <f t="shared" si="4"/>
        <v>0</v>
      </c>
      <c r="O63" s="220">
        <f t="shared" si="3"/>
        <v>0</v>
      </c>
      <c r="P63" s="375"/>
      <c r="Q63" s="154">
        <f>'Incentive effect'!P63</f>
        <v>7.418204893130438</v>
      </c>
      <c r="R63" s="186">
        <v>0.02590427867381068</v>
      </c>
      <c r="S63" s="186">
        <v>0.20638734162792305</v>
      </c>
      <c r="T63" s="186">
        <v>0.3354860030673285</v>
      </c>
      <c r="U63" s="186">
        <v>0.6040519296595595</v>
      </c>
      <c r="V63" s="186">
        <v>0.8178699091469577</v>
      </c>
      <c r="W63" s="186">
        <v>0.9000532893372603</v>
      </c>
      <c r="X63" s="186"/>
      <c r="AC63" s="8"/>
      <c r="AD63" s="8"/>
      <c r="AE63" s="31"/>
      <c r="AF63" s="607"/>
      <c r="AG63" s="607"/>
      <c r="AH63" s="317"/>
      <c r="AI63" s="317"/>
      <c r="AJ63" s="31"/>
      <c r="AK63" s="319"/>
      <c r="AL63" s="304"/>
      <c r="AM63" s="304"/>
      <c r="AN63" s="304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1:51" ht="12.75" customHeight="1">
      <c r="A64" s="44">
        <v>2044</v>
      </c>
      <c r="B64" s="73"/>
      <c r="C64" s="71"/>
      <c r="D64" s="21"/>
      <c r="E64" s="71"/>
      <c r="F64" s="65"/>
      <c r="G64" s="10"/>
      <c r="H64" s="21"/>
      <c r="I64" s="351"/>
      <c r="J64" s="65"/>
      <c r="K64" s="8"/>
      <c r="L64" s="65"/>
      <c r="M64" s="163">
        <f t="shared" si="11"/>
        <v>0</v>
      </c>
      <c r="N64" s="11">
        <f t="shared" si="4"/>
        <v>0</v>
      </c>
      <c r="O64" s="220">
        <f t="shared" si="3"/>
        <v>0</v>
      </c>
      <c r="P64" s="375"/>
      <c r="Q64" s="154">
        <f>'Incentive effect'!P64</f>
        <v>7.517608838698386</v>
      </c>
      <c r="R64" s="186">
        <v>0.025926525020036662</v>
      </c>
      <c r="S64" s="186">
        <v>0.20648324710303761</v>
      </c>
      <c r="T64" s="186">
        <v>0.33560545974282024</v>
      </c>
      <c r="U64" s="186">
        <v>0.6041560650048639</v>
      </c>
      <c r="V64" s="186">
        <v>0.8179466250602281</v>
      </c>
      <c r="W64" s="186">
        <v>0.9000873856356623</v>
      </c>
      <c r="X64" s="186"/>
      <c r="AC64" s="8"/>
      <c r="AD64" s="8"/>
      <c r="AE64" s="31"/>
      <c r="AF64" s="607"/>
      <c r="AG64" s="607"/>
      <c r="AH64" s="317"/>
      <c r="AI64" s="317"/>
      <c r="AJ64" s="31"/>
      <c r="AK64" s="319"/>
      <c r="AL64" s="304"/>
      <c r="AM64" s="304"/>
      <c r="AN64" s="304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1" ht="12.75" customHeight="1">
      <c r="A65" s="44">
        <v>2045</v>
      </c>
      <c r="B65" s="73"/>
      <c r="C65" s="71"/>
      <c r="D65" s="21"/>
      <c r="E65" s="71"/>
      <c r="F65" s="65"/>
      <c r="G65" s="10"/>
      <c r="H65" s="21"/>
      <c r="I65" s="351"/>
      <c r="J65" s="65"/>
      <c r="K65" s="8"/>
      <c r="L65" s="65"/>
      <c r="M65" s="66">
        <f t="shared" si="11"/>
        <v>0</v>
      </c>
      <c r="N65" s="11">
        <f t="shared" si="4"/>
        <v>0</v>
      </c>
      <c r="O65" s="67">
        <f t="shared" si="3"/>
        <v>0</v>
      </c>
      <c r="P65" s="375"/>
      <c r="Q65" s="154">
        <f>'Incentive effect'!P65</f>
        <v>7.618344797136945</v>
      </c>
      <c r="R65" s="186">
        <v>0.02594360123128245</v>
      </c>
      <c r="S65" s="186">
        <v>0.20655686291032022</v>
      </c>
      <c r="T65" s="186">
        <v>0.3356971542700495</v>
      </c>
      <c r="U65" s="186">
        <v>0.6042359982214746</v>
      </c>
      <c r="V65" s="186">
        <v>0.8180055114023951</v>
      </c>
      <c r="W65" s="186">
        <v>0.9001135583243074</v>
      </c>
      <c r="X65" s="186"/>
      <c r="AC65" s="8"/>
      <c r="AD65" s="8"/>
      <c r="AE65" s="31"/>
      <c r="AF65" s="607"/>
      <c r="AG65" s="607"/>
      <c r="AH65" s="317"/>
      <c r="AI65" s="317"/>
      <c r="AJ65" s="31"/>
      <c r="AK65" s="319"/>
      <c r="AL65" s="304"/>
      <c r="AM65" s="304"/>
      <c r="AN65" s="304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1:51" ht="13.5" customHeight="1" thickBot="1">
      <c r="A66" s="44"/>
      <c r="B66" s="74"/>
      <c r="C66" s="75"/>
      <c r="D66" s="75"/>
      <c r="E66" s="75"/>
      <c r="F66" s="76"/>
      <c r="G66" s="74"/>
      <c r="H66" s="75"/>
      <c r="I66" s="352"/>
      <c r="J66" s="75"/>
      <c r="K66" s="75"/>
      <c r="L66" s="75"/>
      <c r="M66" s="353"/>
      <c r="N66" s="77"/>
      <c r="O66" s="348"/>
      <c r="P66" s="125"/>
      <c r="Q66" s="397">
        <f>AVERAGE(Q27:Q33)</f>
        <v>5.545990363529752</v>
      </c>
      <c r="R66" s="8"/>
      <c r="S66" s="8"/>
      <c r="V66" s="8"/>
      <c r="Z66" s="138"/>
      <c r="AA66" s="138"/>
      <c r="AB66" s="8"/>
      <c r="AC66" s="8"/>
      <c r="AD66" s="8"/>
      <c r="AE66" s="31"/>
      <c r="AF66" s="317"/>
      <c r="AG66" s="31"/>
      <c r="AH66" s="317"/>
      <c r="AI66" s="317"/>
      <c r="AJ66" s="31"/>
      <c r="AK66" s="317"/>
      <c r="AL66" s="31"/>
      <c r="AM66" s="304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1:51" ht="13.5" customHeight="1" thickTop="1">
      <c r="A67" t="s">
        <v>85</v>
      </c>
      <c r="B67" s="60">
        <f>SUM(B23:B66)</f>
        <v>2938.080497524202</v>
      </c>
      <c r="C67" s="80">
        <f>SUM(C23:C66)</f>
        <v>10347.104203580744</v>
      </c>
      <c r="D67" s="80">
        <f>SUM(D23:D66)</f>
        <v>3521.4934474371457</v>
      </c>
      <c r="E67" s="80">
        <f>SUM(E23:E66)</f>
        <v>2895.598660131744</v>
      </c>
      <c r="F67" s="81">
        <f>SUM(F23:F66)</f>
        <v>111.3691792358363</v>
      </c>
      <c r="G67" s="60">
        <f>SUM(G26:G65)</f>
        <v>183.74720333163918</v>
      </c>
      <c r="H67" s="60">
        <f aca="true" t="shared" si="12" ref="H67:O67">SUM(H26:H65)</f>
        <v>5.343937608884156</v>
      </c>
      <c r="I67" s="60">
        <f t="shared" si="12"/>
        <v>189.0911409405233</v>
      </c>
      <c r="J67" s="60">
        <f t="shared" si="12"/>
        <v>29.219395972042427</v>
      </c>
      <c r="K67" s="60">
        <f t="shared" si="12"/>
        <v>2.179213699785347</v>
      </c>
      <c r="L67" s="60">
        <f t="shared" si="12"/>
        <v>2.179213699785347</v>
      </c>
      <c r="M67" s="60">
        <f t="shared" si="12"/>
        <v>21.84685509443043</v>
      </c>
      <c r="N67" s="60">
        <f t="shared" si="12"/>
        <v>0.9240795690082992</v>
      </c>
      <c r="O67" s="60">
        <f t="shared" si="12"/>
        <v>29.21939597204242</v>
      </c>
      <c r="P67" s="92"/>
      <c r="Q67" s="154" t="s">
        <v>235</v>
      </c>
      <c r="R67" s="728"/>
      <c r="S67" s="728"/>
      <c r="V67" s="8"/>
      <c r="Z67" s="127"/>
      <c r="AA67" s="127"/>
      <c r="AB67" s="127"/>
      <c r="AC67" s="8"/>
      <c r="AD67" s="8"/>
      <c r="AE67" s="31"/>
      <c r="AF67" s="320"/>
      <c r="AG67" s="317"/>
      <c r="AH67" s="317"/>
      <c r="AI67" s="317"/>
      <c r="AJ67" s="317"/>
      <c r="AK67" s="317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8" spans="2:51" ht="12.75" customHeight="1">
      <c r="B68" s="10"/>
      <c r="C68" s="8"/>
      <c r="D68" s="8"/>
      <c r="E68" s="80">
        <f>SUM(E24:E32)</f>
        <v>1394.1771326560252</v>
      </c>
      <c r="F68" s="9"/>
      <c r="G68" s="10"/>
      <c r="H68" s="80"/>
      <c r="I68" s="80"/>
      <c r="J68" s="185">
        <f>J26+5*Q94</f>
        <v>29.219395972042424</v>
      </c>
      <c r="K68" s="152"/>
      <c r="L68" s="715" t="s">
        <v>86</v>
      </c>
      <c r="M68" s="691"/>
      <c r="N68" s="82">
        <v>0.07</v>
      </c>
      <c r="O68" s="83">
        <f>NPV(N68,O26:O65)</f>
        <v>12.403859020873393</v>
      </c>
      <c r="P68" s="197"/>
      <c r="Q68" s="396">
        <f>AVERAGE(Q26:Q45)</f>
        <v>5.429054303169252</v>
      </c>
      <c r="R68" s="131"/>
      <c r="S68" s="256"/>
      <c r="V68" s="131"/>
      <c r="Z68" s="131"/>
      <c r="AA68" s="131"/>
      <c r="AB68" s="131"/>
      <c r="AC68" s="8"/>
      <c r="AD68" s="8"/>
      <c r="AE68" s="31"/>
      <c r="AF68" s="31"/>
      <c r="AG68" s="317"/>
      <c r="AH68" s="317"/>
      <c r="AI68" s="317"/>
      <c r="AJ68" s="317"/>
      <c r="AK68" s="317"/>
      <c r="AL68" s="304"/>
      <c r="AM68" s="304"/>
      <c r="AN68" s="32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</row>
    <row r="69" spans="1:51" ht="12.75" customHeight="1">
      <c r="A69" t="s">
        <v>87</v>
      </c>
      <c r="B69" s="84"/>
      <c r="C69" s="85"/>
      <c r="D69" s="86">
        <f>E69+F69</f>
        <v>3521.493447437144</v>
      </c>
      <c r="E69" s="86">
        <f>E67</f>
        <v>2895.598660131744</v>
      </c>
      <c r="F69" s="87">
        <f>F67*C15</f>
        <v>625.8947873054</v>
      </c>
      <c r="G69" s="88"/>
      <c r="H69" s="89"/>
      <c r="I69" s="86">
        <f>G67+H67</f>
        <v>189.09114094052333</v>
      </c>
      <c r="J69" s="86">
        <f>L69+M69+N69</f>
        <v>29.21939597204242</v>
      </c>
      <c r="K69" s="85"/>
      <c r="L69" s="86">
        <f>L67</f>
        <v>2.179213699785347</v>
      </c>
      <c r="M69" s="86">
        <f>M67</f>
        <v>21.84685509443043</v>
      </c>
      <c r="N69" s="90">
        <f>N67*C15</f>
        <v>5.193327177826641</v>
      </c>
      <c r="O69" s="86">
        <f>K67+M67+N67*C15</f>
        <v>29.21939597204242</v>
      </c>
      <c r="P69" s="91"/>
      <c r="Q69" s="233"/>
      <c r="R69" s="230"/>
      <c r="S69" s="257"/>
      <c r="U69" s="230"/>
      <c r="V69" s="8"/>
      <c r="Z69" s="230"/>
      <c r="AA69" s="230"/>
      <c r="AB69" s="230"/>
      <c r="AC69" s="8"/>
      <c r="AD69" s="8"/>
      <c r="AE69" s="31"/>
      <c r="AF69" s="304"/>
      <c r="AG69" s="31"/>
      <c r="AH69" s="31"/>
      <c r="AI69" s="31"/>
      <c r="AJ69" s="31"/>
      <c r="AK69" s="31"/>
      <c r="AL69" s="322"/>
      <c r="AM69" s="31"/>
      <c r="AN69" s="314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spans="12:51" ht="6" customHeight="1">
      <c r="L70" s="8"/>
      <c r="M70" s="21"/>
      <c r="N70" s="21"/>
      <c r="O70" s="67"/>
      <c r="P70" s="92"/>
      <c r="R70" s="68"/>
      <c r="S70" s="68"/>
      <c r="W70" s="229"/>
      <c r="X70" s="229"/>
      <c r="Y70" s="229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</row>
    <row r="71" spans="1:51" ht="15" customHeight="1">
      <c r="A71" s="8"/>
      <c r="B71" s="217"/>
      <c r="C71" s="217"/>
      <c r="D71" s="217"/>
      <c r="E71" s="217"/>
      <c r="F71" s="217"/>
      <c r="G71" s="8"/>
      <c r="H71" s="12"/>
      <c r="I71" s="8"/>
      <c r="J71" s="80">
        <f>(2*J23+J25+J26+J27+J28)-(2*K23+K25+K26+K27+K28)+L67</f>
        <v>14.384602989328544</v>
      </c>
      <c r="L71" s="101">
        <f>(L26+L27)/L67</f>
        <v>0.01686737232571236</v>
      </c>
      <c r="M71" s="80">
        <f>NPV(N68,M26:M65)</f>
        <v>8.804329240456225</v>
      </c>
      <c r="O71" s="159">
        <f>NPV(N68,O26:O65)</f>
        <v>12.403859020873393</v>
      </c>
      <c r="W71" s="229"/>
      <c r="X71" s="229"/>
      <c r="Y71" s="229"/>
      <c r="AE71" s="31"/>
      <c r="AF71" s="324"/>
      <c r="AG71" s="324"/>
      <c r="AH71" s="324"/>
      <c r="AI71" s="324"/>
      <c r="AJ71" s="324"/>
      <c r="AK71" s="313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</row>
    <row r="72" spans="1:51" ht="12.75" customHeight="1">
      <c r="A72" s="8"/>
      <c r="B72" s="260">
        <f>SUM(B26:B35)</f>
        <v>1685.268274700649</v>
      </c>
      <c r="C72" s="671" t="s">
        <v>225</v>
      </c>
      <c r="D72" s="671"/>
      <c r="E72" s="671"/>
      <c r="F72" s="671"/>
      <c r="G72" s="260">
        <f>SUM(G26:G35)</f>
        <v>183.74720333163918</v>
      </c>
      <c r="H72" s="32"/>
      <c r="I72" s="93"/>
      <c r="K72" s="3"/>
      <c r="L72" s="4"/>
      <c r="M72" s="263">
        <f>SUM(M26:M45)</f>
        <v>21.84685509443043</v>
      </c>
      <c r="N72" s="4"/>
      <c r="O72" s="300">
        <f>SUM(O26:O45)</f>
        <v>29.21939597204242</v>
      </c>
      <c r="P72" s="95">
        <f>O67/I67</f>
        <v>0.15452546230726422</v>
      </c>
      <c r="AE72" s="31"/>
      <c r="AF72" s="32"/>
      <c r="AG72" s="31"/>
      <c r="AH72" s="31"/>
      <c r="AI72" s="31"/>
      <c r="AJ72" s="31"/>
      <c r="AK72" s="31"/>
      <c r="AL72" s="32"/>
      <c r="AM72" s="32"/>
      <c r="AN72" s="32"/>
      <c r="AO72" s="32"/>
      <c r="AP72" s="32"/>
      <c r="AQ72" s="31"/>
      <c r="AR72" s="31"/>
      <c r="AS72" s="31"/>
      <c r="AT72" s="31"/>
      <c r="AU72" s="31"/>
      <c r="AV72" s="31"/>
      <c r="AW72" s="31"/>
      <c r="AX72" s="31"/>
      <c r="AY72" s="31"/>
    </row>
    <row r="73" spans="1:51" ht="12.75" customHeight="1" thickBot="1">
      <c r="A73" s="8"/>
      <c r="B73" s="261">
        <f>SUM(B36:B45)</f>
        <v>177.59642282355242</v>
      </c>
      <c r="C73" s="671" t="s">
        <v>226</v>
      </c>
      <c r="D73" s="671"/>
      <c r="E73" s="671"/>
      <c r="F73" s="671"/>
      <c r="G73" s="261">
        <f>SUM(G36:G45)</f>
        <v>0</v>
      </c>
      <c r="H73" s="104"/>
      <c r="I73" s="12"/>
      <c r="J73" s="94" t="s">
        <v>88</v>
      </c>
      <c r="K73" s="4"/>
      <c r="Q73" s="96"/>
      <c r="R73" s="96"/>
      <c r="U73" s="21"/>
      <c r="AE73" s="31"/>
      <c r="AF73" s="32"/>
      <c r="AG73" s="304"/>
      <c r="AH73" s="304"/>
      <c r="AI73" s="304"/>
      <c r="AJ73" s="304"/>
      <c r="AK73" s="310"/>
      <c r="AL73" s="304"/>
      <c r="AM73" s="304"/>
      <c r="AN73" s="304"/>
      <c r="AO73" s="304"/>
      <c r="AP73" s="304"/>
      <c r="AQ73" s="31"/>
      <c r="AR73" s="31"/>
      <c r="AS73" s="31"/>
      <c r="AT73" s="31"/>
      <c r="AU73" s="31"/>
      <c r="AV73" s="31"/>
      <c r="AW73" s="31"/>
      <c r="AX73" s="31"/>
      <c r="AY73" s="31"/>
    </row>
    <row r="74" spans="1:51" ht="12.75" customHeight="1">
      <c r="A74" s="8"/>
      <c r="B74" s="32"/>
      <c r="C74" s="32"/>
      <c r="D74" s="32"/>
      <c r="E74" s="32"/>
      <c r="F74" s="32"/>
      <c r="G74" s="354">
        <f>G72+G73</f>
        <v>183.74720333163918</v>
      </c>
      <c r="H74" s="32"/>
      <c r="I74" s="32"/>
      <c r="J74" s="678" t="s">
        <v>89</v>
      </c>
      <c r="K74" s="678"/>
      <c r="L74" s="678"/>
      <c r="M74" s="678"/>
      <c r="N74" s="721" t="s">
        <v>90</v>
      </c>
      <c r="O74" s="721"/>
      <c r="P74" s="721" t="s">
        <v>172</v>
      </c>
      <c r="Q74" s="721"/>
      <c r="R74" s="699" t="s">
        <v>171</v>
      </c>
      <c r="S74" s="699"/>
      <c r="T74" s="699"/>
      <c r="U74" s="699"/>
      <c r="W74" s="106" t="s">
        <v>113</v>
      </c>
      <c r="X74" s="106"/>
      <c r="Y74" s="107" t="s">
        <v>109</v>
      </c>
      <c r="AE74" s="31"/>
      <c r="AF74" s="32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1"/>
      <c r="AR74" s="31"/>
      <c r="AS74" s="31"/>
      <c r="AT74" s="31"/>
      <c r="AU74" s="31"/>
      <c r="AV74" s="31"/>
      <c r="AW74" s="31"/>
      <c r="AX74" s="31"/>
      <c r="AY74" s="31"/>
    </row>
    <row r="75" spans="1:51" ht="12.75" customHeight="1" thickBot="1">
      <c r="A75" s="12"/>
      <c r="B75" s="32"/>
      <c r="C75" s="32"/>
      <c r="D75" s="32"/>
      <c r="E75" s="32"/>
      <c r="F75" s="32"/>
      <c r="G75" s="32"/>
      <c r="H75" s="12"/>
      <c r="I75" s="12"/>
      <c r="J75" s="8"/>
      <c r="K75" s="8"/>
      <c r="L75" s="8"/>
      <c r="M75" s="8"/>
      <c r="N75" s="611" t="s">
        <v>198</v>
      </c>
      <c r="O75" s="52" t="s">
        <v>199</v>
      </c>
      <c r="P75" s="612" t="s">
        <v>198</v>
      </c>
      <c r="Q75" s="52" t="s">
        <v>199</v>
      </c>
      <c r="R75" s="212" t="s">
        <v>209</v>
      </c>
      <c r="S75" s="183" t="s">
        <v>179</v>
      </c>
      <c r="T75" s="183" t="s">
        <v>180</v>
      </c>
      <c r="U75" s="191" t="s">
        <v>174</v>
      </c>
      <c r="V75" s="71" t="s">
        <v>106</v>
      </c>
      <c r="W75" s="108">
        <f>'Incentive effect'!X56</f>
        <v>0.772250260441744</v>
      </c>
      <c r="X75" s="108"/>
      <c r="Y75" s="109">
        <v>1</v>
      </c>
      <c r="AE75" s="31"/>
      <c r="AF75" s="32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1"/>
      <c r="AR75" s="31"/>
      <c r="AS75" s="31"/>
      <c r="AT75" s="31"/>
      <c r="AU75" s="31"/>
      <c r="AV75" s="31"/>
      <c r="AW75" s="31"/>
      <c r="AX75" s="31"/>
      <c r="AY75" s="31"/>
    </row>
    <row r="76" spans="1:51" ht="12.75" customHeight="1">
      <c r="A76" s="12"/>
      <c r="B76" s="12"/>
      <c r="C76" s="21"/>
      <c r="D76" s="21"/>
      <c r="E76" s="28"/>
      <c r="F76" s="236"/>
      <c r="G76" s="80"/>
      <c r="H76" s="92"/>
      <c r="I76" s="92"/>
      <c r="J76" s="8" t="s">
        <v>91</v>
      </c>
      <c r="K76" s="8"/>
      <c r="L76" s="8"/>
      <c r="M76" s="8"/>
      <c r="N76" s="270">
        <f>'Incentive effect'!N76</f>
        <v>5.68</v>
      </c>
      <c r="O76" s="28">
        <f>'Incentive effect'!O76</f>
        <v>0.69</v>
      </c>
      <c r="P76" s="613">
        <f>'Incentive effect'!P76</f>
        <v>3.92</v>
      </c>
      <c r="Q76" s="28">
        <f>'Incentive effect'!Q76</f>
        <v>0.46</v>
      </c>
      <c r="R76" s="270">
        <f>'Incentive effect'!R76</f>
        <v>14.28</v>
      </c>
      <c r="S76" s="270">
        <f>'Incentive effect'!S76</f>
        <v>14.28</v>
      </c>
      <c r="T76" s="270">
        <f>'Incentive effect'!T76</f>
        <v>1.66</v>
      </c>
      <c r="U76" s="270">
        <f>'Incentive effect'!U76</f>
        <v>14.28</v>
      </c>
      <c r="V76" s="71" t="s">
        <v>107</v>
      </c>
      <c r="W76" s="108">
        <f>'Incentive effect'!X57</f>
        <v>0.00972552941897417</v>
      </c>
      <c r="X76" s="108"/>
      <c r="Y76" s="109">
        <f>10/25</f>
        <v>0.4</v>
      </c>
      <c r="AE76" s="31"/>
      <c r="AF76" s="32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1"/>
      <c r="AR76" s="31"/>
      <c r="AS76" s="31"/>
      <c r="AT76" s="31"/>
      <c r="AU76" s="31"/>
      <c r="AV76" s="31"/>
      <c r="AW76" s="31"/>
      <c r="AX76" s="31"/>
      <c r="AY76" s="31"/>
    </row>
    <row r="77" spans="1:51" ht="12.75" customHeight="1">
      <c r="A77" s="12"/>
      <c r="B77" s="21"/>
      <c r="C77" s="21"/>
      <c r="D77" s="21"/>
      <c r="E77" s="28"/>
      <c r="F77" s="236"/>
      <c r="G77" s="80"/>
      <c r="H77" s="92"/>
      <c r="I77" s="92"/>
      <c r="J77" s="8" t="s">
        <v>92</v>
      </c>
      <c r="K77" s="8"/>
      <c r="L77" s="8"/>
      <c r="M77" s="177">
        <f>N77+P77</f>
        <v>0.5445724293776216</v>
      </c>
      <c r="N77" s="283">
        <f>((N11/(1+I8))*N12)/1000</f>
        <v>0.5231810747663551</v>
      </c>
      <c r="O77" s="172">
        <f>($O$76/$N$76)*N77</f>
        <v>0.06355544746281426</v>
      </c>
      <c r="P77" s="614">
        <f>((P11/(1+I8))*P12)/1000</f>
        <v>0.021391354611266473</v>
      </c>
      <c r="Q77" s="241">
        <f>(Q76/P76)*P77</f>
        <v>0.0025102099798935146</v>
      </c>
      <c r="R77" s="618">
        <f>(R11*R12)/1000</f>
        <v>0.24785360109158802</v>
      </c>
      <c r="S77" s="271">
        <f>R77</f>
        <v>0.24785360109158802</v>
      </c>
      <c r="T77" s="271">
        <f>(R11*R12*S83)/1000</f>
        <v>0.029699330254399466</v>
      </c>
      <c r="U77" s="619">
        <f>S77</f>
        <v>0.24785360109158802</v>
      </c>
      <c r="V77" s="71" t="s">
        <v>108</v>
      </c>
      <c r="W77" s="108">
        <f>'Incentive effect'!X58</f>
        <v>0.218024210139282</v>
      </c>
      <c r="X77" s="108"/>
      <c r="Y77" s="135">
        <f>'Incentive effect'!Z64</f>
        <v>0.3895846673495055</v>
      </c>
      <c r="AE77" s="31"/>
      <c r="AF77" s="32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1"/>
      <c r="AR77" s="31"/>
      <c r="AS77" s="31"/>
      <c r="AT77" s="31"/>
      <c r="AU77" s="31"/>
      <c r="AV77" s="31"/>
      <c r="AW77" s="31"/>
      <c r="AX77" s="31"/>
      <c r="AY77" s="31"/>
    </row>
    <row r="78" spans="1:51" ht="12.75" customHeight="1">
      <c r="A78" s="12"/>
      <c r="B78" s="21"/>
      <c r="C78" s="21"/>
      <c r="D78" s="21"/>
      <c r="E78" s="28"/>
      <c r="F78" s="236"/>
      <c r="G78" s="80"/>
      <c r="H78" s="92"/>
      <c r="I78" s="92"/>
      <c r="J78" s="8" t="s">
        <v>200</v>
      </c>
      <c r="K78" s="8"/>
      <c r="L78" s="8"/>
      <c r="M78" s="12">
        <v>25</v>
      </c>
      <c r="N78" s="338">
        <f>IF(N77*$M$78&gt;N76,(N77/N79)*N76,N77*$M$78)</f>
        <v>5.068508461010782</v>
      </c>
      <c r="O78" s="11">
        <f>IF(O77*$M$78&gt;O76,(O77/O79)*O76,O77*$M$78)</f>
        <v>0.6157166968481407</v>
      </c>
      <c r="P78" s="615">
        <f>P77*M78</f>
        <v>0.5347838652816618</v>
      </c>
      <c r="Q78" s="11">
        <f>IF(Q77*$M$78&gt;Q76,(Q77/Q79)*Q76,Q77*$M$78)</f>
        <v>0.06275524949733786</v>
      </c>
      <c r="R78" s="283">
        <f>R77*M78</f>
        <v>6.1963400272897005</v>
      </c>
      <c r="S78" s="272">
        <f>R78</f>
        <v>6.1963400272897005</v>
      </c>
      <c r="T78" s="272">
        <f>T77*M78</f>
        <v>0.7424832563599867</v>
      </c>
      <c r="U78" s="620">
        <f>S78</f>
        <v>6.1963400272897005</v>
      </c>
      <c r="V78" s="189" t="s">
        <v>111</v>
      </c>
      <c r="W78" s="110">
        <f>W75*Y75+W76*Y76+W77*Y77</f>
        <v>0.8610793615905845</v>
      </c>
      <c r="X78" s="110"/>
      <c r="Y78" s="111"/>
      <c r="AE78" s="31"/>
      <c r="AF78" s="32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1"/>
      <c r="AR78" s="31"/>
      <c r="AS78" s="31"/>
      <c r="AT78" s="31"/>
      <c r="AU78" s="31"/>
      <c r="AV78" s="31"/>
      <c r="AW78" s="31"/>
      <c r="AX78" s="31"/>
      <c r="AY78" s="31"/>
    </row>
    <row r="79" spans="1:51" ht="12.75" customHeight="1">
      <c r="A79" s="12"/>
      <c r="B79" s="21"/>
      <c r="C79" s="21"/>
      <c r="D79" s="21"/>
      <c r="E79" s="28"/>
      <c r="F79" s="236"/>
      <c r="G79" s="80"/>
      <c r="H79" s="92"/>
      <c r="I79" s="92"/>
      <c r="J79" s="15" t="s">
        <v>93</v>
      </c>
      <c r="K79" s="12"/>
      <c r="L79" s="8"/>
      <c r="M79" s="12" t="s">
        <v>141</v>
      </c>
      <c r="N79" s="609">
        <f>N77+((O11-N11)*O12)/1000</f>
        <v>0.5863003934061255</v>
      </c>
      <c r="O79" s="239">
        <f>($O$76/$N$76)*(IF(I8=0,N77,N79))</f>
        <v>0.07122311117081453</v>
      </c>
      <c r="P79" s="616">
        <f>P77+((($Q$11-$P$11)*$Q$12)/1000)</f>
        <v>0.023766264318498556</v>
      </c>
      <c r="Q79" s="242">
        <f>(Q76/P76)*(IF(I8=0,P77,P79))</f>
        <v>0.002788898363905443</v>
      </c>
      <c r="R79" s="621">
        <f>R77+(((S11-$R$11)*S12)/1000)</f>
        <v>0.26663940071569053</v>
      </c>
      <c r="S79" s="273">
        <f>S77+(((T11-$R$11)*T12)/1000)</f>
        <v>0.27016680462453524</v>
      </c>
      <c r="T79" s="273">
        <f>T77+(((U11-$R$11)*S83*U12)/1000)</f>
        <v>0.03197356441691742</v>
      </c>
      <c r="U79" s="622">
        <f>U77+(((V11-$R$11)*V12)/1000)</f>
        <v>0.26489479124099186</v>
      </c>
      <c r="V79" s="190">
        <f>T15*K6</f>
        <v>40</v>
      </c>
      <c r="W79" s="120" t="s">
        <v>131</v>
      </c>
      <c r="X79" s="120"/>
      <c r="Y79" s="107" t="s">
        <v>110</v>
      </c>
      <c r="AE79" s="31"/>
      <c r="AF79" s="32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1"/>
      <c r="AR79" s="31"/>
      <c r="AS79" s="31"/>
      <c r="AT79" s="31"/>
      <c r="AU79" s="31"/>
      <c r="AV79" s="31"/>
      <c r="AW79" s="31"/>
      <c r="AX79" s="31"/>
      <c r="AY79" s="31"/>
    </row>
    <row r="80" spans="1:51" ht="12.75" customHeight="1">
      <c r="A80" s="12"/>
      <c r="B80" s="21"/>
      <c r="C80" s="21"/>
      <c r="D80" s="21"/>
      <c r="E80" s="28"/>
      <c r="F80" s="236"/>
      <c r="G80" s="80"/>
      <c r="H80" s="92"/>
      <c r="I80" s="92"/>
      <c r="J80" s="8" t="s">
        <v>201</v>
      </c>
      <c r="K80" s="8"/>
      <c r="L80" s="8"/>
      <c r="M80" s="12">
        <f>M78</f>
        <v>25</v>
      </c>
      <c r="N80" s="338">
        <f>IF(N79*$M$80&gt;N76,N76,N79*$M$80)</f>
        <v>5.68</v>
      </c>
      <c r="O80" s="172">
        <f>IF(O79*$M$80&gt;O76,O76,O79*$M$80)</f>
        <v>0.69</v>
      </c>
      <c r="P80" s="614">
        <f aca="true" t="shared" si="13" ref="P80:U80">P79*$M$80</f>
        <v>0.594156607962464</v>
      </c>
      <c r="Q80" s="172">
        <f t="shared" si="13"/>
        <v>0.06972245909763607</v>
      </c>
      <c r="R80" s="338">
        <f t="shared" si="13"/>
        <v>6.665985017892264</v>
      </c>
      <c r="S80" s="270">
        <f t="shared" si="13"/>
        <v>6.754170115613381</v>
      </c>
      <c r="T80" s="270">
        <f t="shared" si="13"/>
        <v>0.7993391104229355</v>
      </c>
      <c r="U80" s="336">
        <f t="shared" si="13"/>
        <v>6.622369781024797</v>
      </c>
      <c r="V80" s="71" t="s">
        <v>106</v>
      </c>
      <c r="W80" s="137">
        <f>'Incentive effect'!Z56</f>
        <v>0.804435866312203</v>
      </c>
      <c r="X80" s="137"/>
      <c r="Y80" s="109">
        <v>1</v>
      </c>
      <c r="AE80" s="31"/>
      <c r="AF80" s="32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1"/>
      <c r="AR80" s="31"/>
      <c r="AS80" s="31"/>
      <c r="AT80" s="31"/>
      <c r="AU80" s="31"/>
      <c r="AV80" s="31"/>
      <c r="AW80" s="31"/>
      <c r="AX80" s="31"/>
      <c r="AY80" s="31"/>
    </row>
    <row r="81" spans="1:51" ht="12.75" customHeight="1">
      <c r="A81" s="12"/>
      <c r="B81" s="21"/>
      <c r="C81" s="21"/>
      <c r="D81" s="21"/>
      <c r="E81" s="28"/>
      <c r="F81" s="236"/>
      <c r="G81" s="80"/>
      <c r="H81" s="92"/>
      <c r="I81" s="92"/>
      <c r="J81" s="8" t="s">
        <v>115</v>
      </c>
      <c r="K81" s="8"/>
      <c r="L81" s="8"/>
      <c r="M81" s="8"/>
      <c r="N81" s="338">
        <f aca="true" t="shared" si="14" ref="N81:U81">N80-N78</f>
        <v>0.6114915389892177</v>
      </c>
      <c r="O81" s="11">
        <f t="shared" si="14"/>
        <v>0.07428330315185927</v>
      </c>
      <c r="P81" s="614">
        <f t="shared" si="14"/>
        <v>0.05937274268080217</v>
      </c>
      <c r="Q81" s="172">
        <f t="shared" si="14"/>
        <v>0.006967209600298202</v>
      </c>
      <c r="R81" s="283">
        <f t="shared" si="14"/>
        <v>0.46964499060256326</v>
      </c>
      <c r="S81" s="272">
        <f t="shared" si="14"/>
        <v>0.5578300883236809</v>
      </c>
      <c r="T81" s="272">
        <f t="shared" si="14"/>
        <v>0.056855854062948796</v>
      </c>
      <c r="U81" s="620">
        <f t="shared" si="14"/>
        <v>0.42602975373509633</v>
      </c>
      <c r="V81" s="71" t="s">
        <v>107</v>
      </c>
      <c r="W81" s="137">
        <f>'Incentive effect'!Z57</f>
        <v>0.0377787664204228</v>
      </c>
      <c r="X81" s="137"/>
      <c r="Y81" s="109">
        <v>0</v>
      </c>
      <c r="AE81" s="31"/>
      <c r="AF81" s="32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1"/>
      <c r="AR81" s="31"/>
      <c r="AS81" s="31"/>
      <c r="AT81" s="31"/>
      <c r="AU81" s="31"/>
      <c r="AV81" s="31"/>
      <c r="AW81" s="31"/>
      <c r="AX81" s="31"/>
      <c r="AY81" s="31"/>
    </row>
    <row r="82" spans="1:51" ht="12.75" customHeight="1">
      <c r="A82" s="12"/>
      <c r="B82" s="21"/>
      <c r="C82" s="21"/>
      <c r="D82" s="21"/>
      <c r="E82" s="28"/>
      <c r="F82" s="236"/>
      <c r="G82" s="80"/>
      <c r="H82" s="92"/>
      <c r="I82" s="92"/>
      <c r="J82" s="8" t="s">
        <v>189</v>
      </c>
      <c r="K82" s="8"/>
      <c r="L82" s="8"/>
      <c r="M82" s="8"/>
      <c r="N82" s="338">
        <f aca="true" t="shared" si="15" ref="N82:U82">N76/N79</f>
        <v>9.687866601968166</v>
      </c>
      <c r="O82" s="11">
        <f t="shared" si="15"/>
        <v>9.687866601968166</v>
      </c>
      <c r="P82" s="617">
        <f t="shared" si="15"/>
        <v>164.9396786750728</v>
      </c>
      <c r="Q82" s="65">
        <f t="shared" si="15"/>
        <v>164.9396786750728</v>
      </c>
      <c r="R82" s="292">
        <f t="shared" si="15"/>
        <v>53.55547590367685</v>
      </c>
      <c r="S82" s="274">
        <f t="shared" si="15"/>
        <v>52.85623457643382</v>
      </c>
      <c r="T82" s="274">
        <f t="shared" si="15"/>
        <v>51.917889990447335</v>
      </c>
      <c r="U82" s="623">
        <f t="shared" si="15"/>
        <v>53.90819477083852</v>
      </c>
      <c r="V82" s="71" t="s">
        <v>108</v>
      </c>
      <c r="W82" s="137">
        <f>'Incentive effect'!Z58</f>
        <v>0.157785367267375</v>
      </c>
      <c r="X82" s="137"/>
      <c r="Y82" s="109">
        <f>'Incentive effect'!AA63</f>
        <v>0.2632</v>
      </c>
      <c r="AE82" s="31"/>
      <c r="AF82" s="32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1"/>
      <c r="AR82" s="31"/>
      <c r="AS82" s="31"/>
      <c r="AT82" s="31"/>
      <c r="AU82" s="31"/>
      <c r="AV82" s="31"/>
      <c r="AW82" s="31"/>
      <c r="AX82" s="31"/>
      <c r="AY82" s="31"/>
    </row>
    <row r="83" spans="1:51" ht="13.5" customHeight="1" thickBot="1">
      <c r="A83" s="12"/>
      <c r="B83" s="21"/>
      <c r="C83" s="21"/>
      <c r="D83" s="21"/>
      <c r="E83" s="28"/>
      <c r="F83" s="236"/>
      <c r="G83" s="80"/>
      <c r="H83" s="92"/>
      <c r="I83" s="92"/>
      <c r="J83" s="36" t="s">
        <v>202</v>
      </c>
      <c r="K83" s="36"/>
      <c r="L83" s="36"/>
      <c r="M83" s="36"/>
      <c r="N83" s="84"/>
      <c r="O83" s="240">
        <f>O76/N76</f>
        <v>0.12147887323943661</v>
      </c>
      <c r="P83" s="84"/>
      <c r="Q83" s="240">
        <f>Q76/P76</f>
        <v>0.11734693877551021</v>
      </c>
      <c r="R83" s="624"/>
      <c r="S83" s="625">
        <f>(O83*O76+Q83*Q76)/(O76+Q76)</f>
        <v>0.11982609945386605</v>
      </c>
      <c r="T83" s="626"/>
      <c r="U83" s="627"/>
      <c r="V83" s="189" t="s">
        <v>112</v>
      </c>
      <c r="W83" s="110">
        <f>W80*Y80+W81*Y81+W82*Y82</f>
        <v>0.8459649749769761</v>
      </c>
      <c r="X83" s="110"/>
      <c r="Y83" s="111"/>
      <c r="AE83" s="31"/>
      <c r="AF83" s="32"/>
      <c r="AG83" s="304"/>
      <c r="AH83" s="304"/>
      <c r="AI83" s="304"/>
      <c r="AJ83" s="304"/>
      <c r="AK83" s="304"/>
      <c r="AL83" s="31"/>
      <c r="AM83" s="304"/>
      <c r="AN83" s="304"/>
      <c r="AO83" s="304"/>
      <c r="AP83" s="304"/>
      <c r="AQ83" s="31"/>
      <c r="AR83" s="31"/>
      <c r="AS83" s="31"/>
      <c r="AT83" s="31"/>
      <c r="AU83" s="31"/>
      <c r="AV83" s="31"/>
      <c r="AW83" s="31"/>
      <c r="AX83" s="31"/>
      <c r="AY83" s="31"/>
    </row>
    <row r="84" spans="1:51" ht="13.5" customHeight="1" thickBot="1">
      <c r="A84" s="12"/>
      <c r="B84" s="21"/>
      <c r="C84" s="21"/>
      <c r="D84" s="21"/>
      <c r="E84" s="28"/>
      <c r="F84" s="236"/>
      <c r="G84" s="80"/>
      <c r="H84" s="92"/>
      <c r="I84" s="92"/>
      <c r="R84" s="722" t="s">
        <v>178</v>
      </c>
      <c r="S84" s="723"/>
      <c r="T84" s="723"/>
      <c r="U84" s="724"/>
      <c r="AE84" s="31"/>
      <c r="AF84" s="32"/>
      <c r="AG84" s="304"/>
      <c r="AH84" s="304"/>
      <c r="AI84" s="304"/>
      <c r="AJ84" s="304"/>
      <c r="AK84" s="304"/>
      <c r="AL84" s="31"/>
      <c r="AM84" s="304"/>
      <c r="AN84" s="304"/>
      <c r="AO84" s="304"/>
      <c r="AP84" s="304"/>
      <c r="AQ84" s="31"/>
      <c r="AR84" s="31"/>
      <c r="AS84" s="31"/>
      <c r="AT84" s="31"/>
      <c r="AU84" s="31"/>
      <c r="AV84" s="31"/>
      <c r="AW84" s="31"/>
      <c r="AX84" s="31"/>
      <c r="AY84" s="31"/>
    </row>
    <row r="85" spans="1:51" ht="15" customHeight="1">
      <c r="A85" s="12"/>
      <c r="B85" s="21"/>
      <c r="C85" s="21"/>
      <c r="D85" s="21"/>
      <c r="E85" s="28"/>
      <c r="F85" s="236"/>
      <c r="G85" s="80"/>
      <c r="H85" s="92"/>
      <c r="I85" s="92"/>
      <c r="J85" s="720" t="s">
        <v>94</v>
      </c>
      <c r="K85" s="720"/>
      <c r="L85" s="720"/>
      <c r="M85" s="720"/>
      <c r="N85" s="720"/>
      <c r="O85" s="166"/>
      <c r="P85" s="167" t="s">
        <v>163</v>
      </c>
      <c r="Q85" s="168" t="s">
        <v>164</v>
      </c>
      <c r="R85" s="332" t="s">
        <v>222</v>
      </c>
      <c r="S85" s="340" t="s">
        <v>223</v>
      </c>
      <c r="T85" s="340" t="s">
        <v>180</v>
      </c>
      <c r="U85" s="628" t="s">
        <v>174</v>
      </c>
      <c r="V85" s="178"/>
      <c r="AE85" s="31"/>
      <c r="AF85" s="32"/>
      <c r="AG85" s="304"/>
      <c r="AH85" s="304"/>
      <c r="AI85" s="304"/>
      <c r="AJ85" s="304"/>
      <c r="AK85" s="304"/>
      <c r="AL85" s="31"/>
      <c r="AM85" s="304"/>
      <c r="AN85" s="304"/>
      <c r="AO85" s="304"/>
      <c r="AP85" s="304"/>
      <c r="AQ85" s="31"/>
      <c r="AR85" s="31"/>
      <c r="AS85" s="31"/>
      <c r="AT85" s="31"/>
      <c r="AU85" s="31"/>
      <c r="AV85" s="31"/>
      <c r="AW85" s="31"/>
      <c r="AX85" s="31"/>
      <c r="AY85" s="31"/>
    </row>
    <row r="86" spans="1:51" ht="12.75" customHeight="1">
      <c r="A86" s="12"/>
      <c r="B86" s="21"/>
      <c r="C86" s="21"/>
      <c r="D86" s="21"/>
      <c r="E86" s="28"/>
      <c r="F86" s="236"/>
      <c r="G86" s="80"/>
      <c r="H86" s="92"/>
      <c r="I86" s="92"/>
      <c r="J86" s="8" t="s">
        <v>95</v>
      </c>
      <c r="K86" s="8"/>
      <c r="L86" s="8"/>
      <c r="M86" s="8"/>
      <c r="N86" s="8"/>
      <c r="O86" s="8"/>
      <c r="P86" s="275">
        <f>(($N$11/(1+I8))*$H$5*$W$78)+(($P$11/(1+I8))*$H$6*$W$78)</f>
        <v>260.254045999973</v>
      </c>
      <c r="Q86" s="161">
        <f>($N$11*(I8/(1+I8))*$H$5*$W$78)+($P$11*(I8/(1+I8))*$H$6*$W$78)</f>
        <v>30.624533888606532</v>
      </c>
      <c r="R86" s="629">
        <f>$R$11*$H$6*$W$78</f>
        <v>59.08682740749502</v>
      </c>
      <c r="S86" s="275">
        <f>$R$11*$H$7</f>
        <v>96.06728724480156</v>
      </c>
      <c r="T86" s="275">
        <f>$R$11*(I8/(1+$I$8))*$H$7</f>
        <v>10.114240433042053</v>
      </c>
      <c r="U86" s="630">
        <f>$R$11*$H$7</f>
        <v>96.06728724480156</v>
      </c>
      <c r="V86" s="165" t="s">
        <v>6</v>
      </c>
      <c r="W86" s="8"/>
      <c r="X86" s="8"/>
      <c r="AE86" s="31"/>
      <c r="AF86" s="32"/>
      <c r="AG86" s="304"/>
      <c r="AH86" s="304"/>
      <c r="AI86" s="304"/>
      <c r="AJ86" s="304"/>
      <c r="AK86" s="304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</row>
    <row r="87" spans="1:51" ht="12.75" customHeight="1">
      <c r="A87" s="12"/>
      <c r="B87" s="21"/>
      <c r="C87" s="21"/>
      <c r="D87" s="21"/>
      <c r="E87" s="28"/>
      <c r="F87" s="236"/>
      <c r="G87" s="80"/>
      <c r="H87" s="92"/>
      <c r="I87" s="92"/>
      <c r="J87" s="8" t="s">
        <v>96</v>
      </c>
      <c r="K87" s="8"/>
      <c r="L87" s="8"/>
      <c r="M87" s="8"/>
      <c r="N87" s="8"/>
      <c r="O87" s="8"/>
      <c r="P87" s="274">
        <f>($Q$15/(1+I8))*$K$6*$W$83</f>
        <v>7.568993481622401</v>
      </c>
      <c r="Q87" s="21">
        <f>$Q$15*(I8/(1+I8))*$K$6*$W$83</f>
        <v>0.8906562681473593</v>
      </c>
      <c r="R87" s="292">
        <f>$S$15*$K$6*$W$83</f>
        <v>33.838598999079046</v>
      </c>
      <c r="S87" s="274">
        <f>T15*$K$6*$W$83</f>
        <v>33.838598999079046</v>
      </c>
      <c r="T87" s="274">
        <f>(U15*(I8/(1+I8)))*$K$6*$W$83</f>
        <v>3.5626250725894373</v>
      </c>
      <c r="U87" s="623">
        <v>0</v>
      </c>
      <c r="V87" s="165" t="s">
        <v>6</v>
      </c>
      <c r="W87" s="8"/>
      <c r="X87" s="8"/>
      <c r="AE87" s="31"/>
      <c r="AF87" s="32"/>
      <c r="AG87" s="304"/>
      <c r="AH87" s="304"/>
      <c r="AI87" s="304"/>
      <c r="AJ87" s="304"/>
      <c r="AK87" s="304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</row>
    <row r="88" spans="1:51" ht="12.75" customHeight="1">
      <c r="A88" s="12"/>
      <c r="B88" s="21"/>
      <c r="C88" s="21"/>
      <c r="D88" s="21"/>
      <c r="E88" s="28"/>
      <c r="F88" s="236"/>
      <c r="G88" s="80"/>
      <c r="H88" s="92"/>
      <c r="I88" s="92"/>
      <c r="J88" s="8" t="s">
        <v>140</v>
      </c>
      <c r="K88" s="8"/>
      <c r="L88" s="8"/>
      <c r="M88" s="8"/>
      <c r="N88" s="8"/>
      <c r="O88" s="8"/>
      <c r="P88" s="276">
        <f>(N79-N77+P79-P77)*1000</f>
        <v>65.49422834700248</v>
      </c>
      <c r="Q88" s="80">
        <f>((O79-O77+Q79-Q77)*1000)</f>
        <v>7.946352092012202</v>
      </c>
      <c r="R88" s="631">
        <f>(R79-R77)*1000</f>
        <v>18.785799624102513</v>
      </c>
      <c r="S88" s="276">
        <f>(S79-S77)*1000</f>
        <v>22.313203532947217</v>
      </c>
      <c r="T88" s="274">
        <f>(T79-T77)*1000</f>
        <v>2.274234162517954</v>
      </c>
      <c r="U88" s="623">
        <f>(U79-U77)*1000</f>
        <v>17.041190149403835</v>
      </c>
      <c r="V88" s="165" t="s">
        <v>81</v>
      </c>
      <c r="W88" s="8"/>
      <c r="X88" s="8"/>
      <c r="AE88" s="31"/>
      <c r="AF88" s="32"/>
      <c r="AG88" s="304"/>
      <c r="AH88" s="304"/>
      <c r="AI88" s="304"/>
      <c r="AJ88" s="304"/>
      <c r="AK88" s="304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</row>
    <row r="89" spans="1:51" ht="12.75" customHeight="1">
      <c r="A89" s="12"/>
      <c r="B89" s="21"/>
      <c r="C89" s="21"/>
      <c r="D89" s="21"/>
      <c r="E89" s="28"/>
      <c r="F89" s="236"/>
      <c r="G89" s="80"/>
      <c r="H89" s="92"/>
      <c r="I89" s="92"/>
      <c r="J89" s="8" t="s">
        <v>97</v>
      </c>
      <c r="K89" s="8"/>
      <c r="L89" s="8"/>
      <c r="M89" s="12"/>
      <c r="N89" s="12"/>
      <c r="O89" s="12"/>
      <c r="P89" s="275">
        <f>((($O$11-$N$11)/(1+I8))*$H$5*$W$78)+((($Q$11-$P$11)/(1+I8))*$H$6*$W$78)</f>
        <v>27.967626453753503</v>
      </c>
      <c r="Q89" s="161">
        <f>(($O$11-$N$11)*(I8/(1+I8))*$H$5*O83*$W$78)+(($Q$11-$P$11)*(I8/(1+I8))*$H$6*Q83*$W$78)</f>
        <v>0.39908513110549676</v>
      </c>
      <c r="R89" s="629">
        <f>(S11-$R$11)*$H$7</f>
        <v>7.281317683760655</v>
      </c>
      <c r="S89" s="275">
        <f>(T11-$R$11)*$H$7</f>
        <v>8.648528501142334</v>
      </c>
      <c r="T89" s="275">
        <f>((U11-$R$11)*(I8/(1+I8)))*$H$7</f>
        <v>0.7745006679851728</v>
      </c>
      <c r="U89" s="630">
        <f>((V11-$R$11)*$H$7)</f>
        <v>6.6051124610092415</v>
      </c>
      <c r="V89" s="165" t="s">
        <v>6</v>
      </c>
      <c r="W89" s="8"/>
      <c r="X89" s="8"/>
      <c r="AE89" s="31"/>
      <c r="AF89" s="32"/>
      <c r="AG89" s="304"/>
      <c r="AH89" s="304"/>
      <c r="AI89" s="304"/>
      <c r="AJ89" s="304"/>
      <c r="AK89" s="304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</row>
    <row r="90" spans="1:51" ht="12.75" customHeight="1">
      <c r="A90" s="12"/>
      <c r="B90" s="21"/>
      <c r="C90" s="21"/>
      <c r="D90" s="21"/>
      <c r="E90" s="28"/>
      <c r="F90" s="236"/>
      <c r="G90" s="80"/>
      <c r="H90" s="92"/>
      <c r="I90" s="92"/>
      <c r="J90" s="8" t="s">
        <v>98</v>
      </c>
      <c r="K90" s="8"/>
      <c r="L90" s="8"/>
      <c r="M90" s="8"/>
      <c r="N90" s="29">
        <f>1/2</f>
        <v>0.5</v>
      </c>
      <c r="O90" s="98">
        <f>(60/45)*O12</f>
        <v>36.666666666666664</v>
      </c>
      <c r="P90" s="274">
        <f>$N$90*(N79-N77)*1000</f>
        <v>31.559659319885192</v>
      </c>
      <c r="Q90" s="21">
        <f>$N$90*(O79-O77)*1000</f>
        <v>3.8338318540001373</v>
      </c>
      <c r="R90" s="302">
        <v>0</v>
      </c>
      <c r="S90" s="277">
        <v>0</v>
      </c>
      <c r="T90" s="632">
        <v>0</v>
      </c>
      <c r="U90" s="632">
        <v>0</v>
      </c>
      <c r="V90" s="165" t="s">
        <v>81</v>
      </c>
      <c r="W90" s="8"/>
      <c r="X90" s="8"/>
      <c r="AE90" s="31"/>
      <c r="AF90" s="32"/>
      <c r="AG90" s="304"/>
      <c r="AH90" s="304"/>
      <c r="AI90" s="304"/>
      <c r="AJ90" s="304"/>
      <c r="AK90" s="304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</row>
    <row r="91" spans="1:51" ht="12.75" customHeight="1">
      <c r="A91" s="12"/>
      <c r="B91" s="21"/>
      <c r="C91" s="21"/>
      <c r="D91" s="21"/>
      <c r="E91" s="28"/>
      <c r="F91" s="236"/>
      <c r="G91" s="80"/>
      <c r="H91" s="92"/>
      <c r="I91" s="92"/>
      <c r="J91" s="31" t="s">
        <v>188</v>
      </c>
      <c r="K91" s="8"/>
      <c r="L91" s="8"/>
      <c r="M91" s="8"/>
      <c r="N91" s="29">
        <f>1/4</f>
        <v>0.25</v>
      </c>
      <c r="O91" s="8"/>
      <c r="P91" s="275">
        <f>$N$91*(P79-P77)*1000</f>
        <v>0.5937274268080208</v>
      </c>
      <c r="Q91" s="160">
        <f>$N$91*(Q79-Q77)*1000</f>
        <v>0.06967209600298205</v>
      </c>
      <c r="R91" s="302">
        <v>0</v>
      </c>
      <c r="S91" s="277">
        <v>0</v>
      </c>
      <c r="T91" s="632">
        <v>0</v>
      </c>
      <c r="U91" s="632">
        <v>0</v>
      </c>
      <c r="V91" s="165" t="s">
        <v>81</v>
      </c>
      <c r="W91" s="8"/>
      <c r="X91" s="8"/>
      <c r="AE91" s="31"/>
      <c r="AF91" s="32"/>
      <c r="AG91" s="304"/>
      <c r="AH91" s="304"/>
      <c r="AI91" s="304"/>
      <c r="AJ91" s="304"/>
      <c r="AK91" s="304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</row>
    <row r="92" spans="1:51" ht="12.75" customHeight="1">
      <c r="A92" s="12"/>
      <c r="B92" s="21"/>
      <c r="C92" s="21"/>
      <c r="D92" s="21"/>
      <c r="E92" s="28"/>
      <c r="F92" s="236"/>
      <c r="G92" s="80"/>
      <c r="H92" s="92"/>
      <c r="I92" s="92"/>
      <c r="J92" s="31" t="s">
        <v>99</v>
      </c>
      <c r="K92" s="8"/>
      <c r="L92" s="8"/>
      <c r="M92" s="8"/>
      <c r="N92" s="29">
        <f>1-C13</f>
        <v>0.33365777618348746</v>
      </c>
      <c r="O92" s="8"/>
      <c r="P92" s="274">
        <f>1/3*(P90+P91)</f>
        <v>10.717795582231071</v>
      </c>
      <c r="Q92" s="21">
        <f>1/3*(Q90+Q91)</f>
        <v>1.301167983334373</v>
      </c>
      <c r="R92" s="302">
        <v>0</v>
      </c>
      <c r="S92" s="277">
        <v>0</v>
      </c>
      <c r="T92" s="632">
        <v>0</v>
      </c>
      <c r="U92" s="632">
        <v>0</v>
      </c>
      <c r="V92" s="165" t="s">
        <v>81</v>
      </c>
      <c r="W92" s="8"/>
      <c r="X92" s="8"/>
      <c r="AE92" s="31"/>
      <c r="AF92" s="32"/>
      <c r="AG92" s="304"/>
      <c r="AH92" s="304"/>
      <c r="AI92" s="304"/>
      <c r="AJ92" s="304"/>
      <c r="AK92" s="304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</row>
    <row r="93" spans="1:51" ht="13.5" customHeight="1" thickBot="1">
      <c r="A93" s="12"/>
      <c r="B93" s="21"/>
      <c r="C93" s="21"/>
      <c r="D93" s="21"/>
      <c r="E93" s="28"/>
      <c r="F93" s="236"/>
      <c r="G93" s="80"/>
      <c r="H93" s="92"/>
      <c r="I93" s="92"/>
      <c r="J93" s="31" t="s">
        <v>100</v>
      </c>
      <c r="K93" s="8"/>
      <c r="L93" s="8"/>
      <c r="M93" s="8"/>
      <c r="N93" s="8"/>
      <c r="O93" s="8"/>
      <c r="P93" s="278">
        <f aca="true" t="shared" si="16" ref="P93:U93">P88-P90-P91</f>
        <v>33.34084160030926</v>
      </c>
      <c r="Q93" s="78">
        <f t="shared" si="16"/>
        <v>4.042848142009083</v>
      </c>
      <c r="R93" s="633">
        <f t="shared" si="16"/>
        <v>18.785799624102513</v>
      </c>
      <c r="S93" s="278">
        <f t="shared" si="16"/>
        <v>22.313203532947217</v>
      </c>
      <c r="T93" s="278">
        <f t="shared" si="16"/>
        <v>2.274234162517954</v>
      </c>
      <c r="U93" s="278">
        <f t="shared" si="16"/>
        <v>17.041190149403835</v>
      </c>
      <c r="V93" s="165" t="s">
        <v>81</v>
      </c>
      <c r="W93" s="8"/>
      <c r="X93" s="8"/>
      <c r="AE93" s="31"/>
      <c r="AF93" s="32"/>
      <c r="AG93" s="304"/>
      <c r="AH93" s="304"/>
      <c r="AI93" s="304"/>
      <c r="AJ93" s="304"/>
      <c r="AK93" s="304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</row>
    <row r="94" spans="1:51" ht="13.5" customHeight="1" thickTop="1">
      <c r="A94" s="8"/>
      <c r="B94" s="80"/>
      <c r="C94" s="80"/>
      <c r="D94" s="80"/>
      <c r="E94" s="8"/>
      <c r="F94" s="8"/>
      <c r="G94" s="8"/>
      <c r="H94" s="92"/>
      <c r="I94" s="92"/>
      <c r="J94" s="31" t="s">
        <v>101</v>
      </c>
      <c r="K94" s="8"/>
      <c r="L94" s="8"/>
      <c r="M94" s="8"/>
      <c r="N94" s="8"/>
      <c r="O94" s="8"/>
      <c r="P94" s="274">
        <f aca="true" t="shared" si="17" ref="P94:U94">P92+P93</f>
        <v>44.05863718254033</v>
      </c>
      <c r="Q94" s="28">
        <f t="shared" si="17"/>
        <v>5.344016125343456</v>
      </c>
      <c r="R94" s="292">
        <f t="shared" si="17"/>
        <v>18.785799624102513</v>
      </c>
      <c r="S94" s="274">
        <f t="shared" si="17"/>
        <v>22.313203532947217</v>
      </c>
      <c r="T94" s="270">
        <f t="shared" si="17"/>
        <v>2.274234162517954</v>
      </c>
      <c r="U94" s="272">
        <f t="shared" si="17"/>
        <v>17.041190149403835</v>
      </c>
      <c r="V94" s="165" t="s">
        <v>81</v>
      </c>
      <c r="W94" s="8"/>
      <c r="X94" s="8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</row>
    <row r="95" spans="1:24" ht="13.5" thickBot="1">
      <c r="A95" s="8"/>
      <c r="B95" s="8"/>
      <c r="C95" s="21"/>
      <c r="D95" s="21"/>
      <c r="E95" s="8"/>
      <c r="F95" s="8"/>
      <c r="G95" s="12"/>
      <c r="H95" s="92"/>
      <c r="I95" s="92"/>
      <c r="J95" s="36" t="s">
        <v>102</v>
      </c>
      <c r="K95" s="36"/>
      <c r="L95" s="36"/>
      <c r="M95" s="36"/>
      <c r="N95" s="36"/>
      <c r="O95" s="36"/>
      <c r="P95" s="610">
        <f aca="true" t="shared" si="18" ref="P95:U95">P94-P89</f>
        <v>16.091010728786827</v>
      </c>
      <c r="Q95" s="176">
        <f t="shared" si="18"/>
        <v>4.94493099423796</v>
      </c>
      <c r="R95" s="634">
        <f t="shared" si="18"/>
        <v>11.504481940341858</v>
      </c>
      <c r="S95" s="635">
        <f t="shared" si="18"/>
        <v>13.664675031804883</v>
      </c>
      <c r="T95" s="610">
        <f t="shared" si="18"/>
        <v>1.4997334945327814</v>
      </c>
      <c r="U95" s="610">
        <f t="shared" si="18"/>
        <v>10.436077688394594</v>
      </c>
      <c r="V95" s="100" t="s">
        <v>81</v>
      </c>
      <c r="W95" s="8"/>
      <c r="X95" s="8"/>
    </row>
    <row r="96" spans="1:19" ht="12.75">
      <c r="A96" s="8"/>
      <c r="B96" s="8"/>
      <c r="C96" s="21"/>
      <c r="D96" s="80"/>
      <c r="E96" s="8"/>
      <c r="F96" s="8"/>
      <c r="G96" s="8"/>
      <c r="H96" s="8"/>
      <c r="I96" s="8"/>
      <c r="R96" s="253">
        <f>1/(1+I8)</f>
        <v>0.8947171225177969</v>
      </c>
      <c r="S96" s="253">
        <f>I8/(1+I8)</f>
        <v>0.10528287748220305</v>
      </c>
    </row>
    <row r="97" spans="1:9" ht="12.75">
      <c r="A97" s="8"/>
      <c r="B97" s="8"/>
      <c r="C97" s="8"/>
      <c r="D97" s="8"/>
      <c r="E97" s="8"/>
      <c r="F97" s="8"/>
      <c r="G97" s="8"/>
      <c r="H97" s="8"/>
      <c r="I97" s="8"/>
    </row>
    <row r="98" spans="4:20" ht="12.75">
      <c r="D98" s="68"/>
      <c r="L98" s="33"/>
      <c r="M98" s="31"/>
      <c r="N98" s="32"/>
      <c r="O98" s="31"/>
      <c r="P98" s="195"/>
      <c r="Q98" s="32"/>
      <c r="R98" s="196"/>
      <c r="S98" s="31"/>
      <c r="T98" s="31"/>
    </row>
    <row r="99" ht="12.75">
      <c r="J99" s="21"/>
    </row>
    <row r="100" ht="12.75">
      <c r="J100" s="21"/>
    </row>
    <row r="101" ht="12.75">
      <c r="J101" s="21"/>
    </row>
    <row r="102" ht="12.75">
      <c r="J102" s="21"/>
    </row>
    <row r="103" ht="12.75">
      <c r="J103" s="21"/>
    </row>
  </sheetData>
  <mergeCells count="34">
    <mergeCell ref="Y4:Y5"/>
    <mergeCell ref="Y3:AD3"/>
    <mergeCell ref="F8:H8"/>
    <mergeCell ref="F9:H9"/>
    <mergeCell ref="J6:J7"/>
    <mergeCell ref="R5:V5"/>
    <mergeCell ref="T6:V6"/>
    <mergeCell ref="U7:V7"/>
    <mergeCell ref="K8:K9"/>
    <mergeCell ref="N5:O5"/>
    <mergeCell ref="P5:Q5"/>
    <mergeCell ref="A1:R1"/>
    <mergeCell ref="A4:E4"/>
    <mergeCell ref="F4:K4"/>
    <mergeCell ref="L4:V4"/>
    <mergeCell ref="U3:V3"/>
    <mergeCell ref="A3:K3"/>
    <mergeCell ref="B18:F18"/>
    <mergeCell ref="G18:P18"/>
    <mergeCell ref="C20:F20"/>
    <mergeCell ref="G20:H20"/>
    <mergeCell ref="R84:U84"/>
    <mergeCell ref="L68:M68"/>
    <mergeCell ref="M20:N20"/>
    <mergeCell ref="D21:E21"/>
    <mergeCell ref="R21:W21"/>
    <mergeCell ref="C72:F72"/>
    <mergeCell ref="C73:F73"/>
    <mergeCell ref="R74:U74"/>
    <mergeCell ref="R67:S67"/>
    <mergeCell ref="J85:N85"/>
    <mergeCell ref="J74:M74"/>
    <mergeCell ref="N74:O74"/>
    <mergeCell ref="P74:Q74"/>
  </mergeCells>
  <printOptions/>
  <pageMargins left="0.6" right="0.37" top="0.89" bottom="0.49" header="0.5" footer="0.5"/>
  <pageSetup fitToHeight="1" fitToWidth="1" horizontalDpi="600" verticalDpi="600" orientation="landscape" scale="37" r:id="rId3"/>
  <headerFooter alignWithMargins="0">
    <oddHeader>&amp;L&amp;28DGEAII slope deep wells.xls&amp;R&amp;28Price threshold effect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116"/>
  <sheetViews>
    <sheetView workbookViewId="0" topLeftCell="A1">
      <selection activeCell="A1" sqref="A1"/>
    </sheetView>
  </sheetViews>
  <sheetFormatPr defaultColWidth="9.140625" defaultRowHeight="12.75"/>
  <cols>
    <col min="94" max="94" width="10.00390625" style="0" customWidth="1"/>
    <col min="95" max="95" width="9.7109375" style="0" customWidth="1"/>
    <col min="96" max="96" width="11.00390625" style="0" customWidth="1"/>
    <col min="97" max="97" width="9.7109375" style="0" customWidth="1"/>
    <col min="98" max="98" width="11.8515625" style="0" customWidth="1"/>
    <col min="99" max="99" width="9.7109375" style="0" customWidth="1"/>
    <col min="100" max="100" width="14.8515625" style="0" customWidth="1"/>
  </cols>
  <sheetData>
    <row r="1" spans="2:93" ht="17.25" thickBot="1">
      <c r="B1" s="760" t="s">
        <v>276</v>
      </c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420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  <c r="BX1" s="421"/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1"/>
      <c r="CK1" s="421"/>
      <c r="CL1" s="421"/>
      <c r="CM1" s="421"/>
      <c r="CN1" s="421"/>
      <c r="CO1" s="421"/>
    </row>
    <row r="2" spans="2:63" ht="15.75">
      <c r="B2" s="757" t="s">
        <v>243</v>
      </c>
      <c r="C2" s="758"/>
      <c r="D2" s="759"/>
      <c r="E2" s="757" t="s">
        <v>244</v>
      </c>
      <c r="F2" s="758"/>
      <c r="G2" s="759"/>
      <c r="H2" s="772" t="s">
        <v>245</v>
      </c>
      <c r="I2" s="773"/>
      <c r="J2" s="773"/>
      <c r="K2" s="773"/>
      <c r="L2" s="773"/>
      <c r="M2" s="773"/>
      <c r="N2" s="773"/>
      <c r="O2" s="7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W2" s="8"/>
      <c r="AX2" s="8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63" ht="12.75">
      <c r="B3" s="598" t="s">
        <v>39</v>
      </c>
      <c r="C3" s="423"/>
      <c r="D3" s="424">
        <v>26</v>
      </c>
      <c r="E3" s="761" t="s">
        <v>246</v>
      </c>
      <c r="F3" s="704"/>
      <c r="G3" s="425">
        <v>1.118</v>
      </c>
      <c r="H3" s="766" t="s">
        <v>247</v>
      </c>
      <c r="I3" s="767"/>
      <c r="J3" s="426">
        <v>9.34</v>
      </c>
      <c r="K3" s="382">
        <v>7.34</v>
      </c>
      <c r="L3" s="426">
        <v>6.5</v>
      </c>
      <c r="M3" s="382">
        <v>5.34</v>
      </c>
      <c r="N3" s="382">
        <v>4.22</v>
      </c>
      <c r="O3" s="427">
        <v>3.5</v>
      </c>
      <c r="Q3" s="113"/>
      <c r="R3" s="113"/>
      <c r="S3" s="113"/>
      <c r="U3" s="8"/>
      <c r="V3" s="8"/>
      <c r="W3" s="8"/>
      <c r="X3" s="8"/>
      <c r="Y3" s="8"/>
      <c r="Z3" s="8"/>
      <c r="AA3" s="8"/>
      <c r="AB3" s="8"/>
      <c r="AC3" s="8"/>
      <c r="AD3" s="8"/>
      <c r="AY3" s="423"/>
      <c r="AZ3" s="423"/>
      <c r="BA3" s="423"/>
      <c r="BB3" s="8"/>
      <c r="BC3" s="8"/>
      <c r="BD3" s="8"/>
      <c r="BE3" s="8"/>
      <c r="BF3" s="8"/>
      <c r="BG3" s="8"/>
      <c r="BH3" s="8"/>
      <c r="BI3" s="428"/>
      <c r="BJ3" s="429"/>
      <c r="BK3" s="430"/>
    </row>
    <row r="4" spans="2:63" ht="12.75" customHeight="1">
      <c r="B4" s="422" t="s">
        <v>43</v>
      </c>
      <c r="C4" s="423"/>
      <c r="D4" s="424">
        <v>5.62</v>
      </c>
      <c r="E4" s="761"/>
      <c r="F4" s="704"/>
      <c r="G4" s="165"/>
      <c r="H4" s="766"/>
      <c r="I4" s="767"/>
      <c r="J4" s="431">
        <v>1.055258</v>
      </c>
      <c r="K4" s="142">
        <v>1.112814</v>
      </c>
      <c r="L4" s="431">
        <v>1.150236</v>
      </c>
      <c r="M4" s="431">
        <v>1.247768</v>
      </c>
      <c r="N4" s="432">
        <v>1.433469</v>
      </c>
      <c r="O4" s="433">
        <v>1.642212</v>
      </c>
      <c r="Q4" s="423"/>
      <c r="R4" s="423"/>
      <c r="S4" s="423"/>
      <c r="U4" s="8"/>
      <c r="V4" s="8"/>
      <c r="W4" s="8"/>
      <c r="X4" s="8"/>
      <c r="Y4" s="8"/>
      <c r="Z4" s="8"/>
      <c r="AA4" s="8"/>
      <c r="AB4" s="8"/>
      <c r="AC4" s="8"/>
      <c r="AD4" s="8"/>
      <c r="AY4" s="15"/>
      <c r="AZ4" s="15"/>
      <c r="BA4" s="15"/>
      <c r="BB4" s="8"/>
      <c r="BC4" s="434"/>
      <c r="BD4" s="8"/>
      <c r="BE4" s="434"/>
      <c r="BF4" s="434"/>
      <c r="BG4" s="434"/>
      <c r="BH4" s="434"/>
      <c r="BI4" s="28"/>
      <c r="BJ4" s="28"/>
      <c r="BK4" s="28"/>
    </row>
    <row r="5" spans="2:63" ht="12.75" customHeight="1">
      <c r="B5" s="435" t="s">
        <v>19</v>
      </c>
      <c r="C5" s="436"/>
      <c r="D5" s="424">
        <v>8</v>
      </c>
      <c r="E5" s="762" t="s">
        <v>248</v>
      </c>
      <c r="F5" s="763"/>
      <c r="G5" s="437">
        <v>0.79</v>
      </c>
      <c r="H5" s="768" t="s">
        <v>249</v>
      </c>
      <c r="I5" s="769"/>
      <c r="J5" s="8"/>
      <c r="K5" s="8"/>
      <c r="L5" s="8"/>
      <c r="M5" s="8"/>
      <c r="N5" s="8"/>
      <c r="O5" s="165"/>
      <c r="Q5" s="8"/>
      <c r="R5" s="438"/>
      <c r="S5" s="8"/>
      <c r="U5" s="8"/>
      <c r="V5" s="8"/>
      <c r="W5" s="127"/>
      <c r="X5" s="127"/>
      <c r="Y5" s="127"/>
      <c r="Z5" s="8"/>
      <c r="AA5" s="8"/>
      <c r="AB5" s="8"/>
      <c r="AC5" s="8"/>
      <c r="AD5" s="8"/>
      <c r="AY5" s="8"/>
      <c r="AZ5" s="8"/>
      <c r="BA5" s="8"/>
      <c r="BB5" s="8"/>
      <c r="BC5" s="434"/>
      <c r="BD5" s="8"/>
      <c r="BE5" s="434"/>
      <c r="BF5" s="434"/>
      <c r="BG5" s="434"/>
      <c r="BH5" s="434"/>
      <c r="BI5" s="439"/>
      <c r="BJ5" s="439"/>
      <c r="BK5" s="439"/>
    </row>
    <row r="6" spans="2:91" ht="13.5" customHeight="1" thickBot="1">
      <c r="B6" s="440" t="s">
        <v>30</v>
      </c>
      <c r="C6" s="441"/>
      <c r="D6" s="442">
        <f>1/6</f>
        <v>0.16666666666666666</v>
      </c>
      <c r="E6" s="764"/>
      <c r="F6" s="765"/>
      <c r="G6" s="100"/>
      <c r="H6" s="770"/>
      <c r="I6" s="771"/>
      <c r="J6" s="443">
        <v>0.991283</v>
      </c>
      <c r="K6" s="444">
        <v>0.93164</v>
      </c>
      <c r="L6" s="445">
        <v>0.872354</v>
      </c>
      <c r="M6" s="446">
        <v>0.755586</v>
      </c>
      <c r="N6" s="444">
        <v>0.611284</v>
      </c>
      <c r="O6" s="447">
        <v>0.504426</v>
      </c>
      <c r="Q6" s="8"/>
      <c r="R6" s="175"/>
      <c r="S6" s="8"/>
      <c r="U6" s="8"/>
      <c r="V6" s="8"/>
      <c r="W6" s="431"/>
      <c r="X6" s="431"/>
      <c r="Y6" s="431"/>
      <c r="Z6" s="8"/>
      <c r="AA6" s="8"/>
      <c r="AB6" s="8"/>
      <c r="AC6" s="8"/>
      <c r="AD6" s="8"/>
      <c r="AY6" s="133"/>
      <c r="AZ6" s="133"/>
      <c r="BA6" s="133"/>
      <c r="BB6" s="8"/>
      <c r="BC6" s="182"/>
      <c r="BD6" s="8"/>
      <c r="BE6" s="182"/>
      <c r="BF6" s="182"/>
      <c r="BG6" s="182"/>
      <c r="BH6" s="182"/>
      <c r="BI6" s="439"/>
      <c r="BJ6" s="439"/>
      <c r="BK6" s="439"/>
      <c r="CF6" t="s">
        <v>293</v>
      </c>
      <c r="CH6" s="156">
        <v>1.0618560564383657</v>
      </c>
      <c r="CM6" s="739" t="s">
        <v>292</v>
      </c>
    </row>
    <row r="7" spans="2:93" ht="12.75">
      <c r="B7" s="748" t="s">
        <v>250</v>
      </c>
      <c r="C7" s="749"/>
      <c r="D7" s="750" t="s">
        <v>251</v>
      </c>
      <c r="E7" s="751"/>
      <c r="F7" s="751"/>
      <c r="G7" s="751"/>
      <c r="H7" s="751"/>
      <c r="I7" s="752"/>
      <c r="J7" s="753" t="s">
        <v>252</v>
      </c>
      <c r="K7" s="751"/>
      <c r="L7" s="751"/>
      <c r="M7" s="751"/>
      <c r="N7" s="751"/>
      <c r="O7" s="752"/>
      <c r="P7" s="754" t="s">
        <v>253</v>
      </c>
      <c r="Q7" s="755"/>
      <c r="R7" s="755"/>
      <c r="S7" s="755"/>
      <c r="T7" s="755"/>
      <c r="U7" s="755"/>
      <c r="V7" s="756"/>
      <c r="W7" s="777" t="s">
        <v>254</v>
      </c>
      <c r="X7" s="778"/>
      <c r="Y7" s="778"/>
      <c r="Z7" s="778"/>
      <c r="AA7" s="778"/>
      <c r="AB7" s="778"/>
      <c r="AC7" s="779"/>
      <c r="AD7" s="780" t="s">
        <v>255</v>
      </c>
      <c r="AE7" s="781"/>
      <c r="AF7" s="781"/>
      <c r="AG7" s="781"/>
      <c r="AH7" s="781"/>
      <c r="AI7" s="781"/>
      <c r="AJ7" s="782"/>
      <c r="AK7" s="783" t="s">
        <v>256</v>
      </c>
      <c r="AL7" s="784"/>
      <c r="AM7" s="784"/>
      <c r="AN7" s="784"/>
      <c r="AO7" s="784"/>
      <c r="AP7" s="784"/>
      <c r="AQ7" s="785"/>
      <c r="AR7" s="745" t="s">
        <v>257</v>
      </c>
      <c r="AS7" s="746"/>
      <c r="AT7" s="746"/>
      <c r="AU7" s="746"/>
      <c r="AV7" s="746"/>
      <c r="AW7" s="746"/>
      <c r="AX7" s="747"/>
      <c r="AY7" s="745" t="s">
        <v>258</v>
      </c>
      <c r="AZ7" s="746"/>
      <c r="BA7" s="746"/>
      <c r="BB7" s="746"/>
      <c r="BC7" s="746"/>
      <c r="BD7" s="746"/>
      <c r="BE7" s="747"/>
      <c r="BF7" s="745" t="s">
        <v>259</v>
      </c>
      <c r="BG7" s="746"/>
      <c r="BH7" s="746"/>
      <c r="BI7" s="746"/>
      <c r="BJ7" s="746"/>
      <c r="BK7" s="746"/>
      <c r="BL7" s="747"/>
      <c r="BM7" s="745" t="s">
        <v>260</v>
      </c>
      <c r="BN7" s="746"/>
      <c r="BO7" s="746"/>
      <c r="BP7" s="746"/>
      <c r="BQ7" s="746"/>
      <c r="BR7" s="747"/>
      <c r="BS7" s="745" t="s">
        <v>261</v>
      </c>
      <c r="BT7" s="746"/>
      <c r="BU7" s="746"/>
      <c r="BV7" s="746"/>
      <c r="BW7" s="746"/>
      <c r="BX7" s="747"/>
      <c r="BY7" s="736" t="s">
        <v>262</v>
      </c>
      <c r="BZ7" s="737"/>
      <c r="CA7" s="737"/>
      <c r="CB7" s="737"/>
      <c r="CC7" s="737"/>
      <c r="CD7" s="737"/>
      <c r="CE7" s="737"/>
      <c r="CF7" s="736" t="s">
        <v>262</v>
      </c>
      <c r="CG7" s="737"/>
      <c r="CH7" s="737"/>
      <c r="CI7" s="737"/>
      <c r="CJ7" s="737"/>
      <c r="CK7" s="738"/>
      <c r="CL7" s="657"/>
      <c r="CM7" s="739"/>
      <c r="CN7" s="8"/>
      <c r="CO7" s="8"/>
    </row>
    <row r="8" spans="1:101" ht="13.5" thickBot="1">
      <c r="A8" s="448"/>
      <c r="B8" s="450" t="s">
        <v>264</v>
      </c>
      <c r="C8" s="449" t="s">
        <v>263</v>
      </c>
      <c r="D8" s="775" t="s">
        <v>265</v>
      </c>
      <c r="E8" s="776"/>
      <c r="F8" s="776"/>
      <c r="G8" s="776"/>
      <c r="H8" s="776"/>
      <c r="I8" s="776"/>
      <c r="J8" s="451">
        <f>$J$3</f>
        <v>9.34</v>
      </c>
      <c r="K8" s="452">
        <f>$K$3</f>
        <v>7.34</v>
      </c>
      <c r="L8" s="452">
        <f>$L$3</f>
        <v>6.5</v>
      </c>
      <c r="M8" s="452">
        <f>$M$3</f>
        <v>5.34</v>
      </c>
      <c r="N8" s="452">
        <f>$N$3</f>
        <v>4.22</v>
      </c>
      <c r="O8" s="452">
        <f>$O$3</f>
        <v>3.5</v>
      </c>
      <c r="P8" s="453" t="s">
        <v>266</v>
      </c>
      <c r="Q8" s="454">
        <f>$J$8</f>
        <v>9.34</v>
      </c>
      <c r="R8" s="452">
        <f>K$8</f>
        <v>7.34</v>
      </c>
      <c r="S8" s="452">
        <f>$L$8</f>
        <v>6.5</v>
      </c>
      <c r="T8" s="452">
        <f>$M$8</f>
        <v>5.34</v>
      </c>
      <c r="U8" s="452">
        <f>$N$8</f>
        <v>4.22</v>
      </c>
      <c r="V8" s="452">
        <f>$O$8</f>
        <v>3.5</v>
      </c>
      <c r="W8" s="455" t="s">
        <v>266</v>
      </c>
      <c r="X8" s="452">
        <f>$J$8</f>
        <v>9.34</v>
      </c>
      <c r="Y8" s="452">
        <f>$K$8</f>
        <v>7.34</v>
      </c>
      <c r="Z8" s="452">
        <f>$L$8</f>
        <v>6.5</v>
      </c>
      <c r="AA8" s="452">
        <f>$M$8</f>
        <v>5.34</v>
      </c>
      <c r="AB8" s="452">
        <f>$N$8</f>
        <v>4.22</v>
      </c>
      <c r="AC8" s="452">
        <f>$O$8</f>
        <v>3.5</v>
      </c>
      <c r="AD8" s="456" t="s">
        <v>266</v>
      </c>
      <c r="AE8" s="452">
        <f>$J$8</f>
        <v>9.34</v>
      </c>
      <c r="AF8" s="452">
        <f>$K$8</f>
        <v>7.34</v>
      </c>
      <c r="AG8" s="452">
        <f>$L$8</f>
        <v>6.5</v>
      </c>
      <c r="AH8" s="452">
        <f>$M$8</f>
        <v>5.34</v>
      </c>
      <c r="AI8" s="452">
        <f>$N$8</f>
        <v>4.22</v>
      </c>
      <c r="AJ8" s="452">
        <f>$O$8</f>
        <v>3.5</v>
      </c>
      <c r="AK8" s="454" t="s">
        <v>266</v>
      </c>
      <c r="AL8" s="452">
        <f>$J$8</f>
        <v>9.34</v>
      </c>
      <c r="AM8" s="452">
        <f>$K$8</f>
        <v>7.34</v>
      </c>
      <c r="AN8" s="452">
        <f>$L$8</f>
        <v>6.5</v>
      </c>
      <c r="AO8" s="452">
        <f>$M$8</f>
        <v>5.34</v>
      </c>
      <c r="AP8" s="452">
        <f>$N$8</f>
        <v>4.22</v>
      </c>
      <c r="AQ8" s="452">
        <f>$O$8</f>
        <v>3.5</v>
      </c>
      <c r="AR8" s="454" t="s">
        <v>266</v>
      </c>
      <c r="AS8" s="452">
        <f>$J$8</f>
        <v>9.34</v>
      </c>
      <c r="AT8" s="452">
        <f>$K$8</f>
        <v>7.34</v>
      </c>
      <c r="AU8" s="452">
        <f>$L$8</f>
        <v>6.5</v>
      </c>
      <c r="AV8" s="452">
        <f>$M$8</f>
        <v>5.34</v>
      </c>
      <c r="AW8" s="452">
        <f>$N$8</f>
        <v>4.22</v>
      </c>
      <c r="AX8" s="452">
        <f>$O$8</f>
        <v>3.5</v>
      </c>
      <c r="AY8" s="454" t="s">
        <v>266</v>
      </c>
      <c r="AZ8" s="452">
        <f>$J$8</f>
        <v>9.34</v>
      </c>
      <c r="BA8" s="452">
        <f>$K$8</f>
        <v>7.34</v>
      </c>
      <c r="BB8" s="452">
        <f>$L$8</f>
        <v>6.5</v>
      </c>
      <c r="BC8" s="452">
        <f>$M$8</f>
        <v>5.34</v>
      </c>
      <c r="BD8" s="452">
        <f>$N$8</f>
        <v>4.22</v>
      </c>
      <c r="BE8" s="457">
        <f>$O$8</f>
        <v>3.5</v>
      </c>
      <c r="BF8" s="454" t="s">
        <v>266</v>
      </c>
      <c r="BG8" s="452">
        <f>$J$8</f>
        <v>9.34</v>
      </c>
      <c r="BH8" s="452">
        <f>$K$8</f>
        <v>7.34</v>
      </c>
      <c r="BI8" s="452">
        <f>$L$8</f>
        <v>6.5</v>
      </c>
      <c r="BJ8" s="452">
        <f>$M$8</f>
        <v>5.34</v>
      </c>
      <c r="BK8" s="452">
        <f>$N$8</f>
        <v>4.22</v>
      </c>
      <c r="BL8" s="457">
        <f>$O$8</f>
        <v>3.5</v>
      </c>
      <c r="BM8" s="452">
        <f>$J$8</f>
        <v>9.34</v>
      </c>
      <c r="BN8" s="452">
        <f>$K$8</f>
        <v>7.34</v>
      </c>
      <c r="BO8" s="452">
        <f>$L$8</f>
        <v>6.5</v>
      </c>
      <c r="BP8" s="452">
        <f>$M$8</f>
        <v>5.34</v>
      </c>
      <c r="BQ8" s="452">
        <f>$N$8</f>
        <v>4.22</v>
      </c>
      <c r="BR8" s="457">
        <f>$O$8</f>
        <v>3.5</v>
      </c>
      <c r="BS8" s="452">
        <f>$J$8</f>
        <v>9.34</v>
      </c>
      <c r="BT8" s="452">
        <f>$K$8</f>
        <v>7.34</v>
      </c>
      <c r="BU8" s="452">
        <f>$L$8</f>
        <v>6.5</v>
      </c>
      <c r="BV8" s="452">
        <f>$M$8</f>
        <v>5.34</v>
      </c>
      <c r="BW8" s="452">
        <f>$N$8</f>
        <v>4.22</v>
      </c>
      <c r="BX8" s="457">
        <f>$O$8</f>
        <v>3.5</v>
      </c>
      <c r="BY8" s="454" t="s">
        <v>266</v>
      </c>
      <c r="BZ8" s="452">
        <f>$J$8</f>
        <v>9.34</v>
      </c>
      <c r="CA8" s="452">
        <f>$K$8</f>
        <v>7.34</v>
      </c>
      <c r="CB8" s="452">
        <f>$L$8</f>
        <v>6.5</v>
      </c>
      <c r="CC8" s="452">
        <f>$M$8</f>
        <v>5.34</v>
      </c>
      <c r="CD8" s="452">
        <f>$N$8</f>
        <v>4.22</v>
      </c>
      <c r="CE8" s="457">
        <f>$O$8</f>
        <v>3.5</v>
      </c>
      <c r="CF8" s="451">
        <f aca="true" t="shared" si="0" ref="CF8:CK8">BZ8</f>
        <v>9.34</v>
      </c>
      <c r="CG8" s="658">
        <f t="shared" si="0"/>
        <v>7.34</v>
      </c>
      <c r="CH8" s="658">
        <f t="shared" si="0"/>
        <v>6.5</v>
      </c>
      <c r="CI8" s="658">
        <f t="shared" si="0"/>
        <v>5.34</v>
      </c>
      <c r="CJ8" s="658">
        <f t="shared" si="0"/>
        <v>4.22</v>
      </c>
      <c r="CK8" s="658">
        <f t="shared" si="0"/>
        <v>3.5</v>
      </c>
      <c r="CL8" s="124"/>
      <c r="CM8" s="739"/>
      <c r="CN8" s="458"/>
      <c r="CO8" s="458"/>
      <c r="CT8" s="740" t="s">
        <v>282</v>
      </c>
      <c r="CV8" s="642"/>
      <c r="CW8" s="642"/>
    </row>
    <row r="9" spans="1:101" ht="12.75">
      <c r="A9" s="459">
        <v>2003</v>
      </c>
      <c r="B9" s="460">
        <v>5.39714653015137</v>
      </c>
      <c r="C9" s="460">
        <v>5.265508809903777</v>
      </c>
      <c r="D9" s="461"/>
      <c r="E9" s="460"/>
      <c r="F9" s="460"/>
      <c r="G9" s="460"/>
      <c r="H9" s="462"/>
      <c r="I9" s="463"/>
      <c r="P9" s="128"/>
      <c r="Q9" s="10"/>
      <c r="R9" s="8"/>
      <c r="T9" s="8"/>
      <c r="U9" s="8"/>
      <c r="W9" s="10"/>
      <c r="AD9" s="464"/>
      <c r="AE9" s="8"/>
      <c r="AF9" s="8"/>
      <c r="AI9" s="465"/>
      <c r="AJ9" s="465"/>
      <c r="AK9" s="466"/>
      <c r="AL9" s="465"/>
      <c r="AM9" s="465"/>
      <c r="AN9" s="8"/>
      <c r="AO9" s="8"/>
      <c r="AP9" s="8"/>
      <c r="AQ9" s="8"/>
      <c r="AR9" s="10"/>
      <c r="AS9" s="8"/>
      <c r="AT9" s="8"/>
      <c r="AU9" s="8"/>
      <c r="AV9" s="8"/>
      <c r="AW9" s="8"/>
      <c r="AX9" s="467"/>
      <c r="AY9" s="10"/>
      <c r="AZ9" s="8"/>
      <c r="BA9" s="8"/>
      <c r="BB9" s="8"/>
      <c r="BC9" s="8"/>
      <c r="BD9" s="8"/>
      <c r="BE9" s="8"/>
      <c r="BF9" s="464"/>
      <c r="BG9" s="8"/>
      <c r="BH9" s="8"/>
      <c r="BI9" s="8"/>
      <c r="BJ9" s="8"/>
      <c r="BK9" s="8"/>
      <c r="BL9" s="9"/>
      <c r="BM9" s="8"/>
      <c r="BN9" s="8"/>
      <c r="BO9" s="8"/>
      <c r="BP9" s="8"/>
      <c r="BQ9" s="8"/>
      <c r="BS9" s="10"/>
      <c r="BT9" s="8"/>
      <c r="BW9" s="31"/>
      <c r="BX9" s="31"/>
      <c r="BY9" s="10"/>
      <c r="BZ9" s="8"/>
      <c r="CA9" s="8"/>
      <c r="CD9" s="468"/>
      <c r="CE9" s="469"/>
      <c r="CF9" s="468"/>
      <c r="CG9" s="468"/>
      <c r="CH9" s="468"/>
      <c r="CI9" s="468"/>
      <c r="CJ9" s="468"/>
      <c r="CK9" s="468"/>
      <c r="CL9" s="12"/>
      <c r="CM9" s="12"/>
      <c r="CN9" s="12"/>
      <c r="CO9" s="12"/>
      <c r="CQ9" s="740" t="s">
        <v>262</v>
      </c>
      <c r="CR9" s="740" t="s">
        <v>283</v>
      </c>
      <c r="CS9" s="740" t="s">
        <v>284</v>
      </c>
      <c r="CT9" s="740"/>
      <c r="CU9" s="740" t="s">
        <v>285</v>
      </c>
      <c r="CV9" s="740" t="s">
        <v>286</v>
      </c>
      <c r="CW9" s="642"/>
    </row>
    <row r="10" spans="1:101" ht="12.75">
      <c r="A10" s="459">
        <v>2004</v>
      </c>
      <c r="B10" s="460">
        <v>5.809999294281011</v>
      </c>
      <c r="C10" s="460">
        <v>5.668291994420499</v>
      </c>
      <c r="D10" s="461">
        <v>9.34</v>
      </c>
      <c r="E10" s="460">
        <v>7.34</v>
      </c>
      <c r="F10" s="460">
        <v>6.5</v>
      </c>
      <c r="G10" s="460">
        <v>5.34</v>
      </c>
      <c r="H10" s="470">
        <v>4.22</v>
      </c>
      <c r="I10" s="470">
        <v>3.5</v>
      </c>
      <c r="J10" s="471"/>
      <c r="K10" s="471"/>
      <c r="L10" s="471"/>
      <c r="M10" s="471"/>
      <c r="N10" s="471"/>
      <c r="O10" s="471"/>
      <c r="P10" s="472"/>
      <c r="Q10" s="473" t="s">
        <v>231</v>
      </c>
      <c r="R10" s="471"/>
      <c r="S10" s="474"/>
      <c r="T10" s="471"/>
      <c r="U10" s="475"/>
      <c r="V10" s="475"/>
      <c r="W10" s="476"/>
      <c r="X10" s="477"/>
      <c r="Y10" s="477"/>
      <c r="Z10" s="477"/>
      <c r="AA10" s="477"/>
      <c r="AB10" s="477"/>
      <c r="AC10" s="477"/>
      <c r="AD10" s="478"/>
      <c r="AE10" s="479"/>
      <c r="AF10" s="479"/>
      <c r="AG10" s="479"/>
      <c r="AH10" s="479"/>
      <c r="AI10" s="465"/>
      <c r="AJ10" s="465"/>
      <c r="AK10" s="466"/>
      <c r="AL10" s="465"/>
      <c r="AM10" s="465"/>
      <c r="AN10" s="480"/>
      <c r="AO10" s="480"/>
      <c r="AP10" s="479"/>
      <c r="AQ10" s="480"/>
      <c r="AR10" s="481"/>
      <c r="AS10" s="479"/>
      <c r="AT10" s="479"/>
      <c r="AU10" s="479"/>
      <c r="AV10" s="479"/>
      <c r="AW10" s="467"/>
      <c r="AX10" s="467"/>
      <c r="AY10" s="482"/>
      <c r="AZ10" s="483"/>
      <c r="BA10" s="483"/>
      <c r="BB10" s="483"/>
      <c r="BC10" s="483"/>
      <c r="BD10" s="479"/>
      <c r="BE10" s="483"/>
      <c r="BF10" s="484"/>
      <c r="BG10" s="479"/>
      <c r="BH10" s="479"/>
      <c r="BI10" s="479"/>
      <c r="BJ10" s="479"/>
      <c r="BK10" s="483"/>
      <c r="BL10" s="485"/>
      <c r="BM10" s="483"/>
      <c r="BN10" s="483"/>
      <c r="BO10" s="483"/>
      <c r="BP10" s="483"/>
      <c r="BQ10" s="479"/>
      <c r="BR10" s="483"/>
      <c r="BS10" s="486"/>
      <c r="BT10" s="479"/>
      <c r="BU10" s="479"/>
      <c r="BV10" s="479"/>
      <c r="BW10" s="487"/>
      <c r="BX10" s="487"/>
      <c r="BY10" s="486"/>
      <c r="BZ10" s="8" t="s">
        <v>231</v>
      </c>
      <c r="CA10" s="8"/>
      <c r="CD10" s="8"/>
      <c r="CE10" s="9"/>
      <c r="CF10" s="8"/>
      <c r="CG10" s="8"/>
      <c r="CH10" s="8"/>
      <c r="CI10" s="8"/>
      <c r="CJ10" s="8"/>
      <c r="CK10" s="8"/>
      <c r="CL10" s="12"/>
      <c r="CM10" s="12"/>
      <c r="CN10" s="12"/>
      <c r="CO10" s="12"/>
      <c r="CQ10" s="740"/>
      <c r="CR10" s="740"/>
      <c r="CS10" s="740"/>
      <c r="CT10" s="740"/>
      <c r="CU10" s="740"/>
      <c r="CV10" s="740"/>
      <c r="CW10" s="740" t="s">
        <v>287</v>
      </c>
    </row>
    <row r="11" spans="1:101" ht="12.75">
      <c r="A11" s="459">
        <v>2005</v>
      </c>
      <c r="B11" s="460">
        <v>7.93536979675292</v>
      </c>
      <c r="C11" s="460">
        <v>7.741824191954069</v>
      </c>
      <c r="D11" s="461">
        <f aca="true" t="shared" si="1" ref="D11:I26">D10</f>
        <v>9.34</v>
      </c>
      <c r="E11" s="460">
        <f t="shared" si="1"/>
        <v>7.34</v>
      </c>
      <c r="F11" s="460">
        <f t="shared" si="1"/>
        <v>6.5</v>
      </c>
      <c r="G11" s="460">
        <f t="shared" si="1"/>
        <v>5.34</v>
      </c>
      <c r="H11" s="470">
        <f t="shared" si="1"/>
        <v>4.22</v>
      </c>
      <c r="I11" s="470">
        <f t="shared" si="1"/>
        <v>3.5</v>
      </c>
      <c r="J11" s="471"/>
      <c r="K11" s="471"/>
      <c r="L11" s="471"/>
      <c r="M11" s="471"/>
      <c r="N11" s="471"/>
      <c r="O11" s="471"/>
      <c r="P11" s="472"/>
      <c r="Q11" s="473"/>
      <c r="R11" s="471"/>
      <c r="S11" s="471"/>
      <c r="T11" s="471"/>
      <c r="U11" s="475"/>
      <c r="V11" s="475"/>
      <c r="W11" s="476"/>
      <c r="X11" s="477"/>
      <c r="Y11" s="477"/>
      <c r="Z11" s="477"/>
      <c r="AA11" s="477"/>
      <c r="AB11" s="477"/>
      <c r="AC11" s="477"/>
      <c r="AD11" s="478"/>
      <c r="AE11" s="479"/>
      <c r="AF11" s="479"/>
      <c r="AG11" s="479"/>
      <c r="AH11" s="479"/>
      <c r="AI11" s="465"/>
      <c r="AJ11" s="465"/>
      <c r="AK11" s="466"/>
      <c r="AL11" s="465"/>
      <c r="AM11" s="465"/>
      <c r="AN11" s="480"/>
      <c r="AO11" s="480"/>
      <c r="AP11" s="479"/>
      <c r="AQ11" s="480"/>
      <c r="AR11" s="481"/>
      <c r="AS11" s="479"/>
      <c r="AT11" s="479"/>
      <c r="AU11" s="479"/>
      <c r="AV11" s="479"/>
      <c r="AW11" s="467"/>
      <c r="AX11" s="467"/>
      <c r="AY11" s="482"/>
      <c r="AZ11" s="483"/>
      <c r="BA11" s="483"/>
      <c r="BB11" s="483"/>
      <c r="BC11" s="483"/>
      <c r="BD11" s="479"/>
      <c r="BE11" s="483"/>
      <c r="BF11" s="484"/>
      <c r="BG11" s="479"/>
      <c r="BH11" s="479"/>
      <c r="BI11" s="479"/>
      <c r="BJ11" s="479"/>
      <c r="BK11" s="483"/>
      <c r="BL11" s="485"/>
      <c r="BM11" s="483"/>
      <c r="BN11" s="483"/>
      <c r="BO11" s="483"/>
      <c r="BP11" s="483"/>
      <c r="BQ11" s="479"/>
      <c r="BR11" s="483"/>
      <c r="BS11" s="486"/>
      <c r="BT11" s="479"/>
      <c r="BU11" s="479"/>
      <c r="BV11" s="479"/>
      <c r="BW11" s="487"/>
      <c r="BX11" s="487"/>
      <c r="BY11" s="486"/>
      <c r="BZ11" s="8"/>
      <c r="CA11" s="8"/>
      <c r="CD11" s="8"/>
      <c r="CE11" s="9"/>
      <c r="CF11" s="8"/>
      <c r="CG11" s="8"/>
      <c r="CH11" s="8"/>
      <c r="CI11" s="8"/>
      <c r="CJ11" s="8"/>
      <c r="CK11" s="8"/>
      <c r="CL11" s="12"/>
      <c r="CM11" s="12"/>
      <c r="CN11" s="12"/>
      <c r="CO11" s="12"/>
      <c r="CQ11" s="740"/>
      <c r="CR11" s="740"/>
      <c r="CS11" s="740"/>
      <c r="CT11" s="740"/>
      <c r="CU11" s="740"/>
      <c r="CV11" s="44" t="s">
        <v>288</v>
      </c>
      <c r="CW11" s="740"/>
    </row>
    <row r="12" spans="1:101" ht="12.75">
      <c r="A12" s="459">
        <v>2006</v>
      </c>
      <c r="B12" s="460">
        <v>7.16958362579346</v>
      </c>
      <c r="C12" s="460">
        <v>6.994715732481425</v>
      </c>
      <c r="D12" s="488">
        <f t="shared" si="1"/>
        <v>9.34</v>
      </c>
      <c r="E12" s="461">
        <f t="shared" si="1"/>
        <v>7.34</v>
      </c>
      <c r="F12" s="461">
        <f t="shared" si="1"/>
        <v>6.5</v>
      </c>
      <c r="G12" s="461">
        <f t="shared" si="1"/>
        <v>5.34</v>
      </c>
      <c r="H12" s="460">
        <f t="shared" si="1"/>
        <v>4.22</v>
      </c>
      <c r="I12" s="470">
        <f t="shared" si="1"/>
        <v>3.5</v>
      </c>
      <c r="J12" s="489">
        <v>0.1563</v>
      </c>
      <c r="K12" s="490">
        <v>0.451</v>
      </c>
      <c r="L12" s="491">
        <v>0.6273</v>
      </c>
      <c r="M12" s="492">
        <v>0.8063</v>
      </c>
      <c r="N12" s="493">
        <v>0.9123</v>
      </c>
      <c r="O12" s="493">
        <v>0.9597</v>
      </c>
      <c r="P12" s="494">
        <v>0</v>
      </c>
      <c r="Q12" s="495">
        <v>0</v>
      </c>
      <c r="R12" s="496">
        <v>0</v>
      </c>
      <c r="S12" s="496">
        <v>0</v>
      </c>
      <c r="T12" s="496">
        <v>0</v>
      </c>
      <c r="U12" s="497">
        <v>0</v>
      </c>
      <c r="V12" s="497">
        <v>0</v>
      </c>
      <c r="W12" s="498">
        <v>0</v>
      </c>
      <c r="X12" s="499">
        <v>0</v>
      </c>
      <c r="Y12" s="499">
        <v>0</v>
      </c>
      <c r="Z12" s="499">
        <v>0</v>
      </c>
      <c r="AA12" s="499">
        <v>0</v>
      </c>
      <c r="AB12" s="499">
        <v>0</v>
      </c>
      <c r="AC12" s="499">
        <v>0</v>
      </c>
      <c r="AD12" s="486">
        <f aca="true" t="shared" si="2" ref="AD12:AD50">W12*$B12*$D$6</f>
        <v>0</v>
      </c>
      <c r="AE12" s="479">
        <f aca="true" t="shared" si="3" ref="AE12:AE50">X12*$B12*$D$6*J$6</f>
        <v>0</v>
      </c>
      <c r="AF12" s="479">
        <f aca="true" t="shared" si="4" ref="AF12:AF50">Y12*$B12*$D$6*K$6</f>
        <v>0</v>
      </c>
      <c r="AG12" s="479">
        <f aca="true" t="shared" si="5" ref="AG12:AG50">Z12*$B12*$D$6*L$6</f>
        <v>0</v>
      </c>
      <c r="AH12" s="479">
        <f aca="true" t="shared" si="6" ref="AH12:AH50">AA12*$B12*$D$6*M$6</f>
        <v>0</v>
      </c>
      <c r="AI12" s="479">
        <f aca="true" t="shared" si="7" ref="AI12:AI50">AB12*$B12*$D$6*N$6</f>
        <v>0</v>
      </c>
      <c r="AJ12" s="500">
        <f aca="true" t="shared" si="8" ref="AJ12:AJ50">AC12*$B12*$D$6*O$6</f>
        <v>0</v>
      </c>
      <c r="AK12" s="480">
        <f aca="true" t="shared" si="9" ref="AK12:AK50">P12/($D$3+$D$4)</f>
        <v>0</v>
      </c>
      <c r="AL12" s="480">
        <f aca="true" t="shared" si="10" ref="AL12:AL50">Q12/($D$3+$D$4)</f>
        <v>0</v>
      </c>
      <c r="AM12" s="480">
        <f aca="true" t="shared" si="11" ref="AM12:AM50">R12/($D$3+$D$4)</f>
        <v>0</v>
      </c>
      <c r="AN12" s="480">
        <f aca="true" t="shared" si="12" ref="AN12:AN50">S12/($D$3+$D$4)</f>
        <v>0</v>
      </c>
      <c r="AO12" s="480">
        <f aca="true" t="shared" si="13" ref="AO12:AO50">T12/($D$3+$D$4)</f>
        <v>0</v>
      </c>
      <c r="AP12" s="480">
        <f aca="true" t="shared" si="14" ref="AP12:AP50">U12/($D$3+$D$4)</f>
        <v>0</v>
      </c>
      <c r="AQ12" s="480">
        <f aca="true" t="shared" si="15" ref="AQ12:AQ50">V12/($D$3+$D$4)</f>
        <v>0</v>
      </c>
      <c r="AR12" s="486">
        <f aca="true" t="shared" si="16" ref="AR12:AR50">AK12*($B12*$D$5*$D$6)</f>
        <v>0</v>
      </c>
      <c r="AS12" s="479">
        <f aca="true" t="shared" si="17" ref="AS12:AS50">AL12*($B12*$D$5*$D$6)</f>
        <v>0</v>
      </c>
      <c r="AT12" s="479">
        <f aca="true" t="shared" si="18" ref="AT12:AT50">AM12*($B12*$D$5*$D$6)</f>
        <v>0</v>
      </c>
      <c r="AU12" s="479">
        <f aca="true" t="shared" si="19" ref="AU12:AU50">AN12*($B12*$D$5*$D$6)</f>
        <v>0</v>
      </c>
      <c r="AV12" s="479">
        <f aca="true" t="shared" si="20" ref="AV12:AV50">AO12*($B12*$D$5*$D$6)</f>
        <v>0</v>
      </c>
      <c r="AW12" s="479">
        <f aca="true" t="shared" si="21" ref="AW12:AW50">AP12*($B12*$D$5*$D$6)</f>
        <v>0</v>
      </c>
      <c r="AX12" s="479">
        <f aca="true" t="shared" si="22" ref="AX12:AX50">AQ12*($B12*$D$5*$D$6)</f>
        <v>0</v>
      </c>
      <c r="AY12" s="501">
        <v>0</v>
      </c>
      <c r="AZ12" s="502">
        <v>0</v>
      </c>
      <c r="BA12" s="502">
        <v>0</v>
      </c>
      <c r="BB12" s="502">
        <v>0</v>
      </c>
      <c r="BC12" s="502">
        <v>0</v>
      </c>
      <c r="BD12" s="503">
        <v>0</v>
      </c>
      <c r="BE12" s="503">
        <v>0</v>
      </c>
      <c r="BF12" s="486">
        <f aca="true" t="shared" si="23" ref="BF12:BF50">AY12*$B12*$D$6</f>
        <v>0</v>
      </c>
      <c r="BG12" s="479">
        <f aca="true" t="shared" si="24" ref="BG12:BG50">AZ12*$B12*$D$6</f>
        <v>0</v>
      </c>
      <c r="BH12" s="479">
        <f aca="true" t="shared" si="25" ref="BH12:BH50">BA12*$B12*$D$6</f>
        <v>0</v>
      </c>
      <c r="BI12" s="479">
        <f aca="true" t="shared" si="26" ref="BI12:BI50">BB12*$B12*$D$6</f>
        <v>0</v>
      </c>
      <c r="BJ12" s="479">
        <f aca="true" t="shared" si="27" ref="BJ12:BJ50">BC12*$B12*$D$6</f>
        <v>0</v>
      </c>
      <c r="BK12" s="479">
        <f aca="true" t="shared" si="28" ref="BK12:BK50">BD12*$B12*$D$6</f>
        <v>0</v>
      </c>
      <c r="BL12" s="500">
        <f aca="true" t="shared" si="29" ref="BL12:BL50">BE12*$B12*$D$6</f>
        <v>0</v>
      </c>
      <c r="BM12" s="483">
        <f aca="true" t="shared" si="30" ref="BM12:BM50">Q12-(AL12*$D$4)-AZ12</f>
        <v>0</v>
      </c>
      <c r="BN12" s="483">
        <f aca="true" t="shared" si="31" ref="BN12:BN50">R12-(AM12*$D$4)-BA12</f>
        <v>0</v>
      </c>
      <c r="BO12" s="483">
        <f aca="true" t="shared" si="32" ref="BO12:BO50">S12-(AN12*$D$4)-BB12</f>
        <v>0</v>
      </c>
      <c r="BP12" s="483">
        <f aca="true" t="shared" si="33" ref="BP12:BP50">T12-(AO12*$D$4)-BC12</f>
        <v>0</v>
      </c>
      <c r="BQ12" s="483">
        <f aca="true" t="shared" si="34" ref="BQ12:BQ50">U12-(AP12*$D$4)-BD12</f>
        <v>0</v>
      </c>
      <c r="BR12" s="483">
        <f aca="true" t="shared" si="35" ref="BR12:BR50">V12-(AQ12*$D$4)-BE12</f>
        <v>0</v>
      </c>
      <c r="BS12" s="486">
        <f aca="true" t="shared" si="36" ref="BS12:BS50">BM12*J$4*D12*$D$6</f>
        <v>0</v>
      </c>
      <c r="BT12" s="479">
        <f aca="true" t="shared" si="37" ref="BT12:BT50">BN12*K$4*E12*$D$6</f>
        <v>0</v>
      </c>
      <c r="BU12" s="479">
        <f aca="true" t="shared" si="38" ref="BU12:BU50">BO12*L$4*F12*$D$6</f>
        <v>0</v>
      </c>
      <c r="BV12" s="479">
        <f aca="true" t="shared" si="39" ref="BV12:BV50">BP12*M$4*G12*$D$6</f>
        <v>0</v>
      </c>
      <c r="BW12" s="479">
        <f aca="true" t="shared" si="40" ref="BW12:BW50">BQ12*N$4*H12*$D$6</f>
        <v>0</v>
      </c>
      <c r="BX12" s="500">
        <f aca="true" t="shared" si="41" ref="BX12:BX50">BR12*O$4*I12*$D$6</f>
        <v>0</v>
      </c>
      <c r="BY12" s="479">
        <f>-AD12+AR12+BF12</f>
        <v>0</v>
      </c>
      <c r="BZ12" s="479">
        <f aca="true" t="shared" si="42" ref="BZ12:BZ50">-((1-J12)*AE12)+AS12+BG12+(J12*BS12)</f>
        <v>0</v>
      </c>
      <c r="CA12" s="479">
        <f aca="true" t="shared" si="43" ref="CA12:CA50">-((1-K12)*AF12)+AT12+BH12+(K12*BT12)</f>
        <v>0</v>
      </c>
      <c r="CB12" s="479">
        <f aca="true" t="shared" si="44" ref="CB12:CB50">-((1-L12)*AG12)+AU12+BI12+(L12*BU12)</f>
        <v>0</v>
      </c>
      <c r="CC12" s="479">
        <f aca="true" t="shared" si="45" ref="CC12:CC50">-((1-M12)*AH12)+AV12+BJ12+(M12*BV12)</f>
        <v>0</v>
      </c>
      <c r="CD12" s="479">
        <f aca="true" t="shared" si="46" ref="CD12:CD50">-((1-N12)*AI12)+AW12+BK12+(N12*BW12)</f>
        <v>0</v>
      </c>
      <c r="CE12" s="500">
        <f aca="true" t="shared" si="47" ref="CE12:CE50">-((1-O12)*AJ12)+AX12+BL12+(O12*BX12)</f>
        <v>0</v>
      </c>
      <c r="CF12" s="479">
        <f aca="true" t="shared" si="48" ref="CF12:CK12">BZ12*$CH$6</f>
        <v>0</v>
      </c>
      <c r="CG12" s="479">
        <f t="shared" si="48"/>
        <v>0</v>
      </c>
      <c r="CH12" s="479">
        <f t="shared" si="48"/>
        <v>0</v>
      </c>
      <c r="CI12" s="479">
        <f t="shared" si="48"/>
        <v>0</v>
      </c>
      <c r="CJ12" s="479">
        <f t="shared" si="48"/>
        <v>0</v>
      </c>
      <c r="CK12" s="479">
        <f t="shared" si="48"/>
        <v>0</v>
      </c>
      <c r="CL12" s="12">
        <f>A12</f>
        <v>2006</v>
      </c>
      <c r="CM12" s="132">
        <f>-AG12+AU12+BI12</f>
        <v>0</v>
      </c>
      <c r="CN12" s="12"/>
      <c r="CO12" s="12"/>
      <c r="CQ12" s="584"/>
      <c r="CR12" s="68"/>
      <c r="CS12" s="68"/>
      <c r="CT12" s="185"/>
      <c r="CU12" s="584"/>
      <c r="CV12" s="584"/>
      <c r="CW12" s="584"/>
    </row>
    <row r="13" spans="1:101" ht="12.75">
      <c r="A13" s="459">
        <v>2007</v>
      </c>
      <c r="B13" s="460">
        <v>6.45482761383057</v>
      </c>
      <c r="C13" s="460">
        <v>6.297392793981045</v>
      </c>
      <c r="D13" s="488">
        <f t="shared" si="1"/>
        <v>9.34</v>
      </c>
      <c r="E13" s="461">
        <f t="shared" si="1"/>
        <v>7.34</v>
      </c>
      <c r="F13" s="461">
        <f t="shared" si="1"/>
        <v>6.5</v>
      </c>
      <c r="G13" s="461">
        <f t="shared" si="1"/>
        <v>5.34</v>
      </c>
      <c r="H13" s="460">
        <f t="shared" si="1"/>
        <v>4.22</v>
      </c>
      <c r="I13" s="470">
        <f t="shared" si="1"/>
        <v>3.5</v>
      </c>
      <c r="J13" s="489">
        <v>0.0747</v>
      </c>
      <c r="K13" s="490">
        <v>0.33</v>
      </c>
      <c r="L13" s="491">
        <v>0.5123</v>
      </c>
      <c r="M13" s="492">
        <v>0.7217</v>
      </c>
      <c r="N13" s="493">
        <v>0.8777</v>
      </c>
      <c r="O13" s="493">
        <v>0.9347</v>
      </c>
      <c r="P13" s="504">
        <v>0.1028192935732537</v>
      </c>
      <c r="Q13" s="505">
        <v>0.04470290738025868</v>
      </c>
      <c r="R13" s="506">
        <v>0.04470290738025868</v>
      </c>
      <c r="S13" s="506">
        <v>0.04470290738025868</v>
      </c>
      <c r="T13" s="506">
        <v>0.04470290738025868</v>
      </c>
      <c r="U13" s="507">
        <v>0.04470290738025868</v>
      </c>
      <c r="V13" s="507">
        <v>0.04470290738025868</v>
      </c>
      <c r="W13" s="498">
        <v>6.570234911794985</v>
      </c>
      <c r="X13" s="603">
        <v>6.570234911794985</v>
      </c>
      <c r="Y13" s="603">
        <v>6.570234911794985</v>
      </c>
      <c r="Z13" s="603">
        <v>6.570234911794985</v>
      </c>
      <c r="AA13" s="603">
        <v>6.570234911794985</v>
      </c>
      <c r="AB13" s="603">
        <v>6.570234911794985</v>
      </c>
      <c r="AC13" s="603">
        <v>6.570234911794985</v>
      </c>
      <c r="AD13" s="486">
        <f t="shared" si="2"/>
        <v>7.068288956334655</v>
      </c>
      <c r="AE13" s="479">
        <f t="shared" si="3"/>
        <v>7.006674681502286</v>
      </c>
      <c r="AF13" s="479">
        <f t="shared" si="4"/>
        <v>6.585100723279618</v>
      </c>
      <c r="AG13" s="479">
        <f t="shared" si="5"/>
        <v>6.166050144214362</v>
      </c>
      <c r="AH13" s="479">
        <f t="shared" si="6"/>
        <v>5.340700179361076</v>
      </c>
      <c r="AI13" s="479">
        <f t="shared" si="7"/>
        <v>4.320731946384074</v>
      </c>
      <c r="AJ13" s="500">
        <f t="shared" si="8"/>
        <v>3.565428725088065</v>
      </c>
      <c r="AK13" s="480">
        <f t="shared" si="9"/>
        <v>0.0032517170643027735</v>
      </c>
      <c r="AL13" s="480">
        <f t="shared" si="10"/>
        <v>0.001413754186598946</v>
      </c>
      <c r="AM13" s="480">
        <f t="shared" si="11"/>
        <v>0.001413754186598946</v>
      </c>
      <c r="AN13" s="480">
        <f t="shared" si="12"/>
        <v>0.001413754186598946</v>
      </c>
      <c r="AO13" s="480">
        <f t="shared" si="13"/>
        <v>0.001413754186598946</v>
      </c>
      <c r="AP13" s="480">
        <f t="shared" si="14"/>
        <v>0.001413754186598946</v>
      </c>
      <c r="AQ13" s="480">
        <f t="shared" si="15"/>
        <v>0.001413754186598946</v>
      </c>
      <c r="AR13" s="486">
        <f t="shared" si="16"/>
        <v>0.027985697465367488</v>
      </c>
      <c r="AS13" s="479">
        <f t="shared" si="17"/>
        <v>0.012167386083769936</v>
      </c>
      <c r="AT13" s="479">
        <f t="shared" si="18"/>
        <v>0.012167386083769936</v>
      </c>
      <c r="AU13" s="479">
        <f t="shared" si="19"/>
        <v>0.012167386083769936</v>
      </c>
      <c r="AV13" s="479">
        <f t="shared" si="20"/>
        <v>0.012167386083769936</v>
      </c>
      <c r="AW13" s="479">
        <f t="shared" si="21"/>
        <v>0.012167386083769936</v>
      </c>
      <c r="AX13" s="479">
        <f t="shared" si="22"/>
        <v>0.012167386083769936</v>
      </c>
      <c r="AY13" s="501">
        <v>0</v>
      </c>
      <c r="AZ13" s="502">
        <v>0</v>
      </c>
      <c r="BA13" s="502">
        <v>0</v>
      </c>
      <c r="BB13" s="502">
        <v>0</v>
      </c>
      <c r="BC13" s="502">
        <v>0</v>
      </c>
      <c r="BD13" s="503">
        <v>0</v>
      </c>
      <c r="BE13" s="503">
        <v>0</v>
      </c>
      <c r="BF13" s="486">
        <f t="shared" si="23"/>
        <v>0</v>
      </c>
      <c r="BG13" s="479">
        <f t="shared" si="24"/>
        <v>0</v>
      </c>
      <c r="BH13" s="479">
        <f t="shared" si="25"/>
        <v>0</v>
      </c>
      <c r="BI13" s="479">
        <f t="shared" si="26"/>
        <v>0</v>
      </c>
      <c r="BJ13" s="479">
        <f t="shared" si="27"/>
        <v>0</v>
      </c>
      <c r="BK13" s="479">
        <f t="shared" si="28"/>
        <v>0</v>
      </c>
      <c r="BL13" s="500">
        <f t="shared" si="29"/>
        <v>0</v>
      </c>
      <c r="BM13" s="483">
        <f t="shared" si="30"/>
        <v>0.0367576088515726</v>
      </c>
      <c r="BN13" s="483">
        <f t="shared" si="31"/>
        <v>0.0367576088515726</v>
      </c>
      <c r="BO13" s="483">
        <f t="shared" si="32"/>
        <v>0.0367576088515726</v>
      </c>
      <c r="BP13" s="483">
        <f t="shared" si="33"/>
        <v>0.0367576088515726</v>
      </c>
      <c r="BQ13" s="483">
        <f t="shared" si="34"/>
        <v>0.0367576088515726</v>
      </c>
      <c r="BR13" s="483">
        <f t="shared" si="35"/>
        <v>0.0367576088515726</v>
      </c>
      <c r="BS13" s="486">
        <f t="shared" si="36"/>
        <v>0.06038117098099045</v>
      </c>
      <c r="BT13" s="479">
        <f t="shared" si="37"/>
        <v>0.05003969365771761</v>
      </c>
      <c r="BU13" s="479">
        <f t="shared" si="38"/>
        <v>0.045803252056247246</v>
      </c>
      <c r="BV13" s="479">
        <f t="shared" si="39"/>
        <v>0.04081982159254304</v>
      </c>
      <c r="BW13" s="479">
        <f t="shared" si="40"/>
        <v>0.03705926127134129</v>
      </c>
      <c r="BX13" s="500">
        <f t="shared" si="41"/>
        <v>0.03521220870262593</v>
      </c>
      <c r="BY13" s="479">
        <f aca="true" t="shared" si="49" ref="BY13:BY50">-AD13+AR13+BF13</f>
        <v>-7.0403032588692875</v>
      </c>
      <c r="BZ13" s="479">
        <f t="shared" si="42"/>
        <v>-6.466598223238015</v>
      </c>
      <c r="CA13" s="479">
        <f t="shared" si="43"/>
        <v>-4.383336999606527</v>
      </c>
      <c r="CB13" s="479">
        <f t="shared" si="44"/>
        <v>-2.971550263221159</v>
      </c>
      <c r="CC13" s="479">
        <f t="shared" si="45"/>
        <v>-1.4446898085890794</v>
      </c>
      <c r="CD13" s="479">
        <f t="shared" si="46"/>
        <v>-0.48373121734114594</v>
      </c>
      <c r="CE13" s="500">
        <f t="shared" si="47"/>
        <v>-0.18774225819013635</v>
      </c>
      <c r="CF13" s="479">
        <f aca="true" t="shared" si="50" ref="CF13:CF50">BZ13*$CH$6</f>
        <v>-6.866596487898861</v>
      </c>
      <c r="CG13" s="479">
        <f aca="true" t="shared" si="51" ref="CG13:CG50">CA13*$CH$6</f>
        <v>-4.654472940442565</v>
      </c>
      <c r="CH13" s="479">
        <f aca="true" t="shared" si="52" ref="CH13:CH50">CB13*$CH$6</f>
        <v>-3.155358644012407</v>
      </c>
      <c r="CI13" s="479">
        <f aca="true" t="shared" si="53" ref="CI13:CI50">CC13*$CH$6</f>
        <v>-1.5340526229250973</v>
      </c>
      <c r="CJ13" s="479">
        <f aca="true" t="shared" si="54" ref="CJ13:CJ50">CD13*$CH$6</f>
        <v>-0.5136529228219991</v>
      </c>
      <c r="CK13" s="479">
        <f aca="true" t="shared" si="55" ref="CK13:CK50">CE13*$CH$6</f>
        <v>-0.19935525390861164</v>
      </c>
      <c r="CL13" s="12">
        <f aca="true" t="shared" si="56" ref="CL13:CL61">A13</f>
        <v>2007</v>
      </c>
      <c r="CM13" s="132">
        <f aca="true" t="shared" si="57" ref="CM13:CM28">-AG13+AU13+BI13</f>
        <v>-6.1538827581305915</v>
      </c>
      <c r="CN13" s="12"/>
      <c r="CO13" s="12"/>
      <c r="CQ13" s="584">
        <f aca="true" t="shared" si="58" ref="CQ13:CQ28">CB13</f>
        <v>-2.971550263221159</v>
      </c>
      <c r="CR13" s="216">
        <f aca="true" t="shared" si="59" ref="CR13:CR28">S13</f>
        <v>0.04470290738025868</v>
      </c>
      <c r="CS13" s="643">
        <f>C13</f>
        <v>6.297392793981045</v>
      </c>
      <c r="CT13" s="644">
        <f aca="true" t="shared" si="60" ref="CT13:CT28">CR13*C13</f>
        <v>0.2815117668064431</v>
      </c>
      <c r="CU13" s="584">
        <f>CT13*(1/6)</f>
        <v>0.046918627801073844</v>
      </c>
      <c r="CV13" s="584">
        <f aca="true" t="shared" si="61" ref="CV13:CV28">CT13-(CU13*0.5)</f>
        <v>0.25805245290590617</v>
      </c>
      <c r="CW13" s="584">
        <f aca="true" t="shared" si="62" ref="CW13:CW28">CT13-CV13</f>
        <v>0.023459313900536904</v>
      </c>
    </row>
    <row r="14" spans="1:101" ht="12.75">
      <c r="A14" s="459">
        <v>2008</v>
      </c>
      <c r="B14" s="460">
        <v>6.09526426315308</v>
      </c>
      <c r="C14" s="460">
        <v>5.946599281124957</v>
      </c>
      <c r="D14" s="488">
        <f t="shared" si="1"/>
        <v>9.34</v>
      </c>
      <c r="E14" s="461">
        <f t="shared" si="1"/>
        <v>7.34</v>
      </c>
      <c r="F14" s="461">
        <f t="shared" si="1"/>
        <v>6.5</v>
      </c>
      <c r="G14" s="461">
        <f t="shared" si="1"/>
        <v>5.34</v>
      </c>
      <c r="H14" s="460">
        <f t="shared" si="1"/>
        <v>4.22</v>
      </c>
      <c r="I14" s="470">
        <f t="shared" si="1"/>
        <v>3.5</v>
      </c>
      <c r="J14" s="489">
        <v>0.035</v>
      </c>
      <c r="K14" s="490">
        <v>0.2387</v>
      </c>
      <c r="L14" s="491">
        <v>0.4253</v>
      </c>
      <c r="M14" s="492">
        <v>0.666</v>
      </c>
      <c r="N14" s="493">
        <v>0.856</v>
      </c>
      <c r="O14" s="493">
        <v>0.925</v>
      </c>
      <c r="P14" s="504">
        <v>0.2056385871465074</v>
      </c>
      <c r="Q14" s="599">
        <v>0.14177269080761107</v>
      </c>
      <c r="R14" s="600">
        <v>0.11876977003476101</v>
      </c>
      <c r="S14" s="600">
        <v>0.10011487351409865</v>
      </c>
      <c r="T14" s="600">
        <v>0.07447067309943844</v>
      </c>
      <c r="U14" s="601">
        <v>0.05599213622392898</v>
      </c>
      <c r="V14" s="601">
        <v>0.04948569943549611</v>
      </c>
      <c r="W14" s="498">
        <v>13.14046982358997</v>
      </c>
      <c r="X14" s="603">
        <v>13.14046982358997</v>
      </c>
      <c r="Y14" s="603">
        <v>13.14046982358997</v>
      </c>
      <c r="Z14" s="603">
        <v>13.14046982358997</v>
      </c>
      <c r="AA14" s="603">
        <v>13.14046982358997</v>
      </c>
      <c r="AB14" s="603">
        <v>13.14046982358997</v>
      </c>
      <c r="AC14" s="603">
        <v>13.14046982358997</v>
      </c>
      <c r="AD14" s="486">
        <f t="shared" si="2"/>
        <v>13.349106019461567</v>
      </c>
      <c r="AE14" s="479">
        <f t="shared" si="3"/>
        <v>13.232741862289922</v>
      </c>
      <c r="AF14" s="479">
        <f t="shared" si="4"/>
        <v>12.436561131971175</v>
      </c>
      <c r="AG14" s="479">
        <f t="shared" si="5"/>
        <v>11.645146032501376</v>
      </c>
      <c r="AH14" s="479">
        <f t="shared" si="6"/>
        <v>10.086397620820888</v>
      </c>
      <c r="AI14" s="479">
        <f t="shared" si="7"/>
        <v>8.160094924000546</v>
      </c>
      <c r="AJ14" s="500">
        <f t="shared" si="8"/>
        <v>6.733636152972921</v>
      </c>
      <c r="AK14" s="480">
        <f t="shared" si="9"/>
        <v>0.006503434128605547</v>
      </c>
      <c r="AL14" s="480">
        <f t="shared" si="10"/>
        <v>0.004483639810487383</v>
      </c>
      <c r="AM14" s="480">
        <f t="shared" si="11"/>
        <v>0.0037561597101442444</v>
      </c>
      <c r="AN14" s="480">
        <f t="shared" si="12"/>
        <v>0.0031661882831783253</v>
      </c>
      <c r="AO14" s="480">
        <f t="shared" si="13"/>
        <v>0.0023551762523541567</v>
      </c>
      <c r="AP14" s="480">
        <f t="shared" si="14"/>
        <v>0.0017707822967719473</v>
      </c>
      <c r="AQ14" s="480">
        <f t="shared" si="15"/>
        <v>0.001565012632368631</v>
      </c>
      <c r="AR14" s="486">
        <f t="shared" si="16"/>
        <v>0.0528535328424793</v>
      </c>
      <c r="AS14" s="479">
        <f t="shared" si="17"/>
        <v>0.03643862600761892</v>
      </c>
      <c r="AT14" s="479">
        <f t="shared" si="18"/>
        <v>0.03052638139725019</v>
      </c>
      <c r="AU14" s="479">
        <f t="shared" si="19"/>
        <v>0.025731672390494464</v>
      </c>
      <c r="AV14" s="479">
        <f t="shared" si="20"/>
        <v>0.019140562192534787</v>
      </c>
      <c r="AW14" s="479">
        <f t="shared" si="21"/>
        <v>0.01439118140178424</v>
      </c>
      <c r="AX14" s="479">
        <f t="shared" si="22"/>
        <v>0.012718887425946191</v>
      </c>
      <c r="AY14" s="508">
        <v>0</v>
      </c>
      <c r="AZ14" s="502">
        <v>0</v>
      </c>
      <c r="BA14" s="502">
        <v>0</v>
      </c>
      <c r="BB14" s="502">
        <v>0</v>
      </c>
      <c r="BC14" s="502">
        <v>0</v>
      </c>
      <c r="BD14" s="503">
        <v>0</v>
      </c>
      <c r="BE14" s="503">
        <v>0</v>
      </c>
      <c r="BF14" s="486">
        <f t="shared" si="23"/>
        <v>0</v>
      </c>
      <c r="BG14" s="479">
        <f t="shared" si="24"/>
        <v>0</v>
      </c>
      <c r="BH14" s="479">
        <f t="shared" si="25"/>
        <v>0</v>
      </c>
      <c r="BI14" s="479">
        <f t="shared" si="26"/>
        <v>0</v>
      </c>
      <c r="BJ14" s="479">
        <f t="shared" si="27"/>
        <v>0</v>
      </c>
      <c r="BK14" s="479">
        <f t="shared" si="28"/>
        <v>0</v>
      </c>
      <c r="BL14" s="500">
        <f t="shared" si="29"/>
        <v>0</v>
      </c>
      <c r="BM14" s="483">
        <f t="shared" si="30"/>
        <v>0.11657463507267198</v>
      </c>
      <c r="BN14" s="483">
        <f t="shared" si="31"/>
        <v>0.09766015246375036</v>
      </c>
      <c r="BO14" s="483">
        <f t="shared" si="32"/>
        <v>0.08232089536263645</v>
      </c>
      <c r="BP14" s="483">
        <f t="shared" si="33"/>
        <v>0.06123458256120808</v>
      </c>
      <c r="BQ14" s="483">
        <f t="shared" si="34"/>
        <v>0.04604033971607063</v>
      </c>
      <c r="BR14" s="483">
        <f t="shared" si="35"/>
        <v>0.040690328441584406</v>
      </c>
      <c r="BS14" s="486">
        <f t="shared" si="36"/>
        <v>0.19149539897420254</v>
      </c>
      <c r="BT14" s="479">
        <f t="shared" si="37"/>
        <v>0.13294891219897698</v>
      </c>
      <c r="BU14" s="479">
        <f t="shared" si="38"/>
        <v>0.10257916218153229</v>
      </c>
      <c r="BV14" s="479">
        <f t="shared" si="39"/>
        <v>0.06800183182577779</v>
      </c>
      <c r="BW14" s="479">
        <f t="shared" si="40"/>
        <v>0.04641817114516075</v>
      </c>
      <c r="BX14" s="500">
        <f t="shared" si="41"/>
        <v>0.03897958496291487</v>
      </c>
      <c r="BY14" s="479">
        <f t="shared" si="49"/>
        <v>-13.296252486619087</v>
      </c>
      <c r="BZ14" s="479">
        <f t="shared" si="42"/>
        <v>-12.726454932138058</v>
      </c>
      <c r="CA14" s="479">
        <f t="shared" si="43"/>
        <v>-9.405692703030509</v>
      </c>
      <c r="CB14" s="479">
        <f t="shared" si="44"/>
        <v>-6.623106834812241</v>
      </c>
      <c r="CC14" s="479">
        <f t="shared" si="45"/>
        <v>-3.3044270231656734</v>
      </c>
      <c r="CD14" s="479">
        <f t="shared" si="46"/>
        <v>-1.120928533154037</v>
      </c>
      <c r="CE14" s="500">
        <f t="shared" si="47"/>
        <v>-0.4562477079563264</v>
      </c>
      <c r="CF14" s="479">
        <f t="shared" si="50"/>
        <v>-13.513663246680707</v>
      </c>
      <c r="CG14" s="479">
        <f t="shared" si="51"/>
        <v>-9.987491761711087</v>
      </c>
      <c r="CH14" s="479">
        <f t="shared" si="52"/>
        <v>-7.032786104983712</v>
      </c>
      <c r="CI14" s="479">
        <f t="shared" si="53"/>
        <v>-3.5088258476070697</v>
      </c>
      <c r="CJ14" s="479">
        <f t="shared" si="54"/>
        <v>-1.1902647517641876</v>
      </c>
      <c r="CK14" s="479">
        <f t="shared" si="55"/>
        <v>-0.4844693919295479</v>
      </c>
      <c r="CL14" s="12">
        <f t="shared" si="56"/>
        <v>2008</v>
      </c>
      <c r="CM14" s="132">
        <f t="shared" si="57"/>
        <v>-11.619414360110882</v>
      </c>
      <c r="CN14" s="12"/>
      <c r="CO14" s="12"/>
      <c r="CQ14" s="584">
        <f t="shared" si="58"/>
        <v>-6.623106834812241</v>
      </c>
      <c r="CR14" s="216">
        <f t="shared" si="59"/>
        <v>0.10011487351409865</v>
      </c>
      <c r="CS14" s="643">
        <f aca="true" t="shared" si="63" ref="CS14:CS28">C14</f>
        <v>5.946599281124957</v>
      </c>
      <c r="CT14" s="644">
        <f t="shared" si="60"/>
        <v>0.595343034868855</v>
      </c>
      <c r="CU14" s="584">
        <f aca="true" t="shared" si="64" ref="CU14:CU28">CT14*(1/6)</f>
        <v>0.09922383914480916</v>
      </c>
      <c r="CV14" s="584">
        <f t="shared" si="61"/>
        <v>0.5457311152964504</v>
      </c>
      <c r="CW14" s="584">
        <f t="shared" si="62"/>
        <v>0.04961191957240463</v>
      </c>
    </row>
    <row r="15" spans="1:101" ht="12.75">
      <c r="A15" s="459">
        <v>2009</v>
      </c>
      <c r="B15" s="460">
        <v>5.66388208389282</v>
      </c>
      <c r="C15" s="460">
        <v>5.52573861843202</v>
      </c>
      <c r="D15" s="488">
        <f t="shared" si="1"/>
        <v>9.34</v>
      </c>
      <c r="E15" s="461">
        <f t="shared" si="1"/>
        <v>7.34</v>
      </c>
      <c r="F15" s="461">
        <f t="shared" si="1"/>
        <v>6.5</v>
      </c>
      <c r="G15" s="461">
        <f t="shared" si="1"/>
        <v>5.34</v>
      </c>
      <c r="H15" s="460">
        <f t="shared" si="1"/>
        <v>4.22</v>
      </c>
      <c r="I15" s="470">
        <f t="shared" si="1"/>
        <v>3.5</v>
      </c>
      <c r="J15" s="489">
        <v>0.0127</v>
      </c>
      <c r="K15" s="490">
        <v>0.171</v>
      </c>
      <c r="L15" s="509">
        <v>0.3147</v>
      </c>
      <c r="M15" s="491">
        <v>0.5687</v>
      </c>
      <c r="N15" s="493">
        <v>0.8027</v>
      </c>
      <c r="O15" s="493">
        <v>0.9057</v>
      </c>
      <c r="P15" s="504">
        <v>0.30845788071976116</v>
      </c>
      <c r="Q15" s="599">
        <v>0.23884247423496344</v>
      </c>
      <c r="R15" s="600">
        <v>0.19283663268926338</v>
      </c>
      <c r="S15" s="600">
        <v>0.15552683964793862</v>
      </c>
      <c r="T15" s="600">
        <v>0.10423843881861822</v>
      </c>
      <c r="U15" s="601">
        <v>0.06728136506759927</v>
      </c>
      <c r="V15" s="601">
        <v>0.054268491490733546</v>
      </c>
      <c r="W15" s="498">
        <v>19.265376601311278</v>
      </c>
      <c r="X15" s="603">
        <v>19.265376601311278</v>
      </c>
      <c r="Y15" s="603">
        <v>19.265376601311278</v>
      </c>
      <c r="Z15" s="603">
        <v>19.265376601311278</v>
      </c>
      <c r="AA15" s="603">
        <v>19.265376601311278</v>
      </c>
      <c r="AB15" s="603">
        <v>19.265376601311278</v>
      </c>
      <c r="AC15" s="603">
        <v>19.265376601311278</v>
      </c>
      <c r="AD15" s="486">
        <f t="shared" si="2"/>
        <v>18.186136895269147</v>
      </c>
      <c r="AE15" s="479">
        <f t="shared" si="3"/>
        <v>18.027608339953087</v>
      </c>
      <c r="AF15" s="479">
        <f t="shared" si="4"/>
        <v>16.94293257710855</v>
      </c>
      <c r="AG15" s="479">
        <f t="shared" si="5"/>
        <v>15.864749265135622</v>
      </c>
      <c r="AH15" s="479">
        <f t="shared" si="6"/>
        <v>13.741190432148834</v>
      </c>
      <c r="AI15" s="479">
        <f t="shared" si="7"/>
        <v>11.116894505887707</v>
      </c>
      <c r="AJ15" s="500">
        <f t="shared" si="8"/>
        <v>9.173560289533036</v>
      </c>
      <c r="AK15" s="480">
        <f t="shared" si="9"/>
        <v>0.009755151192908321</v>
      </c>
      <c r="AL15" s="480">
        <f t="shared" si="10"/>
        <v>0.00755352543437582</v>
      </c>
      <c r="AM15" s="480">
        <f t="shared" si="11"/>
        <v>0.006098565233689544</v>
      </c>
      <c r="AN15" s="480">
        <f t="shared" si="12"/>
        <v>0.0049186223797577045</v>
      </c>
      <c r="AO15" s="480">
        <f t="shared" si="13"/>
        <v>0.003296598318109368</v>
      </c>
      <c r="AP15" s="480">
        <f t="shared" si="14"/>
        <v>0.002127810406944948</v>
      </c>
      <c r="AQ15" s="480">
        <f t="shared" si="15"/>
        <v>0.0017162710781383158</v>
      </c>
      <c r="AR15" s="486">
        <f t="shared" si="16"/>
        <v>0.07366936808957215</v>
      </c>
      <c r="AS15" s="479">
        <f t="shared" si="17"/>
        <v>0.05704303650398659</v>
      </c>
      <c r="AT15" s="479">
        <f t="shared" si="18"/>
        <v>0.04605540581939445</v>
      </c>
      <c r="AU15" s="479">
        <f t="shared" si="19"/>
        <v>0.03714466289885857</v>
      </c>
      <c r="AV15" s="479">
        <f t="shared" si="20"/>
        <v>0.0248953922023078</v>
      </c>
      <c r="AW15" s="479">
        <f t="shared" si="21"/>
        <v>0.016068889655754908</v>
      </c>
      <c r="AX15" s="479">
        <f t="shared" si="22"/>
        <v>0.012961009347428028</v>
      </c>
      <c r="AY15" s="508">
        <v>0</v>
      </c>
      <c r="AZ15" s="502">
        <v>0</v>
      </c>
      <c r="BA15" s="502">
        <v>0</v>
      </c>
      <c r="BB15" s="502">
        <v>0</v>
      </c>
      <c r="BC15" s="502">
        <v>0</v>
      </c>
      <c r="BD15" s="503">
        <v>0</v>
      </c>
      <c r="BE15" s="503">
        <v>0</v>
      </c>
      <c r="BF15" s="486">
        <f t="shared" si="23"/>
        <v>0</v>
      </c>
      <c r="BG15" s="479">
        <f t="shared" si="24"/>
        <v>0</v>
      </c>
      <c r="BH15" s="479">
        <f t="shared" si="25"/>
        <v>0</v>
      </c>
      <c r="BI15" s="479">
        <f t="shared" si="26"/>
        <v>0</v>
      </c>
      <c r="BJ15" s="479">
        <f t="shared" si="27"/>
        <v>0</v>
      </c>
      <c r="BK15" s="479">
        <f t="shared" si="28"/>
        <v>0</v>
      </c>
      <c r="BL15" s="500">
        <f t="shared" si="29"/>
        <v>0</v>
      </c>
      <c r="BM15" s="483">
        <f t="shared" si="30"/>
        <v>0.19639166129377134</v>
      </c>
      <c r="BN15" s="483">
        <f t="shared" si="31"/>
        <v>0.15856269607592816</v>
      </c>
      <c r="BO15" s="483">
        <f t="shared" si="32"/>
        <v>0.12788418187370032</v>
      </c>
      <c r="BP15" s="483">
        <f t="shared" si="33"/>
        <v>0.08571155627084356</v>
      </c>
      <c r="BQ15" s="483">
        <f t="shared" si="34"/>
        <v>0.05532307058056866</v>
      </c>
      <c r="BR15" s="483">
        <f t="shared" si="35"/>
        <v>0.04462304803159621</v>
      </c>
      <c r="BS15" s="486">
        <f t="shared" si="36"/>
        <v>0.3226096269674146</v>
      </c>
      <c r="BT15" s="479">
        <f t="shared" si="37"/>
        <v>0.21585813074023635</v>
      </c>
      <c r="BU15" s="479">
        <f t="shared" si="38"/>
        <v>0.15935507230681736</v>
      </c>
      <c r="BV15" s="479">
        <f t="shared" si="39"/>
        <v>0.09518384205901255</v>
      </c>
      <c r="BW15" s="479">
        <f t="shared" si="40"/>
        <v>0.05577708101898021</v>
      </c>
      <c r="BX15" s="500">
        <f t="shared" si="41"/>
        <v>0.0427469612232038</v>
      </c>
      <c r="BY15" s="479">
        <f t="shared" si="49"/>
        <v>-18.112467527179575</v>
      </c>
      <c r="BZ15" s="479">
        <f t="shared" si="42"/>
        <v>-17.737517535269205</v>
      </c>
      <c r="CA15" s="479">
        <f t="shared" si="43"/>
        <v>-13.962723960247011</v>
      </c>
      <c r="CB15" s="479">
        <f t="shared" si="44"/>
        <v>-10.784818967243627</v>
      </c>
      <c r="CC15" s="479">
        <f t="shared" si="45"/>
        <v>-5.8475489902045235</v>
      </c>
      <c r="CD15" s="479">
        <f t="shared" si="46"/>
        <v>-2.132522133421954</v>
      </c>
      <c r="CE15" s="500">
        <f t="shared" si="47"/>
        <v>-0.813389803175682</v>
      </c>
      <c r="CF15" s="479">
        <f t="shared" si="50"/>
        <v>-18.83469042100732</v>
      </c>
      <c r="CG15" s="479">
        <f t="shared" si="51"/>
        <v>-14.826403001565371</v>
      </c>
      <c r="CH15" s="479">
        <f t="shared" si="52"/>
        <v>-11.451925337959006</v>
      </c>
      <c r="CI15" s="479">
        <f t="shared" si="53"/>
        <v>-6.2092553105687225</v>
      </c>
      <c r="CJ15" s="479">
        <f t="shared" si="54"/>
        <v>-2.2644315428629667</v>
      </c>
      <c r="CK15" s="479">
        <f t="shared" si="55"/>
        <v>-0.8637028887473082</v>
      </c>
      <c r="CL15" s="12">
        <f t="shared" si="56"/>
        <v>2009</v>
      </c>
      <c r="CM15" s="132">
        <f t="shared" si="57"/>
        <v>-15.827604602236763</v>
      </c>
      <c r="CN15" s="12"/>
      <c r="CO15" s="12"/>
      <c r="CQ15" s="584">
        <f t="shared" si="58"/>
        <v>-10.784818967243627</v>
      </c>
      <c r="CR15" s="216">
        <f t="shared" si="59"/>
        <v>0.15552683964793862</v>
      </c>
      <c r="CS15" s="643">
        <f t="shared" si="63"/>
        <v>5.52573861843202</v>
      </c>
      <c r="CT15" s="644">
        <f t="shared" si="60"/>
        <v>0.8594006640452987</v>
      </c>
      <c r="CU15" s="584">
        <f t="shared" si="64"/>
        <v>0.14323344400754978</v>
      </c>
      <c r="CV15" s="584">
        <f t="shared" si="61"/>
        <v>0.7877839420415238</v>
      </c>
      <c r="CW15" s="584">
        <f t="shared" si="62"/>
        <v>0.07161672200377489</v>
      </c>
    </row>
    <row r="16" spans="1:101" ht="12.75">
      <c r="A16" s="459">
        <v>2010</v>
      </c>
      <c r="B16" s="460">
        <v>5.34626657485962</v>
      </c>
      <c r="C16" s="460">
        <v>5.2158698291313375</v>
      </c>
      <c r="D16" s="488">
        <f t="shared" si="1"/>
        <v>9.34</v>
      </c>
      <c r="E16" s="461">
        <f t="shared" si="1"/>
        <v>7.34</v>
      </c>
      <c r="F16" s="461">
        <f t="shared" si="1"/>
        <v>6.5</v>
      </c>
      <c r="G16" s="461">
        <f t="shared" si="1"/>
        <v>5.34</v>
      </c>
      <c r="H16" s="460">
        <f t="shared" si="1"/>
        <v>4.22</v>
      </c>
      <c r="I16" s="470">
        <f t="shared" si="1"/>
        <v>3.5</v>
      </c>
      <c r="J16" s="489">
        <v>0.0037</v>
      </c>
      <c r="K16" s="490">
        <v>0.1043</v>
      </c>
      <c r="L16" s="492">
        <v>0.234</v>
      </c>
      <c r="M16" s="491">
        <v>0.493</v>
      </c>
      <c r="N16" s="493">
        <v>0.7523</v>
      </c>
      <c r="O16" s="493">
        <v>0.8803</v>
      </c>
      <c r="P16" s="504">
        <v>0.4112771742930148</v>
      </c>
      <c r="Q16" s="599">
        <v>0.33591225766231586</v>
      </c>
      <c r="R16" s="600">
        <v>0.2669034953437657</v>
      </c>
      <c r="S16" s="600">
        <v>0.21093880578177857</v>
      </c>
      <c r="T16" s="600">
        <v>0.134006204537798</v>
      </c>
      <c r="U16" s="601">
        <v>0.07857059391126957</v>
      </c>
      <c r="V16" s="601">
        <v>0.05905128354597099</v>
      </c>
      <c r="W16" s="498">
        <v>25.390283379032585</v>
      </c>
      <c r="X16" s="603">
        <v>25.390283379032585</v>
      </c>
      <c r="Y16" s="603">
        <v>25.390283379032585</v>
      </c>
      <c r="Z16" s="603">
        <v>25.390283379032585</v>
      </c>
      <c r="AA16" s="603">
        <v>25.390283379032585</v>
      </c>
      <c r="AB16" s="603">
        <v>25.390283379032585</v>
      </c>
      <c r="AC16" s="603">
        <v>25.390283379032585</v>
      </c>
      <c r="AD16" s="486">
        <f t="shared" si="2"/>
        <v>22.62387055925595</v>
      </c>
      <c r="AE16" s="479">
        <f t="shared" si="3"/>
        <v>22.426658279590914</v>
      </c>
      <c r="AF16" s="479">
        <f t="shared" si="4"/>
        <v>21.077302767825213</v>
      </c>
      <c r="AG16" s="479">
        <f t="shared" si="5"/>
        <v>19.73602397784916</v>
      </c>
      <c r="AH16" s="479">
        <f t="shared" si="6"/>
        <v>17.094279860385964</v>
      </c>
      <c r="AI16" s="479">
        <f t="shared" si="7"/>
        <v>13.829610090944215</v>
      </c>
      <c r="AJ16" s="500">
        <f t="shared" si="8"/>
        <v>11.412068530723243</v>
      </c>
      <c r="AK16" s="480">
        <f t="shared" si="9"/>
        <v>0.013006868257211094</v>
      </c>
      <c r="AL16" s="480">
        <f t="shared" si="10"/>
        <v>0.010623411058264259</v>
      </c>
      <c r="AM16" s="480">
        <f t="shared" si="11"/>
        <v>0.008440970757234842</v>
      </c>
      <c r="AN16" s="480">
        <f t="shared" si="12"/>
        <v>0.0066710564763370825</v>
      </c>
      <c r="AO16" s="480">
        <f t="shared" si="13"/>
        <v>0.004238020383864579</v>
      </c>
      <c r="AP16" s="480">
        <f t="shared" si="14"/>
        <v>0.0024848385171179497</v>
      </c>
      <c r="AQ16" s="480">
        <f t="shared" si="15"/>
        <v>0.0018675295239080007</v>
      </c>
      <c r="AR16" s="486">
        <f t="shared" si="16"/>
        <v>0.09271758000950703</v>
      </c>
      <c r="AS16" s="479">
        <f t="shared" si="17"/>
        <v>0.07572744993572303</v>
      </c>
      <c r="AT16" s="479">
        <f t="shared" si="18"/>
        <v>0.06017023975836284</v>
      </c>
      <c r="AU16" s="479">
        <f t="shared" si="19"/>
        <v>0.04755366167792232</v>
      </c>
      <c r="AV16" s="479">
        <f t="shared" si="20"/>
        <v>0.03021011562910525</v>
      </c>
      <c r="AW16" s="479">
        <f t="shared" si="21"/>
        <v>0.017712812143988583</v>
      </c>
      <c r="AX16" s="479">
        <f t="shared" si="22"/>
        <v>0.013312414228310457</v>
      </c>
      <c r="AY16" s="508">
        <v>0</v>
      </c>
      <c r="AZ16" s="502">
        <v>0</v>
      </c>
      <c r="BA16" s="502">
        <v>0</v>
      </c>
      <c r="BB16" s="502">
        <v>0</v>
      </c>
      <c r="BC16" s="502">
        <v>0</v>
      </c>
      <c r="BD16" s="503">
        <v>0</v>
      </c>
      <c r="BE16" s="503">
        <v>0</v>
      </c>
      <c r="BF16" s="486">
        <f t="shared" si="23"/>
        <v>0</v>
      </c>
      <c r="BG16" s="479">
        <f t="shared" si="24"/>
        <v>0</v>
      </c>
      <c r="BH16" s="479">
        <f t="shared" si="25"/>
        <v>0</v>
      </c>
      <c r="BI16" s="479">
        <f t="shared" si="26"/>
        <v>0</v>
      </c>
      <c r="BJ16" s="479">
        <f t="shared" si="27"/>
        <v>0</v>
      </c>
      <c r="BK16" s="479">
        <f t="shared" si="28"/>
        <v>0</v>
      </c>
      <c r="BL16" s="500">
        <f t="shared" si="29"/>
        <v>0</v>
      </c>
      <c r="BM16" s="483">
        <f t="shared" si="30"/>
        <v>0.2762086875148707</v>
      </c>
      <c r="BN16" s="483">
        <f t="shared" si="31"/>
        <v>0.21946523968810586</v>
      </c>
      <c r="BO16" s="483">
        <f t="shared" si="32"/>
        <v>0.17344746838476416</v>
      </c>
      <c r="BP16" s="483">
        <f t="shared" si="33"/>
        <v>0.11018852998047905</v>
      </c>
      <c r="BQ16" s="483">
        <f t="shared" si="34"/>
        <v>0.0646058014450667</v>
      </c>
      <c r="BR16" s="483">
        <f t="shared" si="35"/>
        <v>0.04855576762160802</v>
      </c>
      <c r="BS16" s="486">
        <f t="shared" si="36"/>
        <v>0.4537238549606266</v>
      </c>
      <c r="BT16" s="479">
        <f t="shared" si="37"/>
        <v>0.2987673492814956</v>
      </c>
      <c r="BU16" s="479">
        <f t="shared" si="38"/>
        <v>0.21613098243210238</v>
      </c>
      <c r="BV16" s="479">
        <f t="shared" si="39"/>
        <v>0.1223658522922473</v>
      </c>
      <c r="BW16" s="479">
        <f t="shared" si="40"/>
        <v>0.06513599089279967</v>
      </c>
      <c r="BX16" s="500">
        <f t="shared" si="41"/>
        <v>0.04651433748349275</v>
      </c>
      <c r="BY16" s="479">
        <f t="shared" si="49"/>
        <v>-22.531152979246443</v>
      </c>
      <c r="BZ16" s="479">
        <f t="shared" si="42"/>
        <v>-22.26627341575735</v>
      </c>
      <c r="CA16" s="479">
        <f t="shared" si="43"/>
        <v>-18.78760841485262</v>
      </c>
      <c r="CB16" s="479">
        <f t="shared" si="44"/>
        <v>-15.019666055465423</v>
      </c>
      <c r="CC16" s="479">
        <f t="shared" si="45"/>
        <v>-8.5762634084065</v>
      </c>
      <c r="CD16" s="479">
        <f t="shared" si="46"/>
        <v>-3.3588798014342407</v>
      </c>
      <c r="CE16" s="500">
        <f t="shared" si="47"/>
        <v>-1.3117656176125432</v>
      </c>
      <c r="CF16" s="479">
        <f t="shared" si="50"/>
        <v>-23.643577280834517</v>
      </c>
      <c r="CG16" s="479">
        <f t="shared" si="51"/>
        <v>-19.94973578130366</v>
      </c>
      <c r="CH16" s="479">
        <f t="shared" si="52"/>
        <v>-15.948723366677697</v>
      </c>
      <c r="CI16" s="479">
        <f t="shared" si="53"/>
        <v>-9.106757241827184</v>
      </c>
      <c r="CJ16" s="479">
        <f t="shared" si="54"/>
        <v>-3.5666468600014434</v>
      </c>
      <c r="CK16" s="479">
        <f t="shared" si="55"/>
        <v>-1.3929062656894922</v>
      </c>
      <c r="CL16" s="12">
        <f t="shared" si="56"/>
        <v>2010</v>
      </c>
      <c r="CM16" s="132">
        <f t="shared" si="57"/>
        <v>-19.688470316171237</v>
      </c>
      <c r="CN16" s="12"/>
      <c r="CO16" s="12"/>
      <c r="CQ16" s="584">
        <f t="shared" si="58"/>
        <v>-15.019666055465423</v>
      </c>
      <c r="CR16" s="216">
        <f t="shared" si="59"/>
        <v>0.21093880578177857</v>
      </c>
      <c r="CS16" s="643">
        <f t="shared" si="63"/>
        <v>5.2158698291313375</v>
      </c>
      <c r="CT16" s="644">
        <f t="shared" si="60"/>
        <v>1.1002293528701736</v>
      </c>
      <c r="CU16" s="584">
        <f t="shared" si="64"/>
        <v>0.1833715588116956</v>
      </c>
      <c r="CV16" s="584">
        <f t="shared" si="61"/>
        <v>1.0085435734643258</v>
      </c>
      <c r="CW16" s="584">
        <f t="shared" si="62"/>
        <v>0.09168577940584788</v>
      </c>
    </row>
    <row r="17" spans="1:101" ht="12.75">
      <c r="A17" s="459">
        <v>2011</v>
      </c>
      <c r="B17" s="460">
        <v>5.101605243682861</v>
      </c>
      <c r="C17" s="460">
        <v>4.977175847495475</v>
      </c>
      <c r="D17" s="488">
        <f t="shared" si="1"/>
        <v>9.34</v>
      </c>
      <c r="E17" s="461">
        <f t="shared" si="1"/>
        <v>7.34</v>
      </c>
      <c r="F17" s="461">
        <f t="shared" si="1"/>
        <v>6.5</v>
      </c>
      <c r="G17" s="461">
        <f t="shared" si="1"/>
        <v>5.34</v>
      </c>
      <c r="H17" s="460">
        <f t="shared" si="1"/>
        <v>4.22</v>
      </c>
      <c r="I17" s="470">
        <f t="shared" si="1"/>
        <v>3.5</v>
      </c>
      <c r="J17" s="489">
        <v>0.0033</v>
      </c>
      <c r="K17" s="490">
        <v>0.0657</v>
      </c>
      <c r="L17" s="492">
        <v>0.1797</v>
      </c>
      <c r="M17" s="491">
        <v>0.4453</v>
      </c>
      <c r="N17" s="493">
        <v>0.7213</v>
      </c>
      <c r="O17" s="493">
        <v>0.8413</v>
      </c>
      <c r="P17" s="504">
        <v>0.5140964678662685</v>
      </c>
      <c r="Q17" s="599">
        <v>0.43298204108966815</v>
      </c>
      <c r="R17" s="600">
        <v>0.3409703579982681</v>
      </c>
      <c r="S17" s="600">
        <v>0.26635077191561857</v>
      </c>
      <c r="T17" s="600">
        <v>0.16377397025697776</v>
      </c>
      <c r="U17" s="601">
        <v>0.0898598227549399</v>
      </c>
      <c r="V17" s="601">
        <v>0.06383407560120842</v>
      </c>
      <c r="W17" s="498">
        <v>31.515190156753892</v>
      </c>
      <c r="X17" s="603">
        <v>31.515190156753892</v>
      </c>
      <c r="Y17" s="603">
        <v>31.515190156753892</v>
      </c>
      <c r="Z17" s="603">
        <v>31.515190156753892</v>
      </c>
      <c r="AA17" s="603">
        <v>31.515190156753892</v>
      </c>
      <c r="AB17" s="603">
        <v>31.515190156753892</v>
      </c>
      <c r="AC17" s="603">
        <v>31.515190156753892</v>
      </c>
      <c r="AD17" s="486">
        <f t="shared" si="2"/>
        <v>26.79634322655969</v>
      </c>
      <c r="AE17" s="479">
        <f t="shared" si="3"/>
        <v>26.56275950265377</v>
      </c>
      <c r="AF17" s="479">
        <f t="shared" si="4"/>
        <v>24.96454520359207</v>
      </c>
      <c r="AG17" s="479">
        <f t="shared" si="5"/>
        <v>23.37589719906225</v>
      </c>
      <c r="AH17" s="479">
        <f t="shared" si="6"/>
        <v>20.24694179318333</v>
      </c>
      <c r="AI17" s="479">
        <f t="shared" si="7"/>
        <v>16.380175872904314</v>
      </c>
      <c r="AJ17" s="500">
        <f t="shared" si="8"/>
        <v>13.5167722284006</v>
      </c>
      <c r="AK17" s="480">
        <f t="shared" si="9"/>
        <v>0.016258585321513867</v>
      </c>
      <c r="AL17" s="480">
        <f t="shared" si="10"/>
        <v>0.013693296682152693</v>
      </c>
      <c r="AM17" s="480">
        <f t="shared" si="11"/>
        <v>0.010783376280780141</v>
      </c>
      <c r="AN17" s="480">
        <f t="shared" si="12"/>
        <v>0.008423490572916463</v>
      </c>
      <c r="AO17" s="480">
        <f t="shared" si="13"/>
        <v>0.0051794424496197896</v>
      </c>
      <c r="AP17" s="480">
        <f t="shared" si="14"/>
        <v>0.0028418666272909516</v>
      </c>
      <c r="AQ17" s="480">
        <f t="shared" si="15"/>
        <v>0.0020187879696776856</v>
      </c>
      <c r="AR17" s="486">
        <f t="shared" si="16"/>
        <v>0.1105931788414671</v>
      </c>
      <c r="AS17" s="479">
        <f t="shared" si="17"/>
        <v>0.09314372554263373</v>
      </c>
      <c r="AT17" s="479">
        <f t="shared" si="18"/>
        <v>0.0733500386381778</v>
      </c>
      <c r="AU17" s="479">
        <f t="shared" si="19"/>
        <v>0.05729776490253836</v>
      </c>
      <c r="AV17" s="479">
        <f t="shared" si="20"/>
        <v>0.03523129434711189</v>
      </c>
      <c r="AW17" s="479">
        <f t="shared" si="21"/>
        <v>0.019330775583513125</v>
      </c>
      <c r="AX17" s="479">
        <f t="shared" si="22"/>
        <v>0.013732079055988741</v>
      </c>
      <c r="AY17" s="508">
        <v>0</v>
      </c>
      <c r="AZ17" s="502">
        <v>0</v>
      </c>
      <c r="BA17" s="502">
        <v>0</v>
      </c>
      <c r="BB17" s="502">
        <v>0</v>
      </c>
      <c r="BC17" s="502">
        <v>0</v>
      </c>
      <c r="BD17" s="503">
        <v>0</v>
      </c>
      <c r="BE17" s="503">
        <v>0</v>
      </c>
      <c r="BF17" s="486">
        <f t="shared" si="23"/>
        <v>0</v>
      </c>
      <c r="BG17" s="479">
        <f t="shared" si="24"/>
        <v>0</v>
      </c>
      <c r="BH17" s="479">
        <f t="shared" si="25"/>
        <v>0</v>
      </c>
      <c r="BI17" s="479">
        <f t="shared" si="26"/>
        <v>0</v>
      </c>
      <c r="BJ17" s="479">
        <f t="shared" si="27"/>
        <v>0</v>
      </c>
      <c r="BK17" s="479">
        <f t="shared" si="28"/>
        <v>0</v>
      </c>
      <c r="BL17" s="500">
        <f t="shared" si="29"/>
        <v>0</v>
      </c>
      <c r="BM17" s="483">
        <f t="shared" si="30"/>
        <v>0.35602571373597003</v>
      </c>
      <c r="BN17" s="483">
        <f t="shared" si="31"/>
        <v>0.28036778330028367</v>
      </c>
      <c r="BO17" s="483">
        <f t="shared" si="32"/>
        <v>0.21901075489582805</v>
      </c>
      <c r="BP17" s="483">
        <f t="shared" si="33"/>
        <v>0.13466550369011454</v>
      </c>
      <c r="BQ17" s="483">
        <f t="shared" si="34"/>
        <v>0.07388853230956474</v>
      </c>
      <c r="BR17" s="483">
        <f t="shared" si="35"/>
        <v>0.052488487211619826</v>
      </c>
      <c r="BS17" s="486">
        <f t="shared" si="36"/>
        <v>0.5848380829538385</v>
      </c>
      <c r="BT17" s="479">
        <f t="shared" si="37"/>
        <v>0.38167656782275505</v>
      </c>
      <c r="BU17" s="479">
        <f t="shared" si="38"/>
        <v>0.2729068925573875</v>
      </c>
      <c r="BV17" s="479">
        <f t="shared" si="39"/>
        <v>0.14954786252548208</v>
      </c>
      <c r="BW17" s="479">
        <f t="shared" si="40"/>
        <v>0.07449490076661915</v>
      </c>
      <c r="BX17" s="500">
        <f t="shared" si="41"/>
        <v>0.05028171374378169</v>
      </c>
      <c r="BY17" s="479">
        <f t="shared" si="49"/>
        <v>-26.685750047718223</v>
      </c>
      <c r="BZ17" s="479">
        <f t="shared" si="42"/>
        <v>-26.38002870507863</v>
      </c>
      <c r="CA17" s="479">
        <f t="shared" si="43"/>
        <v>-23.225948394571937</v>
      </c>
      <c r="CB17" s="479">
        <f t="shared" si="44"/>
        <v>-19.068909338895665</v>
      </c>
      <c r="CC17" s="479">
        <f t="shared" si="45"/>
        <v>-11.129153655149082</v>
      </c>
      <c r="CD17" s="479">
        <f t="shared" si="46"/>
        <v>-4.492091068271956</v>
      </c>
      <c r="CE17" s="500">
        <f t="shared" si="47"/>
        <v>-2.089077667818542</v>
      </c>
      <c r="CF17" s="479">
        <f t="shared" si="50"/>
        <v>-28.01179324950568</v>
      </c>
      <c r="CG17" s="479">
        <f t="shared" si="51"/>
        <v>-24.662613969301148</v>
      </c>
      <c r="CH17" s="479">
        <f t="shared" si="52"/>
        <v>-20.248436871180473</v>
      </c>
      <c r="CI17" s="479">
        <f t="shared" si="53"/>
        <v>-11.817559211753228</v>
      </c>
      <c r="CJ17" s="479">
        <f t="shared" si="54"/>
        <v>-4.769954106917265</v>
      </c>
      <c r="CK17" s="479">
        <f t="shared" si="55"/>
        <v>-2.218299773943255</v>
      </c>
      <c r="CL17" s="12">
        <f t="shared" si="56"/>
        <v>2011</v>
      </c>
      <c r="CM17" s="132">
        <f t="shared" si="57"/>
        <v>-23.31859943415971</v>
      </c>
      <c r="CN17" s="12"/>
      <c r="CO17" s="12"/>
      <c r="CQ17" s="584">
        <f t="shared" si="58"/>
        <v>-19.068909338895665</v>
      </c>
      <c r="CR17" s="216">
        <f t="shared" si="59"/>
        <v>0.26635077191561857</v>
      </c>
      <c r="CS17" s="643">
        <f t="shared" si="63"/>
        <v>4.977175847495475</v>
      </c>
      <c r="CT17" s="644">
        <f t="shared" si="60"/>
        <v>1.3256746289401926</v>
      </c>
      <c r="CU17" s="584">
        <f t="shared" si="64"/>
        <v>0.22094577149003208</v>
      </c>
      <c r="CV17" s="584">
        <f t="shared" si="61"/>
        <v>1.2152017431951765</v>
      </c>
      <c r="CW17" s="584">
        <f t="shared" si="62"/>
        <v>0.11047288574501613</v>
      </c>
    </row>
    <row r="18" spans="1:101" ht="12.75">
      <c r="A18" s="459">
        <v>2012</v>
      </c>
      <c r="B18" s="460">
        <v>5.04159004211426</v>
      </c>
      <c r="C18" s="460">
        <v>4.9186244313309855</v>
      </c>
      <c r="D18" s="488">
        <f t="shared" si="1"/>
        <v>9.34</v>
      </c>
      <c r="E18" s="461">
        <f t="shared" si="1"/>
        <v>7.34</v>
      </c>
      <c r="F18" s="461">
        <f t="shared" si="1"/>
        <v>6.5</v>
      </c>
      <c r="G18" s="461">
        <f t="shared" si="1"/>
        <v>5.34</v>
      </c>
      <c r="H18" s="460">
        <f t="shared" si="1"/>
        <v>4.22</v>
      </c>
      <c r="I18" s="470">
        <f t="shared" si="1"/>
        <v>3.5</v>
      </c>
      <c r="J18" s="489">
        <v>0.003</v>
      </c>
      <c r="K18" s="490">
        <v>0.0467</v>
      </c>
      <c r="L18" s="492">
        <v>0.1563</v>
      </c>
      <c r="M18" s="491">
        <v>0.3947</v>
      </c>
      <c r="N18" s="493">
        <v>0.6833</v>
      </c>
      <c r="O18" s="493">
        <v>0.8227</v>
      </c>
      <c r="P18" s="504">
        <v>1.0859241805541588</v>
      </c>
      <c r="Q18" s="599">
        <v>0.7382156736283004</v>
      </c>
      <c r="R18" s="600">
        <v>0.6232010697640503</v>
      </c>
      <c r="S18" s="600">
        <v>0.5299265871607385</v>
      </c>
      <c r="T18" s="600">
        <v>0.40170558508743753</v>
      </c>
      <c r="U18" s="601">
        <v>0.3093129007098901</v>
      </c>
      <c r="V18" s="601">
        <v>0.2767807167677258</v>
      </c>
      <c r="W18" s="498">
        <v>31.515190156753892</v>
      </c>
      <c r="X18" s="603">
        <v>31.515190156753892</v>
      </c>
      <c r="Y18" s="603">
        <v>31.515190156753892</v>
      </c>
      <c r="Z18" s="603">
        <v>31.515190156753892</v>
      </c>
      <c r="AA18" s="603">
        <v>31.515190156753892</v>
      </c>
      <c r="AB18" s="603">
        <v>31.515190156753892</v>
      </c>
      <c r="AC18" s="603">
        <v>31.515190156753892</v>
      </c>
      <c r="AD18" s="486">
        <f t="shared" si="2"/>
        <v>26.48111147827129</v>
      </c>
      <c r="AE18" s="479">
        <f t="shared" si="3"/>
        <v>26.2502756295152</v>
      </c>
      <c r="AF18" s="479">
        <f t="shared" si="4"/>
        <v>24.670862697616666</v>
      </c>
      <c r="AG18" s="479">
        <f t="shared" si="5"/>
        <v>23.100903522515875</v>
      </c>
      <c r="AH18" s="479">
        <f t="shared" si="6"/>
        <v>20.008757097421093</v>
      </c>
      <c r="AI18" s="479">
        <f t="shared" si="7"/>
        <v>16.18747974888359</v>
      </c>
      <c r="AJ18" s="500">
        <f t="shared" si="8"/>
        <v>13.357761138538475</v>
      </c>
      <c r="AK18" s="480">
        <f t="shared" si="9"/>
        <v>0.034342953211706474</v>
      </c>
      <c r="AL18" s="480">
        <f t="shared" si="10"/>
        <v>0.023346479241881733</v>
      </c>
      <c r="AM18" s="480">
        <f t="shared" si="11"/>
        <v>0.019709078740166044</v>
      </c>
      <c r="AN18" s="480">
        <f t="shared" si="12"/>
        <v>0.01675922160533645</v>
      </c>
      <c r="AO18" s="480">
        <f t="shared" si="13"/>
        <v>0.012704161451215609</v>
      </c>
      <c r="AP18" s="480">
        <f t="shared" si="14"/>
        <v>0.009782191673304557</v>
      </c>
      <c r="AQ18" s="480">
        <f t="shared" si="15"/>
        <v>0.008753343351287976</v>
      </c>
      <c r="AR18" s="486">
        <f t="shared" si="16"/>
        <v>0.23085745457191373</v>
      </c>
      <c r="AS18" s="479">
        <f t="shared" si="17"/>
        <v>0.1569378363523976</v>
      </c>
      <c r="AT18" s="479">
        <f t="shared" si="18"/>
        <v>0.132486793487556</v>
      </c>
      <c r="AU18" s="479">
        <f t="shared" si="19"/>
        <v>0.11265749967873387</v>
      </c>
      <c r="AV18" s="479">
        <f t="shared" si="20"/>
        <v>0.08539889848781394</v>
      </c>
      <c r="AW18" s="479">
        <f t="shared" si="21"/>
        <v>0.06575706684024704</v>
      </c>
      <c r="AX18" s="479">
        <f t="shared" si="22"/>
        <v>0.058841024900080696</v>
      </c>
      <c r="AY18" s="508">
        <v>0.4701935651450078</v>
      </c>
      <c r="AZ18" s="502">
        <v>0.20792332918342835</v>
      </c>
      <c r="BA18" s="502">
        <v>0.20792332918342835</v>
      </c>
      <c r="BB18" s="502">
        <v>0.20792332918342835</v>
      </c>
      <c r="BC18" s="502">
        <v>0.20792332918342835</v>
      </c>
      <c r="BD18" s="503">
        <v>0.20792332918342835</v>
      </c>
      <c r="BE18" s="503">
        <v>0.20792332918342835</v>
      </c>
      <c r="BF18" s="486">
        <f t="shared" si="23"/>
        <v>0.39508719931687897</v>
      </c>
      <c r="BG18" s="479">
        <f t="shared" si="24"/>
        <v>0.17471069765573627</v>
      </c>
      <c r="BH18" s="479">
        <f t="shared" si="25"/>
        <v>0.17471069765573627</v>
      </c>
      <c r="BI18" s="479">
        <f t="shared" si="26"/>
        <v>0.17471069765573627</v>
      </c>
      <c r="BJ18" s="479">
        <f t="shared" si="27"/>
        <v>0.17471069765573627</v>
      </c>
      <c r="BK18" s="479">
        <f t="shared" si="28"/>
        <v>0.17471069765573627</v>
      </c>
      <c r="BL18" s="500">
        <f t="shared" si="29"/>
        <v>0.17471069765573627</v>
      </c>
      <c r="BM18" s="483">
        <f t="shared" si="30"/>
        <v>0.3990851311054967</v>
      </c>
      <c r="BN18" s="483">
        <f t="shared" si="31"/>
        <v>0.30451271806088875</v>
      </c>
      <c r="BO18" s="483">
        <f t="shared" si="32"/>
        <v>0.22781643255531928</v>
      </c>
      <c r="BP18" s="483">
        <f t="shared" si="33"/>
        <v>0.12238486854817746</v>
      </c>
      <c r="BQ18" s="483">
        <f t="shared" si="34"/>
        <v>0.046413654322490144</v>
      </c>
      <c r="BR18" s="483">
        <f t="shared" si="35"/>
        <v>0.019663597950059036</v>
      </c>
      <c r="BS18" s="486">
        <f t="shared" si="36"/>
        <v>0.65557113996606</v>
      </c>
      <c r="BT18" s="479">
        <f t="shared" si="37"/>
        <v>0.4145460927062967</v>
      </c>
      <c r="BU18" s="479">
        <f t="shared" si="38"/>
        <v>0.2838795506264252</v>
      </c>
      <c r="BV18" s="479">
        <f t="shared" si="39"/>
        <v>0.13591005116617383</v>
      </c>
      <c r="BW18" s="479">
        <f t="shared" si="40"/>
        <v>0.046794549369097285</v>
      </c>
      <c r="BX18" s="500">
        <f t="shared" si="41"/>
        <v>0.018836881301444706</v>
      </c>
      <c r="BY18" s="479">
        <f t="shared" si="49"/>
        <v>-25.855166824382497</v>
      </c>
      <c r="BZ18" s="479">
        <f t="shared" si="42"/>
        <v>-25.837909555198625</v>
      </c>
      <c r="CA18" s="479">
        <f t="shared" si="43"/>
        <v>-23.19217661596529</v>
      </c>
      <c r="CB18" s="479">
        <f t="shared" si="44"/>
        <v>-19.158493730849266</v>
      </c>
      <c r="CC18" s="479">
        <f t="shared" si="45"/>
        <v>-11.797547377730147</v>
      </c>
      <c r="CD18" s="479">
        <f t="shared" si="46"/>
        <v>-4.8541323563915455</v>
      </c>
      <c r="CE18" s="500">
        <f t="shared" si="47"/>
        <v>-2.119282225060356</v>
      </c>
      <c r="CF18" s="479">
        <f t="shared" si="50"/>
        <v>-27.436140746894377</v>
      </c>
      <c r="CG18" s="479">
        <f t="shared" si="51"/>
        <v>-24.626753201650985</v>
      </c>
      <c r="CH18" s="479">
        <f t="shared" si="52"/>
        <v>-20.343562600338753</v>
      </c>
      <c r="CI18" s="479">
        <f t="shared" si="53"/>
        <v>-12.527297134161316</v>
      </c>
      <c r="CJ18" s="479">
        <f t="shared" si="54"/>
        <v>-5.154389841387798</v>
      </c>
      <c r="CK18" s="479">
        <f t="shared" si="55"/>
        <v>-2.2503726659825145</v>
      </c>
      <c r="CL18" s="12">
        <f t="shared" si="56"/>
        <v>2012</v>
      </c>
      <c r="CM18" s="132">
        <f t="shared" si="57"/>
        <v>-22.813535325181405</v>
      </c>
      <c r="CN18" s="12"/>
      <c r="CO18" s="12"/>
      <c r="CQ18" s="584">
        <f t="shared" si="58"/>
        <v>-19.158493730849266</v>
      </c>
      <c r="CR18" s="216">
        <f t="shared" si="59"/>
        <v>0.5299265871607385</v>
      </c>
      <c r="CS18" s="643">
        <f t="shared" si="63"/>
        <v>4.9186244313309855</v>
      </c>
      <c r="CT18" s="644">
        <f t="shared" si="60"/>
        <v>2.606509858420657</v>
      </c>
      <c r="CU18" s="584">
        <f t="shared" si="64"/>
        <v>0.4344183097367762</v>
      </c>
      <c r="CV18" s="584">
        <f t="shared" si="61"/>
        <v>2.3893007035522693</v>
      </c>
      <c r="CW18" s="584">
        <f t="shared" si="62"/>
        <v>0.21720915486838788</v>
      </c>
    </row>
    <row r="19" spans="1:101" ht="12.75">
      <c r="A19" s="459">
        <v>2013</v>
      </c>
      <c r="B19" s="460">
        <v>5.11849672317505</v>
      </c>
      <c r="C19" s="460">
        <v>4.993655339682976</v>
      </c>
      <c r="D19" s="488">
        <f t="shared" si="1"/>
        <v>9.34</v>
      </c>
      <c r="E19" s="461">
        <f t="shared" si="1"/>
        <v>7.34</v>
      </c>
      <c r="F19" s="461">
        <f t="shared" si="1"/>
        <v>6.5</v>
      </c>
      <c r="G19" s="461">
        <f t="shared" si="1"/>
        <v>5.34</v>
      </c>
      <c r="H19" s="460">
        <f t="shared" si="1"/>
        <v>4.22</v>
      </c>
      <c r="I19" s="470">
        <f t="shared" si="1"/>
        <v>3.5</v>
      </c>
      <c r="J19" s="489">
        <v>0.002</v>
      </c>
      <c r="K19" s="490">
        <v>0.06</v>
      </c>
      <c r="L19" s="492">
        <v>0.15</v>
      </c>
      <c r="M19" s="491">
        <v>0.4047</v>
      </c>
      <c r="N19" s="493">
        <v>0.6943</v>
      </c>
      <c r="O19" s="493">
        <v>0.83</v>
      </c>
      <c r="P19" s="504">
        <v>1.5549325996687955</v>
      </c>
      <c r="Q19" s="599">
        <v>1.180997802223914</v>
      </c>
      <c r="R19" s="600">
        <v>0.9610557753852274</v>
      </c>
      <c r="S19" s="600">
        <v>0.7826873068008752</v>
      </c>
      <c r="T19" s="600">
        <v>0.5374907306115178</v>
      </c>
      <c r="U19" s="601">
        <v>0.3608085217065561</v>
      </c>
      <c r="V19" s="601">
        <v>0.2985973395320407</v>
      </c>
      <c r="W19" s="498">
        <v>24.944955244958905</v>
      </c>
      <c r="X19" s="603">
        <v>24.944955244958905</v>
      </c>
      <c r="Y19" s="603">
        <v>24.944955244958905</v>
      </c>
      <c r="Z19" s="603">
        <v>24.944955244958905</v>
      </c>
      <c r="AA19" s="603">
        <v>24.944955244958905</v>
      </c>
      <c r="AB19" s="603">
        <v>24.944955244958905</v>
      </c>
      <c r="AC19" s="603">
        <v>24.944955244958905</v>
      </c>
      <c r="AD19" s="461">
        <f t="shared" si="2"/>
        <v>21.28011194684507</v>
      </c>
      <c r="AE19" s="513">
        <f t="shared" si="3"/>
        <v>21.09461321100442</v>
      </c>
      <c r="AF19" s="479">
        <f t="shared" si="4"/>
        <v>19.825403494158742</v>
      </c>
      <c r="AG19" s="479">
        <f t="shared" si="5"/>
        <v>18.563790777278086</v>
      </c>
      <c r="AH19" s="479">
        <f t="shared" si="6"/>
        <v>16.07895466546888</v>
      </c>
      <c r="AI19" s="479">
        <f t="shared" si="7"/>
        <v>13.008191951315244</v>
      </c>
      <c r="AJ19" s="500">
        <f t="shared" si="8"/>
        <v>10.734241748899272</v>
      </c>
      <c r="AK19" s="480">
        <f t="shared" si="9"/>
        <v>0.04917560403759631</v>
      </c>
      <c r="AL19" s="480">
        <f t="shared" si="10"/>
        <v>0.0373497091152408</v>
      </c>
      <c r="AM19" s="480">
        <f t="shared" si="11"/>
        <v>0.03039392079017164</v>
      </c>
      <c r="AN19" s="480">
        <f t="shared" si="12"/>
        <v>0.024752919253664615</v>
      </c>
      <c r="AO19" s="480">
        <f t="shared" si="13"/>
        <v>0.016998441828321244</v>
      </c>
      <c r="AP19" s="480">
        <f t="shared" si="14"/>
        <v>0.011410769187430616</v>
      </c>
      <c r="AQ19" s="480">
        <f t="shared" si="15"/>
        <v>0.009443306120557897</v>
      </c>
      <c r="AR19" s="461">
        <f t="shared" si="16"/>
        <v>0.335606890835454</v>
      </c>
      <c r="AS19" s="513">
        <f t="shared" si="17"/>
        <v>0.2548991516238684</v>
      </c>
      <c r="AT19" s="479">
        <f t="shared" si="18"/>
        <v>0.2074282452919141</v>
      </c>
      <c r="AU19" s="479">
        <f t="shared" si="19"/>
        <v>0.16893031478519857</v>
      </c>
      <c r="AV19" s="479">
        <f t="shared" si="20"/>
        <v>0.11600862506312533</v>
      </c>
      <c r="AW19" s="479">
        <f t="shared" si="21"/>
        <v>0.07787464625969391</v>
      </c>
      <c r="AX19" s="479">
        <f t="shared" si="22"/>
        <v>0.06444737524535266</v>
      </c>
      <c r="AY19" s="508">
        <v>0.9403871302900156</v>
      </c>
      <c r="AZ19" s="502">
        <v>0.6518243321118634</v>
      </c>
      <c r="BA19" s="502">
        <v>0.5466317660957517</v>
      </c>
      <c r="BB19" s="502">
        <v>0.4613227545510246</v>
      </c>
      <c r="BC19" s="502">
        <v>0.3440515926978104</v>
      </c>
      <c r="BD19" s="503">
        <v>0.2595490754152039</v>
      </c>
      <c r="BE19" s="503">
        <v>0.2297950807744581</v>
      </c>
      <c r="BF19" s="486">
        <f t="shared" si="23"/>
        <v>0.8022280741509056</v>
      </c>
      <c r="BG19" s="479">
        <f t="shared" si="24"/>
        <v>0.5560601180000564</v>
      </c>
      <c r="BH19" s="479">
        <f t="shared" si="25"/>
        <v>0.4663221505907492</v>
      </c>
      <c r="BI19" s="479">
        <f t="shared" si="26"/>
        <v>0.3935465012492512</v>
      </c>
      <c r="BJ19" s="479">
        <f t="shared" si="27"/>
        <v>0.29350449163781656</v>
      </c>
      <c r="BK19" s="479">
        <f t="shared" si="28"/>
        <v>0.22141684866930583</v>
      </c>
      <c r="BL19" s="500">
        <f t="shared" si="29"/>
        <v>0.19603422799096828</v>
      </c>
      <c r="BM19" s="483">
        <f t="shared" si="30"/>
        <v>0.3192681048843974</v>
      </c>
      <c r="BN19" s="483">
        <f t="shared" si="31"/>
        <v>0.24361017444871103</v>
      </c>
      <c r="BO19" s="483">
        <f t="shared" si="32"/>
        <v>0.1822531460442554</v>
      </c>
      <c r="BP19" s="483">
        <f t="shared" si="33"/>
        <v>0.09790789483854201</v>
      </c>
      <c r="BQ19" s="483">
        <f t="shared" si="34"/>
        <v>0.03713092345799213</v>
      </c>
      <c r="BR19" s="483">
        <f t="shared" si="35"/>
        <v>0.015730878360047218</v>
      </c>
      <c r="BS19" s="486">
        <f t="shared" si="36"/>
        <v>0.524456911972848</v>
      </c>
      <c r="BT19" s="479">
        <f t="shared" si="37"/>
        <v>0.3316368741650374</v>
      </c>
      <c r="BU19" s="479">
        <f t="shared" si="38"/>
        <v>0.22710364050114018</v>
      </c>
      <c r="BV19" s="479">
        <f t="shared" si="39"/>
        <v>0.1087280409329391</v>
      </c>
      <c r="BW19" s="479">
        <f t="shared" si="40"/>
        <v>0.03743563949527784</v>
      </c>
      <c r="BX19" s="500">
        <f t="shared" si="41"/>
        <v>0.015069505041155753</v>
      </c>
      <c r="BY19" s="479">
        <f t="shared" si="49"/>
        <v>-20.14227698185871</v>
      </c>
      <c r="BZ19" s="479">
        <f>-((1-J19)*AE19)+AS19+BG19+(J19*BS19)</f>
        <v>-20.240415801134542</v>
      </c>
      <c r="CA19" s="479">
        <f t="shared" si="43"/>
        <v>-17.94223067617665</v>
      </c>
      <c r="CB19" s="479">
        <f t="shared" si="44"/>
        <v>-15.182679798576753</v>
      </c>
      <c r="CC19" s="479">
        <f t="shared" si="45"/>
        <v>-9.11828635748712</v>
      </c>
      <c r="CD19" s="479">
        <f t="shared" si="46"/>
        <v>-3.651321220086498</v>
      </c>
      <c r="CE19" s="500">
        <f t="shared" si="47"/>
        <v>-1.5518318048923962</v>
      </c>
      <c r="CF19" s="479">
        <f t="shared" si="50"/>
        <v>-21.492408103265507</v>
      </c>
      <c r="CG19" s="479">
        <f t="shared" si="51"/>
        <v>-19.05206630951241</v>
      </c>
      <c r="CH19" s="479">
        <f t="shared" si="52"/>
        <v>-16.121820497083153</v>
      </c>
      <c r="CI19" s="479">
        <f t="shared" si="53"/>
        <v>-9.682307593037024</v>
      </c>
      <c r="CJ19" s="479">
        <f t="shared" si="54"/>
        <v>-3.877177551550771</v>
      </c>
      <c r="CK19" s="479">
        <f t="shared" si="55"/>
        <v>-1.6478220005986712</v>
      </c>
      <c r="CL19" s="12">
        <f t="shared" si="56"/>
        <v>2013</v>
      </c>
      <c r="CM19" s="132">
        <f t="shared" si="57"/>
        <v>-18.001313961243635</v>
      </c>
      <c r="CN19" s="12"/>
      <c r="CO19" s="12"/>
      <c r="CQ19" s="584">
        <f t="shared" si="58"/>
        <v>-15.182679798576753</v>
      </c>
      <c r="CR19" s="216">
        <f t="shared" si="59"/>
        <v>0.7826873068008752</v>
      </c>
      <c r="CS19" s="643">
        <f t="shared" si="63"/>
        <v>4.993655339682976</v>
      </c>
      <c r="CT19" s="644">
        <f t="shared" si="60"/>
        <v>3.908470648908278</v>
      </c>
      <c r="CU19" s="584">
        <f t="shared" si="64"/>
        <v>0.6514117748180464</v>
      </c>
      <c r="CV19" s="584">
        <f t="shared" si="61"/>
        <v>3.582764761499255</v>
      </c>
      <c r="CW19" s="584">
        <f t="shared" si="62"/>
        <v>0.3257058874090233</v>
      </c>
    </row>
    <row r="20" spans="1:101" ht="12.75">
      <c r="A20" s="459">
        <v>2014</v>
      </c>
      <c r="B20" s="460">
        <v>5.0262349319458</v>
      </c>
      <c r="C20" s="460">
        <v>4.903643836044684</v>
      </c>
      <c r="D20" s="488">
        <f t="shared" si="1"/>
        <v>9.34</v>
      </c>
      <c r="E20" s="461">
        <f t="shared" si="1"/>
        <v>7.34</v>
      </c>
      <c r="F20" s="461">
        <f t="shared" si="1"/>
        <v>6.5</v>
      </c>
      <c r="G20" s="461">
        <f t="shared" si="1"/>
        <v>5.34</v>
      </c>
      <c r="H20" s="460">
        <f t="shared" si="1"/>
        <v>4.22</v>
      </c>
      <c r="I20" s="470">
        <f t="shared" si="1"/>
        <v>3.5</v>
      </c>
      <c r="J20" s="489">
        <v>0.0023</v>
      </c>
      <c r="K20" s="490">
        <v>0.0553</v>
      </c>
      <c r="L20" s="492">
        <v>0.1373</v>
      </c>
      <c r="M20" s="491">
        <v>0.3763</v>
      </c>
      <c r="N20" s="493">
        <v>0.683</v>
      </c>
      <c r="O20" s="493">
        <v>0.8357</v>
      </c>
      <c r="P20" s="494">
        <v>2.023941018783432</v>
      </c>
      <c r="Q20" s="599">
        <v>1.6237799308195275</v>
      </c>
      <c r="R20" s="600">
        <v>1.2989104810064043</v>
      </c>
      <c r="S20" s="600">
        <v>1.035448026441012</v>
      </c>
      <c r="T20" s="600">
        <v>0.6732758761355979</v>
      </c>
      <c r="U20" s="601">
        <v>0.412304142703222</v>
      </c>
      <c r="V20" s="601">
        <v>0.32041396229635566</v>
      </c>
      <c r="W20" s="498">
        <v>18.374720333163918</v>
      </c>
      <c r="X20" s="604">
        <v>18.374720333163918</v>
      </c>
      <c r="Y20" s="604">
        <v>18.374720333163918</v>
      </c>
      <c r="Z20" s="604">
        <v>18.374720333163918</v>
      </c>
      <c r="AA20" s="604">
        <v>18.374720333163918</v>
      </c>
      <c r="AB20" s="604">
        <v>18.374720333163918</v>
      </c>
      <c r="AC20" s="604">
        <v>18.374720333163918</v>
      </c>
      <c r="AD20" s="486">
        <f t="shared" si="2"/>
        <v>15.39261020054721</v>
      </c>
      <c r="AE20" s="479">
        <f t="shared" si="3"/>
        <v>15.258432817429041</v>
      </c>
      <c r="AF20" s="479">
        <f t="shared" si="4"/>
        <v>14.340371367237804</v>
      </c>
      <c r="AG20" s="479">
        <f t="shared" si="5"/>
        <v>13.427805078888161</v>
      </c>
      <c r="AH20" s="479">
        <f t="shared" si="6"/>
        <v>11.630440770990663</v>
      </c>
      <c r="AI20" s="479">
        <f t="shared" si="7"/>
        <v>9.409256333831301</v>
      </c>
      <c r="AJ20" s="500">
        <f t="shared" si="8"/>
        <v>7.764432793021228</v>
      </c>
      <c r="AK20" s="480">
        <f t="shared" si="9"/>
        <v>0.06400825486348614</v>
      </c>
      <c r="AL20" s="480">
        <f t="shared" si="10"/>
        <v>0.051352938988599856</v>
      </c>
      <c r="AM20" s="480">
        <f t="shared" si="11"/>
        <v>0.04107876284017724</v>
      </c>
      <c r="AN20" s="480">
        <f t="shared" si="12"/>
        <v>0.032746616901992785</v>
      </c>
      <c r="AO20" s="480">
        <f t="shared" si="13"/>
        <v>0.021292722205426877</v>
      </c>
      <c r="AP20" s="480">
        <f t="shared" si="14"/>
        <v>0.013039346701556672</v>
      </c>
      <c r="AQ20" s="480">
        <f t="shared" si="15"/>
        <v>0.01013326888982782</v>
      </c>
      <c r="AR20" s="486">
        <f t="shared" si="16"/>
        <v>0.4289607020369916</v>
      </c>
      <c r="AS20" s="479">
        <f t="shared" si="17"/>
        <v>0.344149247736776</v>
      </c>
      <c r="AT20" s="479">
        <f t="shared" si="18"/>
        <v>0.2752953503312212</v>
      </c>
      <c r="AU20" s="479">
        <f t="shared" si="19"/>
        <v>0.21945625303445718</v>
      </c>
      <c r="AV20" s="479">
        <f t="shared" si="20"/>
        <v>0.14269629886017945</v>
      </c>
      <c r="AW20" s="479">
        <f t="shared" si="21"/>
        <v>0.08738509317482186</v>
      </c>
      <c r="AX20" s="479">
        <f t="shared" si="22"/>
        <v>0.06790958675846963</v>
      </c>
      <c r="AY20" s="508">
        <v>1.4105806954350233</v>
      </c>
      <c r="AZ20" s="502">
        <v>1.0957253350402985</v>
      </c>
      <c r="BA20" s="502">
        <v>0.885340203008075</v>
      </c>
      <c r="BB20" s="502">
        <v>0.7147221799186209</v>
      </c>
      <c r="BC20" s="502">
        <v>0.4801798562121924</v>
      </c>
      <c r="BD20" s="503">
        <v>0.3111748216469794</v>
      </c>
      <c r="BE20" s="503">
        <v>0.25166683236548787</v>
      </c>
      <c r="BF20" s="486">
        <f t="shared" si="23"/>
        <v>1.1816516609539855</v>
      </c>
      <c r="BG20" s="479">
        <f t="shared" si="24"/>
        <v>0.9178954924662606</v>
      </c>
      <c r="BH20" s="479">
        <f t="shared" si="25"/>
        <v>0.7416546425025288</v>
      </c>
      <c r="BI20" s="479">
        <f t="shared" si="26"/>
        <v>0.5987269312239039</v>
      </c>
      <c r="BJ20" s="479">
        <f t="shared" si="27"/>
        <v>0.40224946115173876</v>
      </c>
      <c r="BK20" s="479">
        <f t="shared" si="28"/>
        <v>0.26067295975067534</v>
      </c>
      <c r="BL20" s="500">
        <f t="shared" si="29"/>
        <v>0.21082277067459382</v>
      </c>
      <c r="BM20" s="483">
        <f t="shared" si="30"/>
        <v>0.23945107866329796</v>
      </c>
      <c r="BN20" s="483">
        <f t="shared" si="31"/>
        <v>0.18270763083653319</v>
      </c>
      <c r="BO20" s="483">
        <f t="shared" si="32"/>
        <v>0.13668985953319168</v>
      </c>
      <c r="BP20" s="483">
        <f t="shared" si="33"/>
        <v>0.07343092112890648</v>
      </c>
      <c r="BQ20" s="483">
        <f t="shared" si="34"/>
        <v>0.027848192593494137</v>
      </c>
      <c r="BR20" s="483">
        <f t="shared" si="35"/>
        <v>0.011798158770035427</v>
      </c>
      <c r="BS20" s="486">
        <f t="shared" si="36"/>
        <v>0.3933426839796359</v>
      </c>
      <c r="BT20" s="479">
        <f t="shared" si="37"/>
        <v>0.2487276556237779</v>
      </c>
      <c r="BU20" s="479">
        <f t="shared" si="38"/>
        <v>0.1703277303758553</v>
      </c>
      <c r="BV20" s="479">
        <f t="shared" si="39"/>
        <v>0.08154603069970429</v>
      </c>
      <c r="BW20" s="479">
        <f t="shared" si="40"/>
        <v>0.02807672962145842</v>
      </c>
      <c r="BX20" s="500">
        <f t="shared" si="41"/>
        <v>0.011302128780866828</v>
      </c>
      <c r="BY20" s="479">
        <f t="shared" si="49"/>
        <v>-13.781997837556233</v>
      </c>
      <c r="BZ20" s="479">
        <f t="shared" si="42"/>
        <v>-13.960388993572764</v>
      </c>
      <c r="CA20" s="479">
        <f t="shared" si="43"/>
        <v>-12.51664419843981</v>
      </c>
      <c r="CB20" s="479">
        <f t="shared" si="44"/>
        <v>-10.742598259917852</v>
      </c>
      <c r="CC20" s="479">
        <f t="shared" si="45"/>
        <v>-6.678274377502659</v>
      </c>
      <c r="CD20" s="479">
        <f t="shared" si="46"/>
        <v>-2.6154997985675688</v>
      </c>
      <c r="CE20" s="500">
        <f t="shared" si="47"/>
        <v>-0.9875187614381539</v>
      </c>
      <c r="CF20" s="479">
        <f t="shared" si="50"/>
        <v>-14.82392360306074</v>
      </c>
      <c r="CG20" s="479">
        <f t="shared" si="51"/>
        <v>-13.290874448397444</v>
      </c>
      <c r="CH20" s="479">
        <f t="shared" si="52"/>
        <v>-11.40709302417802</v>
      </c>
      <c r="CI20" s="479">
        <f t="shared" si="53"/>
        <v>-7.091366094308356</v>
      </c>
      <c r="CJ20" s="479">
        <f t="shared" si="54"/>
        <v>-2.777284301722298</v>
      </c>
      <c r="CK20" s="479">
        <f t="shared" si="55"/>
        <v>-1.0486027776796172</v>
      </c>
      <c r="CL20" s="12">
        <f t="shared" si="56"/>
        <v>2014</v>
      </c>
      <c r="CM20" s="132">
        <f t="shared" si="57"/>
        <v>-12.6096218946298</v>
      </c>
      <c r="CN20" s="12"/>
      <c r="CO20" s="12"/>
      <c r="CQ20" s="584">
        <f t="shared" si="58"/>
        <v>-10.742598259917852</v>
      </c>
      <c r="CR20" s="216">
        <f t="shared" si="59"/>
        <v>1.035448026441012</v>
      </c>
      <c r="CS20" s="643">
        <f t="shared" si="63"/>
        <v>4.903643836044684</v>
      </c>
      <c r="CT20" s="644">
        <f t="shared" si="60"/>
        <v>5.077468332402101</v>
      </c>
      <c r="CU20" s="584">
        <f t="shared" si="64"/>
        <v>0.8462447220670168</v>
      </c>
      <c r="CV20" s="584">
        <f t="shared" si="61"/>
        <v>4.654345971368593</v>
      </c>
      <c r="CW20" s="584">
        <f t="shared" si="62"/>
        <v>0.4231223610335082</v>
      </c>
    </row>
    <row r="21" spans="1:101" ht="12.75">
      <c r="A21" s="459">
        <v>2015</v>
      </c>
      <c r="B21" s="460">
        <v>4.840802021026611</v>
      </c>
      <c r="C21" s="460">
        <v>4.722733679050353</v>
      </c>
      <c r="D21" s="488">
        <f t="shared" si="1"/>
        <v>9.34</v>
      </c>
      <c r="E21" s="461">
        <f t="shared" si="1"/>
        <v>7.34</v>
      </c>
      <c r="F21" s="461">
        <f t="shared" si="1"/>
        <v>6.5</v>
      </c>
      <c r="G21" s="461">
        <f t="shared" si="1"/>
        <v>5.34</v>
      </c>
      <c r="H21" s="460">
        <f t="shared" si="1"/>
        <v>4.22</v>
      </c>
      <c r="I21" s="470">
        <f t="shared" si="1"/>
        <v>3.5</v>
      </c>
      <c r="J21" s="489">
        <v>0.001</v>
      </c>
      <c r="K21" s="490">
        <v>0.042</v>
      </c>
      <c r="L21" s="492">
        <v>0.1247</v>
      </c>
      <c r="M21" s="491">
        <v>0.3537</v>
      </c>
      <c r="N21" s="493">
        <v>0.666</v>
      </c>
      <c r="O21" s="493">
        <v>0.8077</v>
      </c>
      <c r="P21" s="494">
        <v>2.4929494378980683</v>
      </c>
      <c r="Q21" s="599">
        <v>2.0665620594151415</v>
      </c>
      <c r="R21" s="600">
        <v>1.6367651866275814</v>
      </c>
      <c r="S21" s="600">
        <v>1.2882087460811489</v>
      </c>
      <c r="T21" s="600">
        <v>0.8090610216596781</v>
      </c>
      <c r="U21" s="601">
        <v>0.46379976369988796</v>
      </c>
      <c r="V21" s="601">
        <v>0.3422305850606705</v>
      </c>
      <c r="W21" s="498">
        <v>12.249813555442612</v>
      </c>
      <c r="X21" s="604">
        <v>12.249813555442612</v>
      </c>
      <c r="Y21" s="604">
        <v>12.249813555442612</v>
      </c>
      <c r="Z21" s="604">
        <v>12.249813555442612</v>
      </c>
      <c r="AA21" s="604">
        <v>12.249813555442612</v>
      </c>
      <c r="AB21" s="604">
        <v>12.249813555442612</v>
      </c>
      <c r="AC21" s="604">
        <v>12.249813555442612</v>
      </c>
      <c r="AD21" s="486">
        <f t="shared" si="2"/>
        <v>9.883153702730961</v>
      </c>
      <c r="AE21" s="479">
        <f t="shared" si="3"/>
        <v>9.797002251904257</v>
      </c>
      <c r="AF21" s="479">
        <f t="shared" si="4"/>
        <v>9.207541315612273</v>
      </c>
      <c r="AG21" s="479">
        <f t="shared" si="5"/>
        <v>8.621608665192165</v>
      </c>
      <c r="AH21" s="479">
        <f t="shared" si="6"/>
        <v>7.467572573631676</v>
      </c>
      <c r="AI21" s="479">
        <f t="shared" si="7"/>
        <v>6.041413728020194</v>
      </c>
      <c r="AJ21" s="500">
        <f t="shared" si="8"/>
        <v>4.985319689653768</v>
      </c>
      <c r="AK21" s="480">
        <f t="shared" si="9"/>
        <v>0.07884090568937598</v>
      </c>
      <c r="AL21" s="480">
        <f t="shared" si="10"/>
        <v>0.06535616886195893</v>
      </c>
      <c r="AM21" s="480">
        <f t="shared" si="11"/>
        <v>0.05176360489018284</v>
      </c>
      <c r="AN21" s="480">
        <f t="shared" si="12"/>
        <v>0.04074031455032096</v>
      </c>
      <c r="AO21" s="480">
        <f t="shared" si="13"/>
        <v>0.025587002582532513</v>
      </c>
      <c r="AP21" s="480">
        <f t="shared" si="14"/>
        <v>0.014667924215682731</v>
      </c>
      <c r="AQ21" s="480">
        <f t="shared" si="15"/>
        <v>0.010823231659097739</v>
      </c>
      <c r="AR21" s="486">
        <f t="shared" si="16"/>
        <v>0.5088709541342662</v>
      </c>
      <c r="AS21" s="479">
        <f t="shared" si="17"/>
        <v>0.42183503241803627</v>
      </c>
      <c r="AT21" s="479">
        <f t="shared" si="18"/>
        <v>0.33410315089069337</v>
      </c>
      <c r="AU21" s="479">
        <f t="shared" si="19"/>
        <v>0.2629543960166047</v>
      </c>
      <c r="AV21" s="479">
        <f t="shared" si="20"/>
        <v>0.16514881841804865</v>
      </c>
      <c r="AW21" s="479">
        <f t="shared" si="21"/>
        <v>0.0946726895833895</v>
      </c>
      <c r="AX21" s="479">
        <f t="shared" si="22"/>
        <v>0.06985749558586604</v>
      </c>
      <c r="AY21" s="508">
        <v>1.8807742605800313</v>
      </c>
      <c r="AZ21" s="502">
        <v>1.5396263379687336</v>
      </c>
      <c r="BA21" s="502">
        <v>1.2240486399203985</v>
      </c>
      <c r="BB21" s="502">
        <v>0.9681216052862172</v>
      </c>
      <c r="BC21" s="502">
        <v>0.6163081197265744</v>
      </c>
      <c r="BD21" s="503">
        <v>0.3628005678787549</v>
      </c>
      <c r="BE21" s="503">
        <v>0.2735385839565176</v>
      </c>
      <c r="BF21" s="486">
        <f t="shared" si="23"/>
        <v>1.517409306951774</v>
      </c>
      <c r="BG21" s="479">
        <f t="shared" si="24"/>
        <v>1.2421710480774741</v>
      </c>
      <c r="BH21" s="479">
        <f t="shared" si="25"/>
        <v>0.9875628549935899</v>
      </c>
      <c r="BI21" s="479">
        <f t="shared" si="26"/>
        <v>0.781080837244841</v>
      </c>
      <c r="BJ21" s="479">
        <f t="shared" si="27"/>
        <v>0.49723759859125194</v>
      </c>
      <c r="BK21" s="479">
        <f t="shared" si="28"/>
        <v>0.29270762036951314</v>
      </c>
      <c r="BL21" s="500">
        <f t="shared" si="29"/>
        <v>0.2206910216742446</v>
      </c>
      <c r="BM21" s="483">
        <f t="shared" si="30"/>
        <v>0.15963405244219864</v>
      </c>
      <c r="BN21" s="483">
        <f t="shared" si="31"/>
        <v>0.12180508722435524</v>
      </c>
      <c r="BO21" s="483">
        <f t="shared" si="32"/>
        <v>0.09112657302212801</v>
      </c>
      <c r="BP21" s="483">
        <f t="shared" si="33"/>
        <v>0.04895394741927095</v>
      </c>
      <c r="BQ21" s="483">
        <f t="shared" si="34"/>
        <v>0.01856546172899609</v>
      </c>
      <c r="BR21" s="483">
        <f t="shared" si="35"/>
        <v>0.007865439180023637</v>
      </c>
      <c r="BS21" s="486">
        <f t="shared" si="36"/>
        <v>0.2622284559864239</v>
      </c>
      <c r="BT21" s="479">
        <f t="shared" si="37"/>
        <v>0.1658184370825183</v>
      </c>
      <c r="BU21" s="479">
        <f t="shared" si="38"/>
        <v>0.11355182025057048</v>
      </c>
      <c r="BV21" s="479">
        <f t="shared" si="39"/>
        <v>0.054364020466469494</v>
      </c>
      <c r="BW21" s="479">
        <f t="shared" si="40"/>
        <v>0.018717819747638947</v>
      </c>
      <c r="BX21" s="500">
        <f t="shared" si="41"/>
        <v>0.007534752520577903</v>
      </c>
      <c r="BY21" s="479">
        <f t="shared" si="49"/>
        <v>-7.856873441644921</v>
      </c>
      <c r="BZ21" s="479">
        <f t="shared" si="42"/>
        <v>-8.122936940700857</v>
      </c>
      <c r="CA21" s="479">
        <f t="shared" si="43"/>
        <v>-7.492194200114809</v>
      </c>
      <c r="CB21" s="479">
        <f t="shared" si="44"/>
        <v>-6.4882989193960094</v>
      </c>
      <c r="CC21" s="479">
        <f t="shared" si="45"/>
        <v>-4.144677183289862</v>
      </c>
      <c r="CD21" s="479">
        <f t="shared" si="46"/>
        <v>-1.6179858072539144</v>
      </c>
      <c r="CE21" s="500">
        <f t="shared" si="47"/>
        <v>-0.6620426394494384</v>
      </c>
      <c r="CF21" s="479">
        <f t="shared" si="50"/>
        <v>-8.625389786550134</v>
      </c>
      <c r="CG21" s="479">
        <f t="shared" si="51"/>
        <v>-7.9556317874043065</v>
      </c>
      <c r="CH21" s="479">
        <f t="shared" si="52"/>
        <v>-6.889639503543156</v>
      </c>
      <c r="CI21" s="479">
        <f t="shared" si="53"/>
        <v>-4.401050569058246</v>
      </c>
      <c r="CJ21" s="479">
        <f t="shared" si="54"/>
        <v>-1.7180680286638872</v>
      </c>
      <c r="CK21" s="479">
        <f t="shared" si="55"/>
        <v>-0.7029939863198275</v>
      </c>
      <c r="CL21" s="12">
        <f t="shared" si="56"/>
        <v>2015</v>
      </c>
      <c r="CM21" s="132">
        <f t="shared" si="57"/>
        <v>-7.577573431930719</v>
      </c>
      <c r="CN21" s="12"/>
      <c r="CO21" s="12"/>
      <c r="CQ21" s="584">
        <f t="shared" si="58"/>
        <v>-6.4882989193960094</v>
      </c>
      <c r="CR21" s="216">
        <f t="shared" si="59"/>
        <v>1.2882087460811489</v>
      </c>
      <c r="CS21" s="643">
        <f t="shared" si="63"/>
        <v>4.722733679050353</v>
      </c>
      <c r="CT21" s="644">
        <f t="shared" si="60"/>
        <v>6.0838668307646655</v>
      </c>
      <c r="CU21" s="584">
        <f t="shared" si="64"/>
        <v>1.0139778051274442</v>
      </c>
      <c r="CV21" s="584">
        <f t="shared" si="61"/>
        <v>5.576877928200943</v>
      </c>
      <c r="CW21" s="584">
        <f t="shared" si="62"/>
        <v>0.5069889025637222</v>
      </c>
    </row>
    <row r="22" spans="1:101" ht="12.75">
      <c r="A22" s="459">
        <v>2016</v>
      </c>
      <c r="B22" s="460">
        <v>4.7822163772583</v>
      </c>
      <c r="C22" s="460">
        <v>4.6655769534227325</v>
      </c>
      <c r="D22" s="488">
        <f t="shared" si="1"/>
        <v>9.34</v>
      </c>
      <c r="E22" s="461">
        <f t="shared" si="1"/>
        <v>7.34</v>
      </c>
      <c r="F22" s="461">
        <f t="shared" si="1"/>
        <v>6.5</v>
      </c>
      <c r="G22" s="461">
        <f t="shared" si="1"/>
        <v>5.34</v>
      </c>
      <c r="H22" s="460">
        <f t="shared" si="1"/>
        <v>4.22</v>
      </c>
      <c r="I22" s="470">
        <f t="shared" si="1"/>
        <v>3.5</v>
      </c>
      <c r="J22" s="489">
        <v>0.0007</v>
      </c>
      <c r="K22" s="490">
        <v>0.035</v>
      </c>
      <c r="L22" s="492">
        <v>0.1097</v>
      </c>
      <c r="M22" s="493">
        <v>0.3203</v>
      </c>
      <c r="N22" s="493">
        <v>0.6403</v>
      </c>
      <c r="O22" s="493">
        <v>0.8007</v>
      </c>
      <c r="P22" s="494">
        <v>2.9619578570127043</v>
      </c>
      <c r="Q22" s="599">
        <v>2.509344188010756</v>
      </c>
      <c r="R22" s="600">
        <v>1.9746198922487588</v>
      </c>
      <c r="S22" s="600">
        <v>1.5409694657212856</v>
      </c>
      <c r="T22" s="600">
        <v>0.944846167183758</v>
      </c>
      <c r="U22" s="601">
        <v>0.515295384696554</v>
      </c>
      <c r="V22" s="601">
        <v>0.3640472078249854</v>
      </c>
      <c r="W22" s="498">
        <v>6.124906777721306</v>
      </c>
      <c r="X22" s="604">
        <v>6.124906777721306</v>
      </c>
      <c r="Y22" s="604">
        <v>6.124906777721306</v>
      </c>
      <c r="Z22" s="604">
        <v>6.124906777721306</v>
      </c>
      <c r="AA22" s="604">
        <v>6.124906777721306</v>
      </c>
      <c r="AB22" s="604">
        <v>6.124906777721306</v>
      </c>
      <c r="AC22" s="604">
        <v>6.124906777721306</v>
      </c>
      <c r="AD22" s="486">
        <f t="shared" si="2"/>
        <v>4.881771583599866</v>
      </c>
      <c r="AE22" s="479">
        <f t="shared" si="3"/>
        <v>4.839217180705626</v>
      </c>
      <c r="AF22" s="479">
        <f t="shared" si="4"/>
        <v>4.548053678144979</v>
      </c>
      <c r="AG22" s="479">
        <f t="shared" si="5"/>
        <v>4.258632968039677</v>
      </c>
      <c r="AH22" s="479">
        <f t="shared" si="6"/>
        <v>3.688598263765888</v>
      </c>
      <c r="AI22" s="479">
        <f t="shared" si="7"/>
        <v>2.9841488607092606</v>
      </c>
      <c r="AJ22" s="500">
        <f t="shared" si="8"/>
        <v>2.462492512828946</v>
      </c>
      <c r="AK22" s="480">
        <f t="shared" si="9"/>
        <v>0.0936735565152658</v>
      </c>
      <c r="AL22" s="480">
        <f t="shared" si="10"/>
        <v>0.07935939873531803</v>
      </c>
      <c r="AM22" s="480">
        <f t="shared" si="11"/>
        <v>0.062448446940188446</v>
      </c>
      <c r="AN22" s="480">
        <f t="shared" si="12"/>
        <v>0.04873401219864913</v>
      </c>
      <c r="AO22" s="480">
        <f t="shared" si="13"/>
        <v>0.029881282959638142</v>
      </c>
      <c r="AP22" s="480">
        <f t="shared" si="14"/>
        <v>0.01629650172980879</v>
      </c>
      <c r="AQ22" s="480">
        <f t="shared" si="15"/>
        <v>0.01151319442836766</v>
      </c>
      <c r="AR22" s="486">
        <f t="shared" si="16"/>
        <v>0.5972896214444466</v>
      </c>
      <c r="AS22" s="479">
        <f t="shared" si="17"/>
        <v>0.5060184217618793</v>
      </c>
      <c r="AT22" s="479">
        <f t="shared" si="18"/>
        <v>0.3981893142556202</v>
      </c>
      <c r="AU22" s="479">
        <f t="shared" si="19"/>
        <v>0.31074212168784754</v>
      </c>
      <c r="AV22" s="479">
        <f t="shared" si="20"/>
        <v>0.19053168099076118</v>
      </c>
      <c r="AW22" s="479">
        <f t="shared" si="21"/>
        <v>0.10391119661907974</v>
      </c>
      <c r="AX22" s="479">
        <f t="shared" si="22"/>
        <v>0.07341144926653177</v>
      </c>
      <c r="AY22" s="508">
        <v>2.350967825725039</v>
      </c>
      <c r="AZ22" s="502">
        <v>1.9835273408971692</v>
      </c>
      <c r="BA22" s="502">
        <v>1.562757076832722</v>
      </c>
      <c r="BB22" s="502">
        <v>1.2215210306538136</v>
      </c>
      <c r="BC22" s="502">
        <v>0.7524363832409562</v>
      </c>
      <c r="BD22" s="503">
        <v>0.4144263141105305</v>
      </c>
      <c r="BE22" s="503">
        <v>0.29541033554754736</v>
      </c>
      <c r="BF22" s="486">
        <f t="shared" si="23"/>
        <v>1.8738061397649362</v>
      </c>
      <c r="BG22" s="479">
        <f t="shared" si="24"/>
        <v>1.5809428223963415</v>
      </c>
      <c r="BH22" s="479">
        <f t="shared" si="25"/>
        <v>1.2455737477509583</v>
      </c>
      <c r="BI22" s="479">
        <f t="shared" si="26"/>
        <v>0.9735963129930175</v>
      </c>
      <c r="BJ22" s="479">
        <f t="shared" si="27"/>
        <v>0.5997189324633172</v>
      </c>
      <c r="BK22" s="479">
        <f t="shared" si="28"/>
        <v>0.33031271775102855</v>
      </c>
      <c r="BL22" s="500">
        <f t="shared" si="29"/>
        <v>0.23545269077780845</v>
      </c>
      <c r="BM22" s="483">
        <f t="shared" si="30"/>
        <v>0.07981702622109932</v>
      </c>
      <c r="BN22" s="483">
        <f t="shared" si="31"/>
        <v>0.06090254361217773</v>
      </c>
      <c r="BO22" s="483">
        <f t="shared" si="32"/>
        <v>0.045563286511064005</v>
      </c>
      <c r="BP22" s="483">
        <f t="shared" si="33"/>
        <v>0.02447697370963553</v>
      </c>
      <c r="BQ22" s="483">
        <f t="shared" si="34"/>
        <v>0.009282730864498101</v>
      </c>
      <c r="BR22" s="483">
        <f t="shared" si="35"/>
        <v>0.003932719590011791</v>
      </c>
      <c r="BS22" s="486">
        <f t="shared" si="36"/>
        <v>0.13111422799321196</v>
      </c>
      <c r="BT22" s="479">
        <f t="shared" si="37"/>
        <v>0.08290921854125931</v>
      </c>
      <c r="BU22" s="479">
        <f t="shared" si="38"/>
        <v>0.05677591012528524</v>
      </c>
      <c r="BV22" s="479">
        <f t="shared" si="39"/>
        <v>0.027182010233234806</v>
      </c>
      <c r="BW22" s="479">
        <f t="shared" si="40"/>
        <v>0.00935890987381953</v>
      </c>
      <c r="BX22" s="500">
        <f t="shared" si="41"/>
        <v>0.0037673762602889243</v>
      </c>
      <c r="BY22" s="479">
        <f t="shared" si="49"/>
        <v>-2.4106758223904827</v>
      </c>
      <c r="BZ22" s="479">
        <f t="shared" si="42"/>
        <v>-2.748776704561315</v>
      </c>
      <c r="CA22" s="479">
        <f t="shared" si="43"/>
        <v>-2.742206914754382</v>
      </c>
      <c r="CB22" s="479">
        <f t="shared" si="44"/>
        <v>-2.5008941794241157</v>
      </c>
      <c r="CC22" s="479">
        <f t="shared" si="45"/>
        <v>-1.7081832285498908</v>
      </c>
      <c r="CD22" s="479">
        <f t="shared" si="46"/>
        <v>-0.6331819208348062</v>
      </c>
      <c r="CE22" s="500">
        <f t="shared" si="47"/>
        <v>-0.17889407959085546</v>
      </c>
      <c r="CF22" s="479">
        <f t="shared" si="50"/>
        <v>-2.9188051915351245</v>
      </c>
      <c r="CG22" s="479">
        <f t="shared" si="51"/>
        <v>-2.9118290204391055</v>
      </c>
      <c r="CH22" s="479">
        <f t="shared" si="52"/>
        <v>-2.655589630932954</v>
      </c>
      <c r="CI22" s="479">
        <f t="shared" si="53"/>
        <v>-1.8138447067421426</v>
      </c>
      <c r="CJ22" s="479">
        <f t="shared" si="54"/>
        <v>-0.6723480574657167</v>
      </c>
      <c r="CK22" s="479">
        <f t="shared" si="55"/>
        <v>-0.1899597618745169</v>
      </c>
      <c r="CL22" s="12">
        <f t="shared" si="56"/>
        <v>2016</v>
      </c>
      <c r="CM22" s="132">
        <f t="shared" si="57"/>
        <v>-2.974294533358812</v>
      </c>
      <c r="CN22" s="12"/>
      <c r="CO22" s="12"/>
      <c r="CQ22" s="584">
        <f t="shared" si="58"/>
        <v>-2.5008941794241157</v>
      </c>
      <c r="CR22" s="216">
        <f t="shared" si="59"/>
        <v>1.5409694657212856</v>
      </c>
      <c r="CS22" s="643">
        <f t="shared" si="63"/>
        <v>4.6655769534227325</v>
      </c>
      <c r="CT22" s="644">
        <f t="shared" si="60"/>
        <v>7.189511625197372</v>
      </c>
      <c r="CU22" s="584">
        <f t="shared" si="64"/>
        <v>1.1982519375328953</v>
      </c>
      <c r="CV22" s="584">
        <f t="shared" si="61"/>
        <v>6.590385656430924</v>
      </c>
      <c r="CW22" s="584">
        <f t="shared" si="62"/>
        <v>0.5991259687664474</v>
      </c>
    </row>
    <row r="23" spans="1:101" ht="12.75">
      <c r="A23" s="459">
        <v>2017</v>
      </c>
      <c r="B23" s="460">
        <v>4.84901649475098</v>
      </c>
      <c r="C23" s="460">
        <v>4.730747799757054</v>
      </c>
      <c r="D23" s="488">
        <f t="shared" si="1"/>
        <v>9.34</v>
      </c>
      <c r="E23" s="461">
        <f t="shared" si="1"/>
        <v>7.34</v>
      </c>
      <c r="F23" s="461">
        <f t="shared" si="1"/>
        <v>6.5</v>
      </c>
      <c r="G23" s="461">
        <f t="shared" si="1"/>
        <v>5.34</v>
      </c>
      <c r="H23" s="460">
        <f t="shared" si="1"/>
        <v>4.22</v>
      </c>
      <c r="I23" s="470">
        <f t="shared" si="1"/>
        <v>3.5</v>
      </c>
      <c r="J23" s="489">
        <v>0.0007</v>
      </c>
      <c r="K23" s="490">
        <v>0.0367</v>
      </c>
      <c r="L23" s="492">
        <v>0.109</v>
      </c>
      <c r="M23" s="493">
        <v>0.3307</v>
      </c>
      <c r="N23" s="493">
        <v>0.6347</v>
      </c>
      <c r="O23" s="493">
        <v>0.8</v>
      </c>
      <c r="P23" s="494">
        <v>3.430966276127341</v>
      </c>
      <c r="Q23" s="599">
        <v>2.9521263166063694</v>
      </c>
      <c r="R23" s="600">
        <v>2.312474597869936</v>
      </c>
      <c r="S23" s="600">
        <v>1.7937301853614223</v>
      </c>
      <c r="T23" s="600">
        <v>1.0806313127078382</v>
      </c>
      <c r="U23" s="602">
        <v>0.5667910056932199</v>
      </c>
      <c r="V23" s="602">
        <v>0.3858638305893003</v>
      </c>
      <c r="W23" s="511">
        <v>0</v>
      </c>
      <c r="X23" s="605">
        <v>0</v>
      </c>
      <c r="Y23" s="605">
        <v>0</v>
      </c>
      <c r="Z23" s="605">
        <v>0</v>
      </c>
      <c r="AA23" s="605">
        <v>0</v>
      </c>
      <c r="AB23" s="605">
        <v>0</v>
      </c>
      <c r="AC23" s="605">
        <v>0</v>
      </c>
      <c r="AD23" s="486">
        <f t="shared" si="2"/>
        <v>0</v>
      </c>
      <c r="AE23" s="479">
        <f t="shared" si="3"/>
        <v>0</v>
      </c>
      <c r="AF23" s="479">
        <f t="shared" si="4"/>
        <v>0</v>
      </c>
      <c r="AG23" s="479">
        <f t="shared" si="5"/>
        <v>0</v>
      </c>
      <c r="AH23" s="479">
        <f t="shared" si="6"/>
        <v>0</v>
      </c>
      <c r="AI23" s="479">
        <f t="shared" si="7"/>
        <v>0</v>
      </c>
      <c r="AJ23" s="500">
        <f t="shared" si="8"/>
        <v>0</v>
      </c>
      <c r="AK23" s="480">
        <f t="shared" si="9"/>
        <v>0.10850620734115562</v>
      </c>
      <c r="AL23" s="480">
        <f t="shared" si="10"/>
        <v>0.09336262860867708</v>
      </c>
      <c r="AM23" s="480">
        <f t="shared" si="11"/>
        <v>0.07313328899019406</v>
      </c>
      <c r="AN23" s="480">
        <f t="shared" si="12"/>
        <v>0.0567277098469773</v>
      </c>
      <c r="AO23" s="480">
        <f t="shared" si="13"/>
        <v>0.03417556333674378</v>
      </c>
      <c r="AP23" s="480">
        <f t="shared" si="14"/>
        <v>0.017925079243934848</v>
      </c>
      <c r="AQ23" s="480">
        <f t="shared" si="15"/>
        <v>0.01220315719763758</v>
      </c>
      <c r="AR23" s="486">
        <f t="shared" si="16"/>
        <v>0.7015311855735114</v>
      </c>
      <c r="AS23" s="479">
        <f t="shared" si="17"/>
        <v>0.6036225681557132</v>
      </c>
      <c r="AT23" s="479">
        <f t="shared" si="18"/>
        <v>0.47283269950512163</v>
      </c>
      <c r="AU23" s="479">
        <f t="shared" si="19"/>
        <v>0.3667648010099207</v>
      </c>
      <c r="AV23" s="479">
        <f t="shared" si="20"/>
        <v>0.22095716044970323</v>
      </c>
      <c r="AW23" s="479">
        <f t="shared" si="21"/>
        <v>0.11589200656474467</v>
      </c>
      <c r="AX23" s="479">
        <f t="shared" si="22"/>
        <v>0.07889774738584503</v>
      </c>
      <c r="AY23" s="508">
        <v>2.8211613908700466</v>
      </c>
      <c r="AZ23" s="502">
        <v>2.4274283438256044</v>
      </c>
      <c r="BA23" s="502">
        <v>1.9014655137450456</v>
      </c>
      <c r="BB23" s="502">
        <v>1.4749204560214098</v>
      </c>
      <c r="BC23" s="502">
        <v>0.8885646467553382</v>
      </c>
      <c r="BD23" s="503">
        <v>0.4660520603423061</v>
      </c>
      <c r="BE23" s="503">
        <v>0.3172820871385771</v>
      </c>
      <c r="BF23" s="486">
        <f t="shared" si="23"/>
        <v>2.279976353113912</v>
      </c>
      <c r="BG23" s="479">
        <f t="shared" si="24"/>
        <v>1.9617733465060683</v>
      </c>
      <c r="BH23" s="479">
        <f t="shared" si="25"/>
        <v>1.5367062733916454</v>
      </c>
      <c r="BI23" s="479">
        <f t="shared" si="26"/>
        <v>1.1919856032822422</v>
      </c>
      <c r="BJ23" s="479">
        <f t="shared" si="27"/>
        <v>0.7181107714615355</v>
      </c>
      <c r="BK23" s="479">
        <f t="shared" si="28"/>
        <v>0.3766490213354202</v>
      </c>
      <c r="BL23" s="500">
        <f t="shared" si="29"/>
        <v>0.25641767900399637</v>
      </c>
      <c r="BM23" s="483">
        <f t="shared" si="30"/>
        <v>0</v>
      </c>
      <c r="BN23" s="483">
        <f t="shared" si="31"/>
        <v>0</v>
      </c>
      <c r="BO23" s="483">
        <f t="shared" si="32"/>
        <v>0</v>
      </c>
      <c r="BP23" s="483">
        <f t="shared" si="33"/>
        <v>0</v>
      </c>
      <c r="BQ23" s="483">
        <f t="shared" si="34"/>
        <v>0</v>
      </c>
      <c r="BR23" s="483">
        <f t="shared" si="35"/>
        <v>0</v>
      </c>
      <c r="BS23" s="486">
        <f t="shared" si="36"/>
        <v>0</v>
      </c>
      <c r="BT23" s="479">
        <f t="shared" si="37"/>
        <v>0</v>
      </c>
      <c r="BU23" s="479">
        <f t="shared" si="38"/>
        <v>0</v>
      </c>
      <c r="BV23" s="479">
        <f t="shared" si="39"/>
        <v>0</v>
      </c>
      <c r="BW23" s="479">
        <f t="shared" si="40"/>
        <v>0</v>
      </c>
      <c r="BX23" s="500">
        <f t="shared" si="41"/>
        <v>0</v>
      </c>
      <c r="BY23" s="479">
        <f t="shared" si="49"/>
        <v>2.9815075386874232</v>
      </c>
      <c r="BZ23" s="479">
        <f t="shared" si="42"/>
        <v>2.5653959146617815</v>
      </c>
      <c r="CA23" s="479">
        <f t="shared" si="43"/>
        <v>2.009538972896767</v>
      </c>
      <c r="CB23" s="479">
        <f t="shared" si="44"/>
        <v>1.558750404292163</v>
      </c>
      <c r="CC23" s="479">
        <f t="shared" si="45"/>
        <v>0.9390679319112387</v>
      </c>
      <c r="CD23" s="479">
        <f t="shared" si="46"/>
        <v>0.4925410279001649</v>
      </c>
      <c r="CE23" s="500">
        <f t="shared" si="47"/>
        <v>0.3353154263898414</v>
      </c>
      <c r="CF23" s="479">
        <f t="shared" si="50"/>
        <v>2.724081189145853</v>
      </c>
      <c r="CG23" s="479">
        <f t="shared" si="51"/>
        <v>2.133841129019365</v>
      </c>
      <c r="CH23" s="479">
        <f t="shared" si="52"/>
        <v>1.6551685572733843</v>
      </c>
      <c r="CI23" s="479">
        <f t="shared" si="53"/>
        <v>0.9971549709069997</v>
      </c>
      <c r="CJ23" s="479">
        <f t="shared" si="54"/>
        <v>0.5230076735201682</v>
      </c>
      <c r="CK23" s="479">
        <f t="shared" si="55"/>
        <v>0.3560567163292661</v>
      </c>
      <c r="CL23" s="12">
        <f t="shared" si="56"/>
        <v>2017</v>
      </c>
      <c r="CM23" s="132">
        <f t="shared" si="57"/>
        <v>1.558750404292163</v>
      </c>
      <c r="CN23" s="12"/>
      <c r="CO23" s="12"/>
      <c r="CQ23" s="584">
        <f t="shared" si="58"/>
        <v>1.558750404292163</v>
      </c>
      <c r="CR23" s="216">
        <f t="shared" si="59"/>
        <v>1.7937301853614223</v>
      </c>
      <c r="CS23" s="643">
        <f t="shared" si="63"/>
        <v>4.730747799757054</v>
      </c>
      <c r="CT23" s="644">
        <f t="shared" si="60"/>
        <v>8.485685127756362</v>
      </c>
      <c r="CU23" s="584">
        <f t="shared" si="64"/>
        <v>1.4142808546260603</v>
      </c>
      <c r="CV23" s="584">
        <f t="shared" si="61"/>
        <v>7.778544700443332</v>
      </c>
      <c r="CW23" s="584">
        <f t="shared" si="62"/>
        <v>0.7071404273130302</v>
      </c>
    </row>
    <row r="24" spans="1:101" ht="12.75">
      <c r="A24" s="459">
        <v>2018</v>
      </c>
      <c r="B24" s="460">
        <v>5.026547260284421</v>
      </c>
      <c r="C24" s="460">
        <v>4.903948546618947</v>
      </c>
      <c r="D24" s="488">
        <f t="shared" si="1"/>
        <v>9.34</v>
      </c>
      <c r="E24" s="461">
        <f t="shared" si="1"/>
        <v>7.34</v>
      </c>
      <c r="F24" s="461">
        <f t="shared" si="1"/>
        <v>6.5</v>
      </c>
      <c r="G24" s="461">
        <f t="shared" si="1"/>
        <v>5.34</v>
      </c>
      <c r="H24" s="460">
        <f t="shared" si="1"/>
        <v>4.22</v>
      </c>
      <c r="I24" s="470">
        <f t="shared" si="1"/>
        <v>3.5</v>
      </c>
      <c r="J24" s="489">
        <v>0.003</v>
      </c>
      <c r="K24" s="490">
        <v>0.0493</v>
      </c>
      <c r="L24" s="492">
        <v>0.135</v>
      </c>
      <c r="M24" s="492">
        <v>0.3707</v>
      </c>
      <c r="N24" s="493">
        <v>0.6507</v>
      </c>
      <c r="O24" s="493">
        <v>0.8223</v>
      </c>
      <c r="P24" s="494">
        <v>3.430966276127341</v>
      </c>
      <c r="Q24" s="599">
        <v>2.9521263166063694</v>
      </c>
      <c r="R24" s="600">
        <v>2.312474597869936</v>
      </c>
      <c r="S24" s="600">
        <v>1.7937301853614223</v>
      </c>
      <c r="T24" s="600">
        <v>1.0806313127078382</v>
      </c>
      <c r="U24" s="602">
        <v>0.5667910056932199</v>
      </c>
      <c r="V24" s="602">
        <v>0.3858638305893003</v>
      </c>
      <c r="W24" s="511">
        <v>0</v>
      </c>
      <c r="X24" s="512">
        <v>0</v>
      </c>
      <c r="Y24" s="512">
        <v>0</v>
      </c>
      <c r="Z24" s="512">
        <v>0</v>
      </c>
      <c r="AA24" s="512">
        <v>0</v>
      </c>
      <c r="AB24" s="512">
        <v>0</v>
      </c>
      <c r="AC24" s="512">
        <v>0</v>
      </c>
      <c r="AD24" s="486">
        <f t="shared" si="2"/>
        <v>0</v>
      </c>
      <c r="AE24" s="479">
        <f t="shared" si="3"/>
        <v>0</v>
      </c>
      <c r="AF24" s="479">
        <f t="shared" si="4"/>
        <v>0</v>
      </c>
      <c r="AG24" s="479">
        <f t="shared" si="5"/>
        <v>0</v>
      </c>
      <c r="AH24" s="479">
        <f t="shared" si="6"/>
        <v>0</v>
      </c>
      <c r="AI24" s="479">
        <f t="shared" si="7"/>
        <v>0</v>
      </c>
      <c r="AJ24" s="500">
        <f t="shared" si="8"/>
        <v>0</v>
      </c>
      <c r="AK24" s="480">
        <f t="shared" si="9"/>
        <v>0.10850620734115562</v>
      </c>
      <c r="AL24" s="480">
        <f t="shared" si="10"/>
        <v>0.09336262860867708</v>
      </c>
      <c r="AM24" s="480">
        <f t="shared" si="11"/>
        <v>0.07313328899019406</v>
      </c>
      <c r="AN24" s="480">
        <f t="shared" si="12"/>
        <v>0.0567277098469773</v>
      </c>
      <c r="AO24" s="480">
        <f t="shared" si="13"/>
        <v>0.03417556333674378</v>
      </c>
      <c r="AP24" s="480">
        <f t="shared" si="14"/>
        <v>0.017925079243934848</v>
      </c>
      <c r="AQ24" s="480">
        <f t="shared" si="15"/>
        <v>0.01220315719763758</v>
      </c>
      <c r="AR24" s="486">
        <f t="shared" si="16"/>
        <v>0.7272154389793855</v>
      </c>
      <c r="AS24" s="479">
        <f t="shared" si="17"/>
        <v>0.6257222200611969</v>
      </c>
      <c r="AT24" s="479">
        <f t="shared" si="18"/>
        <v>0.49014391121233164</v>
      </c>
      <c r="AU24" s="479">
        <f t="shared" si="19"/>
        <v>0.3801926860180444</v>
      </c>
      <c r="AV24" s="479">
        <f t="shared" si="20"/>
        <v>0.2290467790119815</v>
      </c>
      <c r="AW24" s="479">
        <f t="shared" si="21"/>
        <v>0.12013501061864246</v>
      </c>
      <c r="AX24" s="479">
        <f t="shared" si="22"/>
        <v>0.08178632850480705</v>
      </c>
      <c r="AY24" s="508">
        <v>2.8211613908700466</v>
      </c>
      <c r="AZ24" s="502">
        <v>2.4274283438256044</v>
      </c>
      <c r="BA24" s="502">
        <v>1.9014655137450456</v>
      </c>
      <c r="BB24" s="502">
        <v>1.4749204560214098</v>
      </c>
      <c r="BC24" s="502">
        <v>0.8885646467553382</v>
      </c>
      <c r="BD24" s="503">
        <v>0.4660520603423061</v>
      </c>
      <c r="BE24" s="503">
        <v>0.3172820871385771</v>
      </c>
      <c r="BF24" s="486">
        <f t="shared" si="23"/>
        <v>2.3634501766830027</v>
      </c>
      <c r="BG24" s="479">
        <f t="shared" si="24"/>
        <v>2.03359721519889</v>
      </c>
      <c r="BH24" s="479">
        <f t="shared" si="25"/>
        <v>1.5929677114400778</v>
      </c>
      <c r="BI24" s="479">
        <f t="shared" si="26"/>
        <v>1.2356262295586442</v>
      </c>
      <c r="BJ24" s="479">
        <f t="shared" si="27"/>
        <v>0.7444020317889397</v>
      </c>
      <c r="BK24" s="479">
        <f t="shared" si="28"/>
        <v>0.390438784510588</v>
      </c>
      <c r="BL24" s="500">
        <f t="shared" si="29"/>
        <v>0.2658055676406229</v>
      </c>
      <c r="BM24" s="483">
        <f t="shared" si="30"/>
        <v>0</v>
      </c>
      <c r="BN24" s="483">
        <f t="shared" si="31"/>
        <v>0</v>
      </c>
      <c r="BO24" s="483">
        <f t="shared" si="32"/>
        <v>0</v>
      </c>
      <c r="BP24" s="483">
        <f t="shared" si="33"/>
        <v>0</v>
      </c>
      <c r="BQ24" s="483">
        <f t="shared" si="34"/>
        <v>0</v>
      </c>
      <c r="BR24" s="483">
        <f t="shared" si="35"/>
        <v>0</v>
      </c>
      <c r="BS24" s="486">
        <f t="shared" si="36"/>
        <v>0</v>
      </c>
      <c r="BT24" s="479">
        <f t="shared" si="37"/>
        <v>0</v>
      </c>
      <c r="BU24" s="479">
        <f t="shared" si="38"/>
        <v>0</v>
      </c>
      <c r="BV24" s="479">
        <f t="shared" si="39"/>
        <v>0</v>
      </c>
      <c r="BW24" s="479">
        <f t="shared" si="40"/>
        <v>0</v>
      </c>
      <c r="BX24" s="500">
        <f t="shared" si="41"/>
        <v>0</v>
      </c>
      <c r="BY24" s="479">
        <f t="shared" si="49"/>
        <v>3.090665615662388</v>
      </c>
      <c r="BZ24" s="479">
        <f t="shared" si="42"/>
        <v>2.659319435260087</v>
      </c>
      <c r="CA24" s="479">
        <f t="shared" si="43"/>
        <v>2.0831116226524093</v>
      </c>
      <c r="CB24" s="479">
        <f t="shared" si="44"/>
        <v>1.6158189155766887</v>
      </c>
      <c r="CC24" s="479">
        <f t="shared" si="45"/>
        <v>0.9734488108009212</v>
      </c>
      <c r="CD24" s="479">
        <f t="shared" si="46"/>
        <v>0.5105737951292304</v>
      </c>
      <c r="CE24" s="500">
        <f t="shared" si="47"/>
        <v>0.34759189614542996</v>
      </c>
      <c r="CF24" s="479">
        <f t="shared" si="50"/>
        <v>2.823814448335178</v>
      </c>
      <c r="CG24" s="479">
        <f t="shared" si="51"/>
        <v>2.2119646927506125</v>
      </c>
      <c r="CH24" s="479">
        <f t="shared" si="52"/>
        <v>1.7157671016127791</v>
      </c>
      <c r="CI24" s="479">
        <f t="shared" si="53"/>
        <v>1.033662515381683</v>
      </c>
      <c r="CJ24" s="479">
        <f t="shared" si="54"/>
        <v>0.5421558766166946</v>
      </c>
      <c r="CK24" s="479">
        <f t="shared" si="55"/>
        <v>0.36909256009092023</v>
      </c>
      <c r="CL24" s="12">
        <f t="shared" si="56"/>
        <v>2018</v>
      </c>
      <c r="CM24" s="132">
        <f t="shared" si="57"/>
        <v>1.6158189155766887</v>
      </c>
      <c r="CN24" s="12"/>
      <c r="CO24" s="12"/>
      <c r="CQ24" s="584">
        <f t="shared" si="58"/>
        <v>1.6158189155766887</v>
      </c>
      <c r="CR24" s="216">
        <f t="shared" si="59"/>
        <v>1.7937301853614223</v>
      </c>
      <c r="CS24" s="643">
        <f t="shared" si="63"/>
        <v>4.903948546618947</v>
      </c>
      <c r="CT24" s="644">
        <f t="shared" si="60"/>
        <v>8.796360535529681</v>
      </c>
      <c r="CU24" s="584">
        <f t="shared" si="64"/>
        <v>1.4660600892549467</v>
      </c>
      <c r="CV24" s="584">
        <f t="shared" si="61"/>
        <v>8.063330490902208</v>
      </c>
      <c r="CW24" s="584">
        <f t="shared" si="62"/>
        <v>0.7330300446274727</v>
      </c>
    </row>
    <row r="25" spans="1:101" ht="12.75">
      <c r="A25" s="459">
        <v>2019</v>
      </c>
      <c r="B25" s="460">
        <v>5.16989643096924</v>
      </c>
      <c r="C25" s="460">
        <v>5.043801396067552</v>
      </c>
      <c r="D25" s="488">
        <f t="shared" si="1"/>
        <v>9.34</v>
      </c>
      <c r="E25" s="461">
        <f t="shared" si="1"/>
        <v>7.34</v>
      </c>
      <c r="F25" s="461">
        <f t="shared" si="1"/>
        <v>6.5</v>
      </c>
      <c r="G25" s="461">
        <f t="shared" si="1"/>
        <v>5.34</v>
      </c>
      <c r="H25" s="460">
        <f t="shared" si="1"/>
        <v>4.22</v>
      </c>
      <c r="I25" s="470">
        <f t="shared" si="1"/>
        <v>3.5</v>
      </c>
      <c r="J25" s="489">
        <v>0.0013</v>
      </c>
      <c r="K25" s="489">
        <v>0.068</v>
      </c>
      <c r="L25" s="489">
        <v>0.1643</v>
      </c>
      <c r="M25" s="489">
        <v>0.4237</v>
      </c>
      <c r="N25" s="489">
        <v>0.6773</v>
      </c>
      <c r="O25" s="489">
        <v>0.828</v>
      </c>
      <c r="P25" s="494">
        <v>3.430966276127341</v>
      </c>
      <c r="Q25" s="599">
        <v>2.9521263166063694</v>
      </c>
      <c r="R25" s="600">
        <v>2.312474597869936</v>
      </c>
      <c r="S25" s="600">
        <v>1.7937301853614223</v>
      </c>
      <c r="T25" s="600">
        <v>1.0806313127078382</v>
      </c>
      <c r="U25" s="602">
        <v>0.5667910056932199</v>
      </c>
      <c r="V25" s="602">
        <v>0.3858638305893003</v>
      </c>
      <c r="W25" s="511">
        <v>0</v>
      </c>
      <c r="X25" s="512">
        <v>0</v>
      </c>
      <c r="Y25" s="512">
        <v>0</v>
      </c>
      <c r="Z25" s="512">
        <v>0</v>
      </c>
      <c r="AA25" s="512">
        <v>0</v>
      </c>
      <c r="AB25" s="512">
        <v>0</v>
      </c>
      <c r="AC25" s="512">
        <v>0</v>
      </c>
      <c r="AD25" s="486">
        <f t="shared" si="2"/>
        <v>0</v>
      </c>
      <c r="AE25" s="479">
        <f t="shared" si="3"/>
        <v>0</v>
      </c>
      <c r="AF25" s="479">
        <f t="shared" si="4"/>
        <v>0</v>
      </c>
      <c r="AG25" s="479">
        <f t="shared" si="5"/>
        <v>0</v>
      </c>
      <c r="AH25" s="479">
        <f t="shared" si="6"/>
        <v>0</v>
      </c>
      <c r="AI25" s="479">
        <f t="shared" si="7"/>
        <v>0</v>
      </c>
      <c r="AJ25" s="500">
        <f t="shared" si="8"/>
        <v>0</v>
      </c>
      <c r="AK25" s="480">
        <f t="shared" si="9"/>
        <v>0.10850620734115562</v>
      </c>
      <c r="AL25" s="480">
        <f t="shared" si="10"/>
        <v>0.09336262860867708</v>
      </c>
      <c r="AM25" s="480">
        <f t="shared" si="11"/>
        <v>0.07313328899019406</v>
      </c>
      <c r="AN25" s="480">
        <f t="shared" si="12"/>
        <v>0.0567277098469773</v>
      </c>
      <c r="AO25" s="480">
        <f t="shared" si="13"/>
        <v>0.03417556333674378</v>
      </c>
      <c r="AP25" s="480">
        <f t="shared" si="14"/>
        <v>0.017925079243934848</v>
      </c>
      <c r="AQ25" s="480">
        <f t="shared" si="15"/>
        <v>0.01220315719763758</v>
      </c>
      <c r="AR25" s="486">
        <f t="shared" si="16"/>
        <v>0.7479544720947318</v>
      </c>
      <c r="AS25" s="479">
        <f t="shared" si="17"/>
        <v>0.6435668272398751</v>
      </c>
      <c r="AT25" s="479">
        <f t="shared" si="18"/>
        <v>0.5041220396472617</v>
      </c>
      <c r="AU25" s="479">
        <f t="shared" si="19"/>
        <v>0.3910351795665954</v>
      </c>
      <c r="AV25" s="479">
        <f t="shared" si="20"/>
        <v>0.23557883056132647</v>
      </c>
      <c r="AW25" s="479">
        <f t="shared" si="21"/>
        <v>0.12356107094407943</v>
      </c>
      <c r="AX25" s="479">
        <f t="shared" si="22"/>
        <v>0.0841187451234975</v>
      </c>
      <c r="AY25" s="508">
        <v>2.8211613908700466</v>
      </c>
      <c r="AZ25" s="502">
        <v>2.4274283438256044</v>
      </c>
      <c r="BA25" s="502">
        <v>1.9014655137450456</v>
      </c>
      <c r="BB25" s="502">
        <v>1.4749204560214098</v>
      </c>
      <c r="BC25" s="502">
        <v>0.8885646467553382</v>
      </c>
      <c r="BD25" s="503">
        <v>0.4660520603423061</v>
      </c>
      <c r="BE25" s="503">
        <v>0.3172820871385771</v>
      </c>
      <c r="BF25" s="486">
        <f t="shared" si="23"/>
        <v>2.4308520343078786</v>
      </c>
      <c r="BG25" s="479">
        <f t="shared" si="24"/>
        <v>2.091592188529594</v>
      </c>
      <c r="BH25" s="479">
        <f t="shared" si="25"/>
        <v>1.6383966288536007</v>
      </c>
      <c r="BI25" s="479">
        <f t="shared" si="26"/>
        <v>1.270864333591435</v>
      </c>
      <c r="BJ25" s="479">
        <f t="shared" si="27"/>
        <v>0.765631199324311</v>
      </c>
      <c r="BK25" s="479">
        <f t="shared" si="28"/>
        <v>0.40157348056825826</v>
      </c>
      <c r="BL25" s="500">
        <f t="shared" si="29"/>
        <v>0.2733859216513669</v>
      </c>
      <c r="BM25" s="483">
        <f t="shared" si="30"/>
        <v>0</v>
      </c>
      <c r="BN25" s="483">
        <f t="shared" si="31"/>
        <v>0</v>
      </c>
      <c r="BO25" s="483">
        <f t="shared" si="32"/>
        <v>0</v>
      </c>
      <c r="BP25" s="483">
        <f t="shared" si="33"/>
        <v>0</v>
      </c>
      <c r="BQ25" s="483">
        <f t="shared" si="34"/>
        <v>0</v>
      </c>
      <c r="BR25" s="483">
        <f t="shared" si="35"/>
        <v>0</v>
      </c>
      <c r="BS25" s="486">
        <f t="shared" si="36"/>
        <v>0</v>
      </c>
      <c r="BT25" s="479">
        <f t="shared" si="37"/>
        <v>0</v>
      </c>
      <c r="BU25" s="479">
        <f t="shared" si="38"/>
        <v>0</v>
      </c>
      <c r="BV25" s="479">
        <f t="shared" si="39"/>
        <v>0</v>
      </c>
      <c r="BW25" s="479">
        <f t="shared" si="40"/>
        <v>0</v>
      </c>
      <c r="BX25" s="500">
        <f t="shared" si="41"/>
        <v>0</v>
      </c>
      <c r="BY25" s="479">
        <f t="shared" si="49"/>
        <v>3.1788065064026103</v>
      </c>
      <c r="BZ25" s="479">
        <f t="shared" si="42"/>
        <v>2.735159015769469</v>
      </c>
      <c r="CA25" s="479">
        <f t="shared" si="43"/>
        <v>2.1425186685008626</v>
      </c>
      <c r="CB25" s="479">
        <f t="shared" si="44"/>
        <v>1.6618995131580303</v>
      </c>
      <c r="CC25" s="479">
        <f t="shared" si="45"/>
        <v>1.0012100298856375</v>
      </c>
      <c r="CD25" s="479">
        <f t="shared" si="46"/>
        <v>0.5251345515123377</v>
      </c>
      <c r="CE25" s="500">
        <f t="shared" si="47"/>
        <v>0.35750466677486437</v>
      </c>
      <c r="CF25" s="479">
        <f t="shared" si="50"/>
        <v>2.9043451662168103</v>
      </c>
      <c r="CG25" s="479">
        <f t="shared" si="51"/>
        <v>2.275046424179904</v>
      </c>
      <c r="CH25" s="479">
        <f t="shared" si="52"/>
        <v>1.7646980632388258</v>
      </c>
      <c r="CI25" s="479">
        <f t="shared" si="53"/>
        <v>1.0631409340009013</v>
      </c>
      <c r="CJ25" s="479">
        <f t="shared" si="54"/>
        <v>0.5576173039684207</v>
      </c>
      <c r="CK25" s="479">
        <f t="shared" si="55"/>
        <v>0.3796184956198695</v>
      </c>
      <c r="CL25" s="12">
        <f t="shared" si="56"/>
        <v>2019</v>
      </c>
      <c r="CM25" s="132">
        <f t="shared" si="57"/>
        <v>1.6618995131580303</v>
      </c>
      <c r="CN25" s="12"/>
      <c r="CO25" s="12"/>
      <c r="CQ25" s="584">
        <f t="shared" si="58"/>
        <v>1.6618995131580303</v>
      </c>
      <c r="CR25" s="216">
        <f t="shared" si="59"/>
        <v>1.7937301853614223</v>
      </c>
      <c r="CS25" s="643">
        <f t="shared" si="63"/>
        <v>5.043801396067552</v>
      </c>
      <c r="CT25" s="644">
        <f t="shared" si="60"/>
        <v>9.047218813094451</v>
      </c>
      <c r="CU25" s="584">
        <f t="shared" si="64"/>
        <v>1.5078698021824084</v>
      </c>
      <c r="CV25" s="584">
        <f t="shared" si="61"/>
        <v>8.293283912003247</v>
      </c>
      <c r="CW25" s="584">
        <f t="shared" si="62"/>
        <v>0.7539349010912044</v>
      </c>
    </row>
    <row r="26" spans="1:101" ht="12.75">
      <c r="A26" s="469">
        <v>2020</v>
      </c>
      <c r="B26" s="470">
        <v>5.218754119873051</v>
      </c>
      <c r="C26" s="470">
        <v>5.091467434022489</v>
      </c>
      <c r="D26" s="513">
        <f t="shared" si="1"/>
        <v>9.34</v>
      </c>
      <c r="E26" s="461">
        <f t="shared" si="1"/>
        <v>7.34</v>
      </c>
      <c r="F26" s="461">
        <f t="shared" si="1"/>
        <v>6.5</v>
      </c>
      <c r="G26" s="461">
        <f t="shared" si="1"/>
        <v>5.34</v>
      </c>
      <c r="H26" s="460">
        <f t="shared" si="1"/>
        <v>4.22</v>
      </c>
      <c r="I26" s="470">
        <f t="shared" si="1"/>
        <v>3.5</v>
      </c>
      <c r="J26" s="489">
        <v>0.0053</v>
      </c>
      <c r="K26" s="489">
        <v>0.0717</v>
      </c>
      <c r="L26" s="489">
        <v>0.1877</v>
      </c>
      <c r="M26" s="489">
        <v>0.433</v>
      </c>
      <c r="N26" s="489">
        <v>0.6987</v>
      </c>
      <c r="O26" s="489">
        <v>0.8437</v>
      </c>
      <c r="P26" s="494">
        <v>3.430966276127341</v>
      </c>
      <c r="Q26" s="599">
        <v>2.9521263166063694</v>
      </c>
      <c r="R26" s="600">
        <v>2.312474597869936</v>
      </c>
      <c r="S26" s="600">
        <v>1.7937301853614223</v>
      </c>
      <c r="T26" s="600">
        <v>1.0806313127078382</v>
      </c>
      <c r="U26" s="602">
        <v>0.5667910056932199</v>
      </c>
      <c r="V26" s="602">
        <v>0.3858638305893003</v>
      </c>
      <c r="W26" s="511">
        <v>0</v>
      </c>
      <c r="X26" s="512">
        <v>0</v>
      </c>
      <c r="Y26" s="512">
        <v>0</v>
      </c>
      <c r="Z26" s="512">
        <v>0</v>
      </c>
      <c r="AA26" s="512">
        <v>0</v>
      </c>
      <c r="AB26" s="512">
        <v>0</v>
      </c>
      <c r="AC26" s="512">
        <v>0</v>
      </c>
      <c r="AD26" s="486">
        <f t="shared" si="2"/>
        <v>0</v>
      </c>
      <c r="AE26" s="479">
        <f t="shared" si="3"/>
        <v>0</v>
      </c>
      <c r="AF26" s="479">
        <f t="shared" si="4"/>
        <v>0</v>
      </c>
      <c r="AG26" s="479">
        <f t="shared" si="5"/>
        <v>0</v>
      </c>
      <c r="AH26" s="479">
        <f t="shared" si="6"/>
        <v>0</v>
      </c>
      <c r="AI26" s="479">
        <f t="shared" si="7"/>
        <v>0</v>
      </c>
      <c r="AJ26" s="500">
        <f t="shared" si="8"/>
        <v>0</v>
      </c>
      <c r="AK26" s="480">
        <f t="shared" si="9"/>
        <v>0.10850620734115562</v>
      </c>
      <c r="AL26" s="480">
        <f t="shared" si="10"/>
        <v>0.09336262860867708</v>
      </c>
      <c r="AM26" s="480">
        <f t="shared" si="11"/>
        <v>0.07313328899019406</v>
      </c>
      <c r="AN26" s="480">
        <f t="shared" si="12"/>
        <v>0.0567277098469773</v>
      </c>
      <c r="AO26" s="480">
        <f t="shared" si="13"/>
        <v>0.03417556333674378</v>
      </c>
      <c r="AP26" s="480">
        <f t="shared" si="14"/>
        <v>0.017925079243934848</v>
      </c>
      <c r="AQ26" s="480">
        <f t="shared" si="15"/>
        <v>0.01220315719763758</v>
      </c>
      <c r="AR26" s="486">
        <f t="shared" si="16"/>
        <v>0.7550229554579405</v>
      </c>
      <c r="AS26" s="479">
        <f t="shared" si="17"/>
        <v>0.6496488035916147</v>
      </c>
      <c r="AT26" s="479">
        <f t="shared" si="18"/>
        <v>0.5088862042899222</v>
      </c>
      <c r="AU26" s="479">
        <f t="shared" si="19"/>
        <v>0.3947306259665011</v>
      </c>
      <c r="AV26" s="479">
        <f t="shared" si="20"/>
        <v>0.23780514928348528</v>
      </c>
      <c r="AW26" s="479">
        <f t="shared" si="21"/>
        <v>0.12472877487111453</v>
      </c>
      <c r="AX26" s="479">
        <f t="shared" si="22"/>
        <v>0.0849137025341728</v>
      </c>
      <c r="AY26" s="501">
        <v>2.8211613908700466</v>
      </c>
      <c r="AZ26" s="502">
        <v>2.4274283438256044</v>
      </c>
      <c r="BA26" s="502">
        <v>1.9014655137450456</v>
      </c>
      <c r="BB26" s="502">
        <v>1.4749204560214098</v>
      </c>
      <c r="BC26" s="502">
        <v>0.8885646467553382</v>
      </c>
      <c r="BD26" s="503">
        <v>0.4660520603423061</v>
      </c>
      <c r="BE26" s="503">
        <v>0.3172820871385771</v>
      </c>
      <c r="BF26" s="486">
        <f t="shared" si="23"/>
        <v>2.4538246052383066</v>
      </c>
      <c r="BG26" s="479">
        <f t="shared" si="24"/>
        <v>2.111358611672748</v>
      </c>
      <c r="BH26" s="479">
        <f t="shared" si="25"/>
        <v>1.6538801639422473</v>
      </c>
      <c r="BI26" s="479">
        <f t="shared" si="26"/>
        <v>1.2828745343911283</v>
      </c>
      <c r="BJ26" s="479">
        <f t="shared" si="27"/>
        <v>0.7728667351713271</v>
      </c>
      <c r="BK26" s="479">
        <f t="shared" si="28"/>
        <v>0.40536851833112225</v>
      </c>
      <c r="BL26" s="500">
        <f t="shared" si="29"/>
        <v>0.27596953323606155</v>
      </c>
      <c r="BM26" s="483">
        <f t="shared" si="30"/>
        <v>0</v>
      </c>
      <c r="BN26" s="483">
        <f t="shared" si="31"/>
        <v>0</v>
      </c>
      <c r="BO26" s="483">
        <f t="shared" si="32"/>
        <v>0</v>
      </c>
      <c r="BP26" s="483">
        <f t="shared" si="33"/>
        <v>0</v>
      </c>
      <c r="BQ26" s="483">
        <f t="shared" si="34"/>
        <v>0</v>
      </c>
      <c r="BR26" s="483">
        <f t="shared" si="35"/>
        <v>0</v>
      </c>
      <c r="BS26" s="486">
        <f t="shared" si="36"/>
        <v>0</v>
      </c>
      <c r="BT26" s="479">
        <f t="shared" si="37"/>
        <v>0</v>
      </c>
      <c r="BU26" s="479">
        <f t="shared" si="38"/>
        <v>0</v>
      </c>
      <c r="BV26" s="479">
        <f t="shared" si="39"/>
        <v>0</v>
      </c>
      <c r="BW26" s="479">
        <f t="shared" si="40"/>
        <v>0</v>
      </c>
      <c r="BX26" s="500">
        <f t="shared" si="41"/>
        <v>0</v>
      </c>
      <c r="BY26" s="479">
        <f t="shared" si="49"/>
        <v>3.208847560696247</v>
      </c>
      <c r="BZ26" s="479">
        <f t="shared" si="42"/>
        <v>2.7610074152643627</v>
      </c>
      <c r="CA26" s="479">
        <f t="shared" si="43"/>
        <v>2.1627663682321696</v>
      </c>
      <c r="CB26" s="479">
        <f t="shared" si="44"/>
        <v>1.6776051603576294</v>
      </c>
      <c r="CC26" s="479">
        <f t="shared" si="45"/>
        <v>1.0106718844548124</v>
      </c>
      <c r="CD26" s="479">
        <f t="shared" si="46"/>
        <v>0.5300972932022368</v>
      </c>
      <c r="CE26" s="500">
        <f t="shared" si="47"/>
        <v>0.36088323577023435</v>
      </c>
      <c r="CF26" s="479">
        <f t="shared" si="50"/>
        <v>2.9317924457697013</v>
      </c>
      <c r="CG26" s="479">
        <f t="shared" si="51"/>
        <v>2.2965465667685376</v>
      </c>
      <c r="CH26" s="479">
        <f t="shared" si="52"/>
        <v>1.7813751998380045</v>
      </c>
      <c r="CI26" s="479">
        <f t="shared" si="53"/>
        <v>1.0731880615803187</v>
      </c>
      <c r="CJ26" s="479">
        <f t="shared" si="54"/>
        <v>0.5628870212883792</v>
      </c>
      <c r="CK26" s="479">
        <f t="shared" si="55"/>
        <v>0.383206049569698</v>
      </c>
      <c r="CL26" s="12">
        <f t="shared" si="56"/>
        <v>2020</v>
      </c>
      <c r="CM26" s="132">
        <f t="shared" si="57"/>
        <v>1.6776051603576294</v>
      </c>
      <c r="CN26" s="12"/>
      <c r="CO26" s="12"/>
      <c r="CQ26" s="584">
        <f t="shared" si="58"/>
        <v>1.6776051603576294</v>
      </c>
      <c r="CR26" s="216">
        <f t="shared" si="59"/>
        <v>1.7937301853614223</v>
      </c>
      <c r="CS26" s="643">
        <f t="shared" si="63"/>
        <v>5.091467434022489</v>
      </c>
      <c r="CT26" s="644">
        <f t="shared" si="60"/>
        <v>9.132718824190803</v>
      </c>
      <c r="CU26" s="584">
        <f t="shared" si="64"/>
        <v>1.5221198040318005</v>
      </c>
      <c r="CV26" s="584">
        <f t="shared" si="61"/>
        <v>8.371658922174904</v>
      </c>
      <c r="CW26" s="584">
        <f t="shared" si="62"/>
        <v>0.7610599020158997</v>
      </c>
    </row>
    <row r="27" spans="1:101" ht="12.75">
      <c r="A27" s="459">
        <v>2021</v>
      </c>
      <c r="B27" s="460">
        <v>5.353616065979001</v>
      </c>
      <c r="C27" s="513">
        <v>5.223040064369757</v>
      </c>
      <c r="D27" s="513">
        <f aca="true" t="shared" si="65" ref="D27:I50">D26</f>
        <v>9.34</v>
      </c>
      <c r="E27" s="460">
        <f t="shared" si="65"/>
        <v>7.34</v>
      </c>
      <c r="F27" s="513">
        <f t="shared" si="65"/>
        <v>6.5</v>
      </c>
      <c r="G27" s="461">
        <f t="shared" si="65"/>
        <v>5.34</v>
      </c>
      <c r="H27" s="460">
        <f t="shared" si="65"/>
        <v>4.22</v>
      </c>
      <c r="I27" s="470">
        <f t="shared" si="65"/>
        <v>3.5</v>
      </c>
      <c r="J27" s="489">
        <v>0.006</v>
      </c>
      <c r="K27" s="489">
        <v>0.0903</v>
      </c>
      <c r="L27" s="489">
        <v>0.2103</v>
      </c>
      <c r="M27" s="489">
        <v>0.4763</v>
      </c>
      <c r="N27" s="489">
        <v>0.718</v>
      </c>
      <c r="O27" s="489">
        <v>0.86</v>
      </c>
      <c r="P27" s="494">
        <v>2.8591385634394513</v>
      </c>
      <c r="Q27" s="599">
        <v>2.69925956011483</v>
      </c>
      <c r="R27" s="600">
        <v>2.059607841378397</v>
      </c>
      <c r="S27" s="600">
        <v>1.5408634288698837</v>
      </c>
      <c r="T27" s="600">
        <v>0.8277645562162996</v>
      </c>
      <c r="U27" s="602">
        <v>0.31392424920168116</v>
      </c>
      <c r="V27" s="602">
        <v>0.13299707409776182</v>
      </c>
      <c r="W27" s="511">
        <v>0</v>
      </c>
      <c r="X27" s="512">
        <v>0</v>
      </c>
      <c r="Y27" s="512">
        <v>0</v>
      </c>
      <c r="Z27" s="512">
        <v>0</v>
      </c>
      <c r="AA27" s="512">
        <v>0</v>
      </c>
      <c r="AB27" s="512">
        <v>0</v>
      </c>
      <c r="AC27" s="512">
        <v>0</v>
      </c>
      <c r="AD27" s="486">
        <f t="shared" si="2"/>
        <v>0</v>
      </c>
      <c r="AE27" s="479">
        <f t="shared" si="3"/>
        <v>0</v>
      </c>
      <c r="AF27" s="479">
        <f t="shared" si="4"/>
        <v>0</v>
      </c>
      <c r="AG27" s="479">
        <f t="shared" si="5"/>
        <v>0</v>
      </c>
      <c r="AH27" s="479">
        <f t="shared" si="6"/>
        <v>0</v>
      </c>
      <c r="AI27" s="479">
        <f t="shared" si="7"/>
        <v>0</v>
      </c>
      <c r="AJ27" s="500">
        <f t="shared" si="8"/>
        <v>0</v>
      </c>
      <c r="AK27" s="480">
        <f t="shared" si="9"/>
        <v>0.09042183945096303</v>
      </c>
      <c r="AL27" s="480">
        <f t="shared" si="10"/>
        <v>0.0853655774862375</v>
      </c>
      <c r="AM27" s="480">
        <f t="shared" si="11"/>
        <v>0.06513623786775449</v>
      </c>
      <c r="AN27" s="480">
        <f t="shared" si="12"/>
        <v>0.04873065872453775</v>
      </c>
      <c r="AO27" s="480">
        <f t="shared" si="13"/>
        <v>0.026178512214304225</v>
      </c>
      <c r="AP27" s="480">
        <f t="shared" si="14"/>
        <v>0.009928028121495293</v>
      </c>
      <c r="AQ27" s="480">
        <f t="shared" si="15"/>
        <v>0.004206106075198033</v>
      </c>
      <c r="AR27" s="486">
        <f t="shared" si="16"/>
        <v>0.645445083200066</v>
      </c>
      <c r="AS27" s="479">
        <f t="shared" si="17"/>
        <v>0.6093527028158618</v>
      </c>
      <c r="AT27" s="479">
        <f t="shared" si="18"/>
        <v>0.4649525460349869</v>
      </c>
      <c r="AU27" s="479">
        <f t="shared" si="19"/>
        <v>0.3478469832712334</v>
      </c>
      <c r="AV27" s="479">
        <f t="shared" si="20"/>
        <v>0.18686627143190213</v>
      </c>
      <c r="AW27" s="479">
        <f t="shared" si="21"/>
        <v>0.07086780113963802</v>
      </c>
      <c r="AX27" s="479">
        <f t="shared" si="22"/>
        <v>0.030023836079189424</v>
      </c>
      <c r="AY27" s="501">
        <v>2.350967825725039</v>
      </c>
      <c r="AZ27" s="502">
        <v>2.2195050146421753</v>
      </c>
      <c r="BA27" s="502">
        <v>1.6935421845616168</v>
      </c>
      <c r="BB27" s="502">
        <v>1.2669971268379816</v>
      </c>
      <c r="BC27" s="502">
        <v>0.6806413175719099</v>
      </c>
      <c r="BD27" s="503">
        <v>0.25812873115887763</v>
      </c>
      <c r="BE27" s="503">
        <v>0.10935875795514886</v>
      </c>
      <c r="BF27" s="486">
        <f t="shared" si="23"/>
        <v>2.0976965204002145</v>
      </c>
      <c r="BG27" s="479">
        <f t="shared" si="24"/>
        <v>1.980396284151551</v>
      </c>
      <c r="BH27" s="479">
        <f t="shared" si="25"/>
        <v>1.5110957746137075</v>
      </c>
      <c r="BI27" s="479">
        <f t="shared" si="26"/>
        <v>1.1305026956315085</v>
      </c>
      <c r="BJ27" s="479">
        <f t="shared" si="27"/>
        <v>0.607315382153682</v>
      </c>
      <c r="BK27" s="479">
        <f t="shared" si="28"/>
        <v>0.2303203537038236</v>
      </c>
      <c r="BL27" s="500">
        <f t="shared" si="29"/>
        <v>0.09757746725736563</v>
      </c>
      <c r="BM27" s="483">
        <f t="shared" si="30"/>
        <v>0</v>
      </c>
      <c r="BN27" s="483">
        <f t="shared" si="31"/>
        <v>0</v>
      </c>
      <c r="BO27" s="483">
        <f t="shared" si="32"/>
        <v>0</v>
      </c>
      <c r="BP27" s="483">
        <f t="shared" si="33"/>
        <v>0</v>
      </c>
      <c r="BQ27" s="483">
        <f t="shared" si="34"/>
        <v>0</v>
      </c>
      <c r="BR27" s="483">
        <f t="shared" si="35"/>
        <v>0</v>
      </c>
      <c r="BS27" s="486">
        <f t="shared" si="36"/>
        <v>0</v>
      </c>
      <c r="BT27" s="479">
        <f t="shared" si="37"/>
        <v>0</v>
      </c>
      <c r="BU27" s="479">
        <f t="shared" si="38"/>
        <v>0</v>
      </c>
      <c r="BV27" s="479">
        <f t="shared" si="39"/>
        <v>0</v>
      </c>
      <c r="BW27" s="479">
        <f t="shared" si="40"/>
        <v>0</v>
      </c>
      <c r="BX27" s="500">
        <f t="shared" si="41"/>
        <v>0</v>
      </c>
      <c r="BY27" s="479">
        <f t="shared" si="49"/>
        <v>2.7431416036002805</v>
      </c>
      <c r="BZ27" s="479">
        <f t="shared" si="42"/>
        <v>2.589748986967413</v>
      </c>
      <c r="CA27" s="479">
        <f t="shared" si="43"/>
        <v>1.9760483206486943</v>
      </c>
      <c r="CB27" s="479">
        <f t="shared" si="44"/>
        <v>1.478349678902742</v>
      </c>
      <c r="CC27" s="479">
        <f t="shared" si="45"/>
        <v>0.7941816535855841</v>
      </c>
      <c r="CD27" s="479">
        <f t="shared" si="46"/>
        <v>0.3011881548434616</v>
      </c>
      <c r="CE27" s="500">
        <f t="shared" si="47"/>
        <v>0.12760130333655506</v>
      </c>
      <c r="CF27" s="479">
        <f t="shared" si="50"/>
        <v>2.7499406464664693</v>
      </c>
      <c r="CG27" s="479">
        <f t="shared" si="51"/>
        <v>2.0982788770956775</v>
      </c>
      <c r="CH27" s="479">
        <f t="shared" si="52"/>
        <v>1.5697945600765897</v>
      </c>
      <c r="CI27" s="479">
        <f t="shared" si="53"/>
        <v>0.8433065987720886</v>
      </c>
      <c r="CJ27" s="479">
        <f t="shared" si="54"/>
        <v>0.319818466348026</v>
      </c>
      <c r="CK27" s="479">
        <f t="shared" si="55"/>
        <v>0.13549421675735002</v>
      </c>
      <c r="CL27" s="12">
        <f t="shared" si="56"/>
        <v>2021</v>
      </c>
      <c r="CM27" s="132">
        <f t="shared" si="57"/>
        <v>1.478349678902742</v>
      </c>
      <c r="CN27" s="12"/>
      <c r="CO27" s="12"/>
      <c r="CQ27" s="584">
        <f t="shared" si="58"/>
        <v>1.478349678902742</v>
      </c>
      <c r="CR27" s="216">
        <f t="shared" si="59"/>
        <v>1.5408634288698837</v>
      </c>
      <c r="CS27" s="643">
        <f t="shared" si="63"/>
        <v>5.223040064369757</v>
      </c>
      <c r="CT27" s="644">
        <f t="shared" si="60"/>
        <v>8.047991422709561</v>
      </c>
      <c r="CU27" s="584">
        <f t="shared" si="64"/>
        <v>1.3413319037849267</v>
      </c>
      <c r="CV27" s="584">
        <f t="shared" si="61"/>
        <v>7.377325470817098</v>
      </c>
      <c r="CW27" s="584">
        <f t="shared" si="62"/>
        <v>0.6706659518924631</v>
      </c>
    </row>
    <row r="28" spans="1:101" ht="13.5" thickBot="1">
      <c r="A28" s="459">
        <v>2022</v>
      </c>
      <c r="B28" s="460">
        <v>5.43650991439819</v>
      </c>
      <c r="C28" s="513">
        <v>5.303912111607991</v>
      </c>
      <c r="D28" s="513">
        <f t="shared" si="65"/>
        <v>9.34</v>
      </c>
      <c r="E28" s="460">
        <f t="shared" si="65"/>
        <v>7.34</v>
      </c>
      <c r="F28" s="513">
        <f t="shared" si="65"/>
        <v>6.5</v>
      </c>
      <c r="G28" s="461">
        <f t="shared" si="65"/>
        <v>5.34</v>
      </c>
      <c r="H28" s="460">
        <f t="shared" si="65"/>
        <v>4.22</v>
      </c>
      <c r="I28" s="470">
        <f t="shared" si="65"/>
        <v>3.5</v>
      </c>
      <c r="J28" s="489">
        <v>0.0077</v>
      </c>
      <c r="K28" s="489">
        <v>0.116</v>
      </c>
      <c r="L28" s="489">
        <v>0.224</v>
      </c>
      <c r="M28" s="489">
        <v>0.482</v>
      </c>
      <c r="N28" s="489">
        <v>0.729</v>
      </c>
      <c r="O28" s="489">
        <v>0.863</v>
      </c>
      <c r="P28" s="494">
        <v>2.287310850751561</v>
      </c>
      <c r="Q28" s="599">
        <v>2.1594076480918645</v>
      </c>
      <c r="R28" s="600">
        <v>1.6476862731027175</v>
      </c>
      <c r="S28" s="600">
        <v>1.2326907430959069</v>
      </c>
      <c r="T28" s="600">
        <v>0.6622116449730399</v>
      </c>
      <c r="U28" s="602">
        <v>0.25113939936134494</v>
      </c>
      <c r="V28" s="602">
        <v>0.10639765927820946</v>
      </c>
      <c r="W28" s="511">
        <v>0</v>
      </c>
      <c r="X28" s="512">
        <v>0</v>
      </c>
      <c r="Y28" s="512">
        <v>0</v>
      </c>
      <c r="Z28" s="512">
        <v>0</v>
      </c>
      <c r="AA28" s="512">
        <v>0</v>
      </c>
      <c r="AB28" s="512">
        <v>0</v>
      </c>
      <c r="AC28" s="512">
        <v>0</v>
      </c>
      <c r="AD28" s="486">
        <f t="shared" si="2"/>
        <v>0</v>
      </c>
      <c r="AE28" s="479">
        <f t="shared" si="3"/>
        <v>0</v>
      </c>
      <c r="AF28" s="479">
        <f t="shared" si="4"/>
        <v>0</v>
      </c>
      <c r="AG28" s="479">
        <f t="shared" si="5"/>
        <v>0</v>
      </c>
      <c r="AH28" s="479">
        <f t="shared" si="6"/>
        <v>0</v>
      </c>
      <c r="AI28" s="479">
        <f t="shared" si="7"/>
        <v>0</v>
      </c>
      <c r="AJ28" s="500">
        <f t="shared" si="8"/>
        <v>0</v>
      </c>
      <c r="AK28" s="480">
        <f t="shared" si="9"/>
        <v>0.07233747156077043</v>
      </c>
      <c r="AL28" s="480">
        <f t="shared" si="10"/>
        <v>0.06829246198899001</v>
      </c>
      <c r="AM28" s="480">
        <f t="shared" si="11"/>
        <v>0.052108990294203586</v>
      </c>
      <c r="AN28" s="480">
        <f t="shared" si="12"/>
        <v>0.038984526979630195</v>
      </c>
      <c r="AO28" s="480">
        <f t="shared" si="13"/>
        <v>0.020942809771443385</v>
      </c>
      <c r="AP28" s="480">
        <f t="shared" si="14"/>
        <v>0.007942422497196235</v>
      </c>
      <c r="AQ28" s="480">
        <f t="shared" si="15"/>
        <v>0.003364884860158427</v>
      </c>
      <c r="AR28" s="486">
        <f t="shared" si="16"/>
        <v>0.524351175096834</v>
      </c>
      <c r="AS28" s="479">
        <f t="shared" si="17"/>
        <v>0.49503019557574096</v>
      </c>
      <c r="AT28" s="479">
        <f t="shared" si="18"/>
        <v>0.3777213898182891</v>
      </c>
      <c r="AU28" s="479">
        <f t="shared" si="19"/>
        <v>0.2825863565771777</v>
      </c>
      <c r="AV28" s="479">
        <f t="shared" si="20"/>
        <v>0.151807723943743</v>
      </c>
      <c r="AW28" s="479">
        <f t="shared" si="21"/>
        <v>0.05757207820046208</v>
      </c>
      <c r="AX28" s="479">
        <f t="shared" si="22"/>
        <v>0.02439097320407954</v>
      </c>
      <c r="AY28" s="501">
        <v>1.8807742605800313</v>
      </c>
      <c r="AZ28" s="502">
        <v>1.7756040117137404</v>
      </c>
      <c r="BA28" s="502">
        <v>1.3548337476492933</v>
      </c>
      <c r="BB28" s="502">
        <v>1.0135977014703852</v>
      </c>
      <c r="BC28" s="502">
        <v>0.544513054057528</v>
      </c>
      <c r="BD28" s="503">
        <v>0.2065029849271021</v>
      </c>
      <c r="BE28" s="503">
        <v>0.0874870063641191</v>
      </c>
      <c r="BF28" s="486">
        <f t="shared" si="23"/>
        <v>1.7041413190647108</v>
      </c>
      <c r="BG28" s="479">
        <f t="shared" si="24"/>
        <v>1.6088481356211581</v>
      </c>
      <c r="BH28" s="479">
        <f t="shared" si="25"/>
        <v>1.2275945169094398</v>
      </c>
      <c r="BI28" s="479">
        <f t="shared" si="26"/>
        <v>0.9184056588758277</v>
      </c>
      <c r="BJ28" s="479">
        <f t="shared" si="27"/>
        <v>0.4933751028171648</v>
      </c>
      <c r="BK28" s="479">
        <f t="shared" si="28"/>
        <v>0.18710925415150173</v>
      </c>
      <c r="BL28" s="500">
        <f t="shared" si="29"/>
        <v>0.0792706629132585</v>
      </c>
      <c r="BM28" s="483">
        <f t="shared" si="30"/>
        <v>0</v>
      </c>
      <c r="BN28" s="483">
        <f t="shared" si="31"/>
        <v>0</v>
      </c>
      <c r="BO28" s="483">
        <f t="shared" si="32"/>
        <v>0</v>
      </c>
      <c r="BP28" s="483">
        <f t="shared" si="33"/>
        <v>0</v>
      </c>
      <c r="BQ28" s="483">
        <f t="shared" si="34"/>
        <v>0</v>
      </c>
      <c r="BR28" s="483">
        <f t="shared" si="35"/>
        <v>0</v>
      </c>
      <c r="BS28" s="486">
        <f t="shared" si="36"/>
        <v>0</v>
      </c>
      <c r="BT28" s="479">
        <f t="shared" si="37"/>
        <v>0</v>
      </c>
      <c r="BU28" s="479">
        <f t="shared" si="38"/>
        <v>0</v>
      </c>
      <c r="BV28" s="479">
        <f t="shared" si="39"/>
        <v>0</v>
      </c>
      <c r="BW28" s="479">
        <f t="shared" si="40"/>
        <v>0</v>
      </c>
      <c r="BX28" s="500">
        <f t="shared" si="41"/>
        <v>0</v>
      </c>
      <c r="BY28" s="479">
        <f t="shared" si="49"/>
        <v>2.2284924941615447</v>
      </c>
      <c r="BZ28" s="479">
        <f t="shared" si="42"/>
        <v>2.103878331196899</v>
      </c>
      <c r="CA28" s="479">
        <f t="shared" si="43"/>
        <v>1.605315906727729</v>
      </c>
      <c r="CB28" s="479">
        <f t="shared" si="44"/>
        <v>1.2009920154530054</v>
      </c>
      <c r="CC28" s="479">
        <f t="shared" si="45"/>
        <v>0.6451828267609078</v>
      </c>
      <c r="CD28" s="479">
        <f t="shared" si="46"/>
        <v>0.24468133235196382</v>
      </c>
      <c r="CE28" s="500">
        <f t="shared" si="47"/>
        <v>0.10366163611733804</v>
      </c>
      <c r="CF28" s="479">
        <f t="shared" si="50"/>
        <v>2.234015947990869</v>
      </c>
      <c r="CG28" s="479">
        <f t="shared" si="51"/>
        <v>1.7046144180556855</v>
      </c>
      <c r="CH28" s="479">
        <f t="shared" si="52"/>
        <v>1.275280645342893</v>
      </c>
      <c r="CI28" s="479">
        <f t="shared" si="53"/>
        <v>0.6850912921060948</v>
      </c>
      <c r="CJ28" s="479">
        <f t="shared" si="54"/>
        <v>0.2598163546553414</v>
      </c>
      <c r="CK28" s="479">
        <f t="shared" si="55"/>
        <v>0.11007373613150544</v>
      </c>
      <c r="CL28" s="12">
        <f t="shared" si="56"/>
        <v>2022</v>
      </c>
      <c r="CM28" s="132">
        <f t="shared" si="57"/>
        <v>1.2009920154530054</v>
      </c>
      <c r="CN28" s="12"/>
      <c r="CO28" s="12"/>
      <c r="CQ28" s="645">
        <f t="shared" si="58"/>
        <v>1.2009920154530054</v>
      </c>
      <c r="CR28" s="99">
        <f t="shared" si="59"/>
        <v>1.2326907430959069</v>
      </c>
      <c r="CS28" s="643">
        <f t="shared" si="63"/>
        <v>5.303912111607991</v>
      </c>
      <c r="CT28" s="646">
        <f t="shared" si="60"/>
        <v>6.538083362173435</v>
      </c>
      <c r="CU28" s="645">
        <f t="shared" si="64"/>
        <v>1.089680560362239</v>
      </c>
      <c r="CV28" s="645">
        <f t="shared" si="61"/>
        <v>5.993243081992315</v>
      </c>
      <c r="CW28" s="645">
        <f t="shared" si="62"/>
        <v>0.5448402801811199</v>
      </c>
    </row>
    <row r="29" spans="1:101" ht="13.5" thickTop="1">
      <c r="A29" s="459">
        <v>2023</v>
      </c>
      <c r="B29" s="460">
        <v>5.508484668731691</v>
      </c>
      <c r="C29" s="513">
        <v>5.3741313841284795</v>
      </c>
      <c r="D29" s="513">
        <f t="shared" si="65"/>
        <v>9.34</v>
      </c>
      <c r="E29" s="460">
        <f t="shared" si="65"/>
        <v>7.34</v>
      </c>
      <c r="F29" s="513">
        <f t="shared" si="65"/>
        <v>6.5</v>
      </c>
      <c r="G29" s="461">
        <f t="shared" si="65"/>
        <v>5.34</v>
      </c>
      <c r="H29" s="460">
        <f t="shared" si="65"/>
        <v>4.22</v>
      </c>
      <c r="I29" s="470">
        <f t="shared" si="65"/>
        <v>3.5</v>
      </c>
      <c r="J29" s="489">
        <v>0.008</v>
      </c>
      <c r="K29" s="489">
        <v>0.1203</v>
      </c>
      <c r="L29" s="489">
        <v>0.2397</v>
      </c>
      <c r="M29" s="489">
        <v>0.5133</v>
      </c>
      <c r="N29" s="489">
        <v>0.751</v>
      </c>
      <c r="O29" s="489">
        <v>0.8777</v>
      </c>
      <c r="P29" s="494">
        <v>1.7154831380636706</v>
      </c>
      <c r="Q29" s="599">
        <v>1.619555736068898</v>
      </c>
      <c r="R29" s="600">
        <v>1.2357647048270382</v>
      </c>
      <c r="S29" s="600">
        <v>0.9245180573219303</v>
      </c>
      <c r="T29" s="600">
        <v>0.49665873372977976</v>
      </c>
      <c r="U29" s="602">
        <v>0.18835454952100872</v>
      </c>
      <c r="V29" s="602">
        <v>0.0797982444586571</v>
      </c>
      <c r="W29" s="511">
        <v>0</v>
      </c>
      <c r="X29" s="512">
        <v>0</v>
      </c>
      <c r="Y29" s="512">
        <v>0</v>
      </c>
      <c r="Z29" s="512">
        <v>0</v>
      </c>
      <c r="AA29" s="512">
        <v>0</v>
      </c>
      <c r="AB29" s="512">
        <v>0</v>
      </c>
      <c r="AC29" s="512">
        <v>0</v>
      </c>
      <c r="AD29" s="486">
        <f t="shared" si="2"/>
        <v>0</v>
      </c>
      <c r="AE29" s="479">
        <f t="shared" si="3"/>
        <v>0</v>
      </c>
      <c r="AF29" s="479">
        <f t="shared" si="4"/>
        <v>0</v>
      </c>
      <c r="AG29" s="479">
        <f t="shared" si="5"/>
        <v>0</v>
      </c>
      <c r="AH29" s="479">
        <f t="shared" si="6"/>
        <v>0</v>
      </c>
      <c r="AI29" s="479">
        <f t="shared" si="7"/>
        <v>0</v>
      </c>
      <c r="AJ29" s="500">
        <f t="shared" si="8"/>
        <v>0</v>
      </c>
      <c r="AK29" s="480">
        <f t="shared" si="9"/>
        <v>0.05425310367057781</v>
      </c>
      <c r="AL29" s="480">
        <f t="shared" si="10"/>
        <v>0.0512193464917425</v>
      </c>
      <c r="AM29" s="480">
        <f t="shared" si="11"/>
        <v>0.03908174272065269</v>
      </c>
      <c r="AN29" s="480">
        <f t="shared" si="12"/>
        <v>0.02923839523472265</v>
      </c>
      <c r="AO29" s="480">
        <f t="shared" si="13"/>
        <v>0.015707107328582534</v>
      </c>
      <c r="AP29" s="480">
        <f t="shared" si="14"/>
        <v>0.005956816872897177</v>
      </c>
      <c r="AQ29" s="480">
        <f t="shared" si="15"/>
        <v>0.0025236636451188206</v>
      </c>
      <c r="AR29" s="486">
        <f t="shared" si="16"/>
        <v>0.3984698530673185</v>
      </c>
      <c r="AS29" s="479">
        <f t="shared" si="17"/>
        <v>0.37618797985629315</v>
      </c>
      <c r="AT29" s="479">
        <f t="shared" si="18"/>
        <v>0.28704157413870895</v>
      </c>
      <c r="AU29" s="479">
        <f t="shared" si="19"/>
        <v>0.21474566918504992</v>
      </c>
      <c r="AV29" s="479">
        <f t="shared" si="20"/>
        <v>0.11536314654616009</v>
      </c>
      <c r="AW29" s="479">
        <f t="shared" si="21"/>
        <v>0.04375071255839513</v>
      </c>
      <c r="AX29" s="479">
        <f t="shared" si="22"/>
        <v>0.018535416664230076</v>
      </c>
      <c r="AY29" s="501">
        <v>1.4105806954350233</v>
      </c>
      <c r="AZ29" s="502">
        <v>1.331703008785305</v>
      </c>
      <c r="BA29" s="502">
        <v>1.01612531073697</v>
      </c>
      <c r="BB29" s="502">
        <v>0.7601982761027889</v>
      </c>
      <c r="BC29" s="502">
        <v>0.4083847905431459</v>
      </c>
      <c r="BD29" s="503">
        <v>0.1548772386953266</v>
      </c>
      <c r="BE29" s="503">
        <v>0.06561525477308933</v>
      </c>
      <c r="BF29" s="486">
        <f t="shared" si="23"/>
        <v>1.2950270224687852</v>
      </c>
      <c r="BG29" s="479">
        <f t="shared" si="24"/>
        <v>1.2226109345329528</v>
      </c>
      <c r="BH29" s="479">
        <f t="shared" si="25"/>
        <v>0.932885115950804</v>
      </c>
      <c r="BI29" s="479">
        <f t="shared" si="26"/>
        <v>0.6979234248514122</v>
      </c>
      <c r="BJ29" s="479">
        <f t="shared" si="27"/>
        <v>0.3749302262750203</v>
      </c>
      <c r="BK29" s="479">
        <f t="shared" si="28"/>
        <v>0.14218981581478418</v>
      </c>
      <c r="BL29" s="500">
        <f t="shared" si="29"/>
        <v>0.06024010415874774</v>
      </c>
      <c r="BM29" s="483">
        <f t="shared" si="30"/>
        <v>0</v>
      </c>
      <c r="BN29" s="483">
        <f t="shared" si="31"/>
        <v>0</v>
      </c>
      <c r="BO29" s="483">
        <f t="shared" si="32"/>
        <v>0</v>
      </c>
      <c r="BP29" s="483">
        <f t="shared" si="33"/>
        <v>0</v>
      </c>
      <c r="BQ29" s="483">
        <f t="shared" si="34"/>
        <v>0</v>
      </c>
      <c r="BR29" s="483">
        <f t="shared" si="35"/>
        <v>0</v>
      </c>
      <c r="BS29" s="486">
        <f t="shared" si="36"/>
        <v>0</v>
      </c>
      <c r="BT29" s="479">
        <f t="shared" si="37"/>
        <v>0</v>
      </c>
      <c r="BU29" s="479">
        <f t="shared" si="38"/>
        <v>0</v>
      </c>
      <c r="BV29" s="479">
        <f t="shared" si="39"/>
        <v>0</v>
      </c>
      <c r="BW29" s="479">
        <f t="shared" si="40"/>
        <v>0</v>
      </c>
      <c r="BX29" s="500">
        <f t="shared" si="41"/>
        <v>0</v>
      </c>
      <c r="BY29" s="479">
        <f t="shared" si="49"/>
        <v>1.6934968755361037</v>
      </c>
      <c r="BZ29" s="479">
        <f t="shared" si="42"/>
        <v>1.598798914389246</v>
      </c>
      <c r="CA29" s="479">
        <f t="shared" si="43"/>
        <v>1.219926690089513</v>
      </c>
      <c r="CB29" s="479">
        <f t="shared" si="44"/>
        <v>0.9126690940364621</v>
      </c>
      <c r="CC29" s="479">
        <f t="shared" si="45"/>
        <v>0.4902933728211804</v>
      </c>
      <c r="CD29" s="479">
        <f t="shared" si="46"/>
        <v>0.18594052837317931</v>
      </c>
      <c r="CE29" s="500">
        <f t="shared" si="47"/>
        <v>0.07877552082297781</v>
      </c>
      <c r="CF29" s="479">
        <f t="shared" si="50"/>
        <v>1.697694310271305</v>
      </c>
      <c r="CG29" s="479">
        <f t="shared" si="51"/>
        <v>1.2953865442823584</v>
      </c>
      <c r="CH29" s="479">
        <f t="shared" si="52"/>
        <v>0.9691232050267335</v>
      </c>
      <c r="CI29" s="479">
        <f t="shared" si="53"/>
        <v>0.520620987361764</v>
      </c>
      <c r="CJ29" s="479">
        <f t="shared" si="54"/>
        <v>0.19744207619041024</v>
      </c>
      <c r="CK29" s="479">
        <f t="shared" si="55"/>
        <v>0.08364826388496557</v>
      </c>
      <c r="CL29" s="12">
        <f t="shared" si="56"/>
        <v>2023</v>
      </c>
      <c r="CM29" s="12"/>
      <c r="CN29" s="12"/>
      <c r="CO29" s="12"/>
      <c r="CP29" t="s">
        <v>289</v>
      </c>
      <c r="CQ29" s="584">
        <f>SUM(CQ13:CQ28)</f>
        <v>-99.34760066006186</v>
      </c>
      <c r="CR29" s="185">
        <f>SUM(CR13:CR28)</f>
        <v>15.903349243856232</v>
      </c>
      <c r="CS29" s="185"/>
      <c r="CT29" s="644">
        <f>SUM(CT13:CT28)</f>
        <v>79.07604482867833</v>
      </c>
      <c r="CV29" s="584">
        <f>SUM(CV13:CV28)</f>
        <v>72.48637442628848</v>
      </c>
      <c r="CW29" s="584">
        <f>SUM(CW13:CW28)</f>
        <v>6.589670402389859</v>
      </c>
    </row>
    <row r="30" spans="1:101" ht="12.75">
      <c r="A30" s="459">
        <v>2024</v>
      </c>
      <c r="B30" s="460">
        <v>5.6243699264526406</v>
      </c>
      <c r="C30" s="513">
        <v>5.487190172148918</v>
      </c>
      <c r="D30" s="470">
        <f t="shared" si="65"/>
        <v>9.34</v>
      </c>
      <c r="E30" s="470">
        <f t="shared" si="65"/>
        <v>7.34</v>
      </c>
      <c r="F30" s="488">
        <f t="shared" si="65"/>
        <v>6.5</v>
      </c>
      <c r="G30" s="461">
        <f t="shared" si="65"/>
        <v>5.34</v>
      </c>
      <c r="H30" s="460">
        <f t="shared" si="65"/>
        <v>4.22</v>
      </c>
      <c r="I30" s="470">
        <f t="shared" si="65"/>
        <v>3.5</v>
      </c>
      <c r="J30" s="489">
        <v>0.011</v>
      </c>
      <c r="K30" s="489">
        <v>0.146</v>
      </c>
      <c r="L30" s="489">
        <v>0.2553</v>
      </c>
      <c r="M30" s="489">
        <v>0.5373</v>
      </c>
      <c r="N30" s="489">
        <v>0.7687</v>
      </c>
      <c r="O30" s="489">
        <v>0.875</v>
      </c>
      <c r="P30" s="494">
        <v>1.1436554253757805</v>
      </c>
      <c r="Q30" s="599">
        <v>1.0797038240459322</v>
      </c>
      <c r="R30" s="600">
        <v>0.8238431365513588</v>
      </c>
      <c r="S30" s="600">
        <v>0.6163453715479534</v>
      </c>
      <c r="T30" s="600">
        <v>0.33110582248651993</v>
      </c>
      <c r="U30" s="602">
        <v>0.12556969968067247</v>
      </c>
      <c r="V30" s="602">
        <v>0.05319882963910473</v>
      </c>
      <c r="W30" s="511">
        <v>0</v>
      </c>
      <c r="X30" s="512">
        <v>0</v>
      </c>
      <c r="Y30" s="512">
        <v>0</v>
      </c>
      <c r="Z30" s="512">
        <v>0</v>
      </c>
      <c r="AA30" s="512">
        <v>0</v>
      </c>
      <c r="AB30" s="512">
        <v>0</v>
      </c>
      <c r="AC30" s="512">
        <v>0</v>
      </c>
      <c r="AD30" s="486">
        <f t="shared" si="2"/>
        <v>0</v>
      </c>
      <c r="AE30" s="479">
        <f t="shared" si="3"/>
        <v>0</v>
      </c>
      <c r="AF30" s="479">
        <f t="shared" si="4"/>
        <v>0</v>
      </c>
      <c r="AG30" s="479">
        <f t="shared" si="5"/>
        <v>0</v>
      </c>
      <c r="AH30" s="479">
        <f t="shared" si="6"/>
        <v>0</v>
      </c>
      <c r="AI30" s="479">
        <f t="shared" si="7"/>
        <v>0</v>
      </c>
      <c r="AJ30" s="500">
        <f t="shared" si="8"/>
        <v>0</v>
      </c>
      <c r="AK30" s="480">
        <f t="shared" si="9"/>
        <v>0.036168735780385215</v>
      </c>
      <c r="AL30" s="480">
        <f t="shared" si="10"/>
        <v>0.03414623099449501</v>
      </c>
      <c r="AM30" s="480">
        <f t="shared" si="11"/>
        <v>0.026054495147101793</v>
      </c>
      <c r="AN30" s="480">
        <f t="shared" si="12"/>
        <v>0.019492263489815097</v>
      </c>
      <c r="AO30" s="480">
        <f t="shared" si="13"/>
        <v>0.010471404885721692</v>
      </c>
      <c r="AP30" s="480">
        <f t="shared" si="14"/>
        <v>0.0039712112485981175</v>
      </c>
      <c r="AQ30" s="480">
        <f t="shared" si="15"/>
        <v>0.0016824424300792135</v>
      </c>
      <c r="AR30" s="486">
        <f t="shared" si="16"/>
        <v>0.27123513306801356</v>
      </c>
      <c r="AS30" s="479">
        <f t="shared" si="17"/>
        <v>0.25606804627619034</v>
      </c>
      <c r="AT30" s="479">
        <f t="shared" si="18"/>
        <v>0.19538682527235413</v>
      </c>
      <c r="AU30" s="479">
        <f t="shared" si="19"/>
        <v>0.1461756007608091</v>
      </c>
      <c r="AV30" s="479">
        <f t="shared" si="20"/>
        <v>0.07852673963594978</v>
      </c>
      <c r="AW30" s="479">
        <f t="shared" si="21"/>
        <v>0.02978074815760759</v>
      </c>
      <c r="AX30" s="479">
        <f t="shared" si="22"/>
        <v>0.012616904808967237</v>
      </c>
      <c r="AY30" s="501">
        <v>0.9403871302900156</v>
      </c>
      <c r="AZ30" s="502">
        <v>0.8878020058568702</v>
      </c>
      <c r="BA30" s="502">
        <v>0.6774168738246467</v>
      </c>
      <c r="BB30" s="502">
        <v>0.5067988507351926</v>
      </c>
      <c r="BC30" s="502">
        <v>0.272256527028764</v>
      </c>
      <c r="BD30" s="503">
        <v>0.10325149246355105</v>
      </c>
      <c r="BE30" s="503">
        <v>0.04374350318205955</v>
      </c>
      <c r="BF30" s="486">
        <f t="shared" si="23"/>
        <v>0.8815141824710442</v>
      </c>
      <c r="BG30" s="479">
        <f t="shared" si="24"/>
        <v>0.8322211503976186</v>
      </c>
      <c r="BH30" s="479">
        <f t="shared" si="25"/>
        <v>0.6350071821351508</v>
      </c>
      <c r="BI30" s="479">
        <f t="shared" si="26"/>
        <v>0.4750707024726296</v>
      </c>
      <c r="BJ30" s="479">
        <f t="shared" si="27"/>
        <v>0.2552119038168368</v>
      </c>
      <c r="BK30" s="479">
        <f t="shared" si="28"/>
        <v>0.09678743151222466</v>
      </c>
      <c r="BL30" s="500">
        <f t="shared" si="29"/>
        <v>0.04100494062914352</v>
      </c>
      <c r="BM30" s="483">
        <f t="shared" si="30"/>
        <v>0</v>
      </c>
      <c r="BN30" s="483">
        <f t="shared" si="31"/>
        <v>0</v>
      </c>
      <c r="BO30" s="483">
        <f t="shared" si="32"/>
        <v>0</v>
      </c>
      <c r="BP30" s="483">
        <f t="shared" si="33"/>
        <v>0</v>
      </c>
      <c r="BQ30" s="483">
        <f t="shared" si="34"/>
        <v>0</v>
      </c>
      <c r="BR30" s="483">
        <f t="shared" si="35"/>
        <v>0</v>
      </c>
      <c r="BS30" s="486">
        <f t="shared" si="36"/>
        <v>0</v>
      </c>
      <c r="BT30" s="479">
        <f t="shared" si="37"/>
        <v>0</v>
      </c>
      <c r="BU30" s="479">
        <f t="shared" si="38"/>
        <v>0</v>
      </c>
      <c r="BV30" s="479">
        <f t="shared" si="39"/>
        <v>0</v>
      </c>
      <c r="BW30" s="479">
        <f t="shared" si="40"/>
        <v>0</v>
      </c>
      <c r="BX30" s="500">
        <f t="shared" si="41"/>
        <v>0</v>
      </c>
      <c r="BY30" s="479">
        <f t="shared" si="49"/>
        <v>1.1527493155390578</v>
      </c>
      <c r="BZ30" s="479">
        <f t="shared" si="42"/>
        <v>1.0882891966738089</v>
      </c>
      <c r="CA30" s="479">
        <f t="shared" si="43"/>
        <v>0.8303940074075049</v>
      </c>
      <c r="CB30" s="479">
        <f t="shared" si="44"/>
        <v>0.6212463032334388</v>
      </c>
      <c r="CC30" s="479">
        <f t="shared" si="45"/>
        <v>0.3337386434527866</v>
      </c>
      <c r="CD30" s="479">
        <f t="shared" si="46"/>
        <v>0.12656817966983225</v>
      </c>
      <c r="CE30" s="500">
        <f t="shared" si="47"/>
        <v>0.05362184543811076</v>
      </c>
      <c r="CF30" s="479">
        <f t="shared" si="50"/>
        <v>1.1556064746445276</v>
      </c>
      <c r="CG30" s="479">
        <f t="shared" si="51"/>
        <v>0.8817589059957842</v>
      </c>
      <c r="CH30" s="479">
        <f t="shared" si="52"/>
        <v>0.6596741496283723</v>
      </c>
      <c r="CI30" s="479">
        <f t="shared" si="53"/>
        <v>0.35438239981786573</v>
      </c>
      <c r="CJ30" s="479">
        <f t="shared" si="54"/>
        <v>0.1343971881347906</v>
      </c>
      <c r="CK30" s="479">
        <f t="shared" si="55"/>
        <v>0.05693868133585986</v>
      </c>
      <c r="CL30" s="12">
        <f t="shared" si="56"/>
        <v>2024</v>
      </c>
      <c r="CM30" s="12"/>
      <c r="CN30" s="12"/>
      <c r="CO30" s="12"/>
      <c r="CP30" t="s">
        <v>269</v>
      </c>
      <c r="CQ30" s="584">
        <f>NPV(0.07,CQ13:CQ28)</f>
        <v>-71.95303155561062</v>
      </c>
      <c r="CT30" s="644">
        <f>NPV(0.07,CT13:CT28)</f>
        <v>37.72404278979473</v>
      </c>
      <c r="CU30" s="647"/>
      <c r="CV30" s="644">
        <f>NPV(0.07,CV13:CV28)</f>
        <v>34.58037255731183</v>
      </c>
      <c r="CW30" s="644">
        <f>NPV(0.07,CW13:CW28)</f>
        <v>3.143670232482893</v>
      </c>
    </row>
    <row r="31" spans="1:101" ht="12.75">
      <c r="A31" s="459">
        <v>2025</v>
      </c>
      <c r="B31" s="460">
        <v>5.75312168121338</v>
      </c>
      <c r="C31" s="513">
        <v>5.612801640208176</v>
      </c>
      <c r="D31" s="470">
        <f t="shared" si="65"/>
        <v>9.34</v>
      </c>
      <c r="E31" s="470">
        <f t="shared" si="65"/>
        <v>7.34</v>
      </c>
      <c r="F31" s="488">
        <f t="shared" si="65"/>
        <v>6.5</v>
      </c>
      <c r="G31" s="461">
        <f t="shared" si="65"/>
        <v>5.34</v>
      </c>
      <c r="H31" s="460">
        <f t="shared" si="65"/>
        <v>4.22</v>
      </c>
      <c r="I31" s="470">
        <f t="shared" si="65"/>
        <v>3.5</v>
      </c>
      <c r="J31" s="489">
        <v>0.015</v>
      </c>
      <c r="K31" s="489">
        <v>0.1577</v>
      </c>
      <c r="L31" s="489">
        <v>0.277</v>
      </c>
      <c r="M31" s="489">
        <v>0.5517</v>
      </c>
      <c r="N31" s="489">
        <v>0.7793</v>
      </c>
      <c r="O31" s="489">
        <v>0.8843</v>
      </c>
      <c r="P31" s="494">
        <v>0.5718277126878902</v>
      </c>
      <c r="Q31" s="599">
        <v>0.5398519120229661</v>
      </c>
      <c r="R31" s="600">
        <v>0.4119215682756794</v>
      </c>
      <c r="S31" s="600">
        <v>0.3081726857739767</v>
      </c>
      <c r="T31" s="600">
        <v>0.16555291124325996</v>
      </c>
      <c r="U31" s="602">
        <v>0.06278484984033623</v>
      </c>
      <c r="V31" s="602">
        <v>0.026599414819552365</v>
      </c>
      <c r="W31" s="511">
        <v>0</v>
      </c>
      <c r="X31" s="512">
        <v>0</v>
      </c>
      <c r="Y31" s="512">
        <v>0</v>
      </c>
      <c r="Z31" s="512">
        <v>0</v>
      </c>
      <c r="AA31" s="512">
        <v>0</v>
      </c>
      <c r="AB31" s="512">
        <v>0</v>
      </c>
      <c r="AC31" s="512">
        <v>0</v>
      </c>
      <c r="AD31" s="486">
        <f t="shared" si="2"/>
        <v>0</v>
      </c>
      <c r="AE31" s="479">
        <f t="shared" si="3"/>
        <v>0</v>
      </c>
      <c r="AF31" s="479">
        <f t="shared" si="4"/>
        <v>0</v>
      </c>
      <c r="AG31" s="479">
        <f t="shared" si="5"/>
        <v>0</v>
      </c>
      <c r="AH31" s="479">
        <f t="shared" si="6"/>
        <v>0</v>
      </c>
      <c r="AI31" s="479">
        <f t="shared" si="7"/>
        <v>0</v>
      </c>
      <c r="AJ31" s="500">
        <f t="shared" si="8"/>
        <v>0</v>
      </c>
      <c r="AK31" s="480">
        <f t="shared" si="9"/>
        <v>0.018084367890192608</v>
      </c>
      <c r="AL31" s="480">
        <f t="shared" si="10"/>
        <v>0.017073115497247503</v>
      </c>
      <c r="AM31" s="480">
        <f t="shared" si="11"/>
        <v>0.013027247573550896</v>
      </c>
      <c r="AN31" s="480">
        <f t="shared" si="12"/>
        <v>0.009746131744907549</v>
      </c>
      <c r="AO31" s="480">
        <f t="shared" si="13"/>
        <v>0.005235702442860846</v>
      </c>
      <c r="AP31" s="480">
        <f t="shared" si="14"/>
        <v>0.0019856056242990587</v>
      </c>
      <c r="AQ31" s="480">
        <f t="shared" si="15"/>
        <v>0.0008412212150396067</v>
      </c>
      <c r="AR31" s="486">
        <f t="shared" si="16"/>
        <v>0.13872209200014154</v>
      </c>
      <c r="AS31" s="479">
        <f t="shared" si="17"/>
        <v>0.13096494791076635</v>
      </c>
      <c r="AT31" s="479">
        <f t="shared" si="18"/>
        <v>0.09992978728257342</v>
      </c>
      <c r="AU31" s="479">
        <f t="shared" si="19"/>
        <v>0.07476090913278614</v>
      </c>
      <c r="AV31" s="479">
        <f t="shared" si="20"/>
        <v>0.04016217765387279</v>
      </c>
      <c r="AW31" s="479">
        <f t="shared" si="21"/>
        <v>0.015231241023325525</v>
      </c>
      <c r="AX31" s="479">
        <f t="shared" si="22"/>
        <v>0.006452864014588033</v>
      </c>
      <c r="AY31" s="501">
        <v>0.4701935651450078</v>
      </c>
      <c r="AZ31" s="502">
        <v>0.4439010029284351</v>
      </c>
      <c r="BA31" s="502">
        <v>0.33870843691232333</v>
      </c>
      <c r="BB31" s="502">
        <v>0.2533994253675963</v>
      </c>
      <c r="BC31" s="502">
        <v>0.136128263514382</v>
      </c>
      <c r="BD31" s="503">
        <v>0.05162574623177552</v>
      </c>
      <c r="BE31" s="503">
        <v>0.021871751591029776</v>
      </c>
      <c r="BF31" s="486">
        <f t="shared" si="23"/>
        <v>0.45084679900046</v>
      </c>
      <c r="BG31" s="479">
        <f t="shared" si="24"/>
        <v>0.42563608070999065</v>
      </c>
      <c r="BH31" s="479">
        <f t="shared" si="25"/>
        <v>0.3247718086683636</v>
      </c>
      <c r="BI31" s="479">
        <f t="shared" si="26"/>
        <v>0.242972954681555</v>
      </c>
      <c r="BJ31" s="479">
        <f t="shared" si="27"/>
        <v>0.13052707737508656</v>
      </c>
      <c r="BK31" s="479">
        <f t="shared" si="28"/>
        <v>0.04950153332580795</v>
      </c>
      <c r="BL31" s="500">
        <f t="shared" si="29"/>
        <v>0.020971808047411104</v>
      </c>
      <c r="BM31" s="483">
        <f t="shared" si="30"/>
        <v>0</v>
      </c>
      <c r="BN31" s="483">
        <f t="shared" si="31"/>
        <v>0</v>
      </c>
      <c r="BO31" s="483">
        <f t="shared" si="32"/>
        <v>0</v>
      </c>
      <c r="BP31" s="483">
        <f t="shared" si="33"/>
        <v>0</v>
      </c>
      <c r="BQ31" s="483">
        <f t="shared" si="34"/>
        <v>0</v>
      </c>
      <c r="BR31" s="483">
        <f t="shared" si="35"/>
        <v>0</v>
      </c>
      <c r="BS31" s="486">
        <f t="shared" si="36"/>
        <v>0</v>
      </c>
      <c r="BT31" s="479">
        <f t="shared" si="37"/>
        <v>0</v>
      </c>
      <c r="BU31" s="479">
        <f t="shared" si="38"/>
        <v>0</v>
      </c>
      <c r="BV31" s="479">
        <f t="shared" si="39"/>
        <v>0</v>
      </c>
      <c r="BW31" s="479">
        <f t="shared" si="40"/>
        <v>0</v>
      </c>
      <c r="BX31" s="500">
        <f t="shared" si="41"/>
        <v>0</v>
      </c>
      <c r="BY31" s="479">
        <f t="shared" si="49"/>
        <v>0.5895688910006015</v>
      </c>
      <c r="BZ31" s="479">
        <f t="shared" si="42"/>
        <v>0.556601028620757</v>
      </c>
      <c r="CA31" s="479">
        <f t="shared" si="43"/>
        <v>0.424701595950937</v>
      </c>
      <c r="CB31" s="479">
        <f t="shared" si="44"/>
        <v>0.31773386381434116</v>
      </c>
      <c r="CC31" s="479">
        <f t="shared" si="45"/>
        <v>0.17068925502895935</v>
      </c>
      <c r="CD31" s="479">
        <f t="shared" si="46"/>
        <v>0.06473277434913348</v>
      </c>
      <c r="CE31" s="500">
        <f t="shared" si="47"/>
        <v>0.02742467206199914</v>
      </c>
      <c r="CF31" s="479">
        <f t="shared" si="50"/>
        <v>0.5910301732607749</v>
      </c>
      <c r="CG31" s="479">
        <f t="shared" si="51"/>
        <v>0.45097196183954213</v>
      </c>
      <c r="CH31" s="479">
        <f t="shared" si="52"/>
        <v>0.337387627626821</v>
      </c>
      <c r="CI31" s="479">
        <f t="shared" si="53"/>
        <v>0.18124741922145324</v>
      </c>
      <c r="CJ31" s="479">
        <f t="shared" si="54"/>
        <v>0.06873688849268547</v>
      </c>
      <c r="CK31" s="479">
        <f t="shared" si="55"/>
        <v>0.029121054124869827</v>
      </c>
      <c r="CL31" s="12">
        <f t="shared" si="56"/>
        <v>2025</v>
      </c>
      <c r="CM31" s="12"/>
      <c r="CN31" s="12"/>
      <c r="CO31" s="12"/>
      <c r="CP31" s="740" t="s">
        <v>290</v>
      </c>
      <c r="CQ31" s="639">
        <f>PMT(0.07,20,-CQ30,CQ28,0)</f>
        <v>-6.821152873682076</v>
      </c>
      <c r="CT31" s="648">
        <f>PMT(0.07,20,-CT30,CT28,0)</f>
        <v>3.4013997878357825</v>
      </c>
      <c r="CU31" s="647"/>
      <c r="CV31" s="648">
        <f>PMT(0.07,20,-CV30,CV28,0)</f>
        <v>3.117949805516133</v>
      </c>
      <c r="CW31" s="648">
        <f>PMT(0.07,20,-CW30,CW28,0)</f>
        <v>0.2834499823196484</v>
      </c>
    </row>
    <row r="32" spans="1:101" ht="12.75">
      <c r="A32" s="459">
        <v>2026</v>
      </c>
      <c r="B32" s="460">
        <v>5.833718605041501</v>
      </c>
      <c r="C32" s="513">
        <v>5.6914327854063425</v>
      </c>
      <c r="D32" s="470">
        <f t="shared" si="65"/>
        <v>9.34</v>
      </c>
      <c r="E32" s="470">
        <f t="shared" si="65"/>
        <v>7.34</v>
      </c>
      <c r="F32" s="488">
        <f t="shared" si="65"/>
        <v>6.5</v>
      </c>
      <c r="G32" s="461">
        <f t="shared" si="65"/>
        <v>5.34</v>
      </c>
      <c r="H32" s="460">
        <f t="shared" si="65"/>
        <v>4.22</v>
      </c>
      <c r="I32" s="470">
        <f t="shared" si="65"/>
        <v>3.5</v>
      </c>
      <c r="J32" s="489">
        <f aca="true" t="shared" si="66" ref="J32:O47">J31+((J31-J29)/3)</f>
        <v>0.017333333333333333</v>
      </c>
      <c r="K32" s="489">
        <f t="shared" si="66"/>
        <v>0.1701666666666667</v>
      </c>
      <c r="L32" s="489">
        <f t="shared" si="66"/>
        <v>0.2894333333333334</v>
      </c>
      <c r="M32" s="489">
        <f t="shared" si="66"/>
        <v>0.5645</v>
      </c>
      <c r="N32" s="489">
        <f t="shared" si="66"/>
        <v>0.7887333333333333</v>
      </c>
      <c r="O32" s="489">
        <f t="shared" si="66"/>
        <v>0.8865</v>
      </c>
      <c r="P32" s="494">
        <v>0</v>
      </c>
      <c r="Q32" s="495">
        <v>0</v>
      </c>
      <c r="R32" s="496">
        <v>0</v>
      </c>
      <c r="S32" s="496">
        <v>0</v>
      </c>
      <c r="T32" s="496">
        <v>0</v>
      </c>
      <c r="U32" s="510">
        <v>0</v>
      </c>
      <c r="V32" s="510">
        <v>0</v>
      </c>
      <c r="W32" s="511">
        <v>0</v>
      </c>
      <c r="X32" s="512">
        <v>0</v>
      </c>
      <c r="Y32" s="512">
        <v>0</v>
      </c>
      <c r="Z32" s="512">
        <v>0</v>
      </c>
      <c r="AA32" s="512">
        <v>0</v>
      </c>
      <c r="AB32" s="512">
        <v>0</v>
      </c>
      <c r="AC32" s="512">
        <v>0</v>
      </c>
      <c r="AD32" s="486">
        <f t="shared" si="2"/>
        <v>0</v>
      </c>
      <c r="AE32" s="479">
        <f t="shared" si="3"/>
        <v>0</v>
      </c>
      <c r="AF32" s="479">
        <f t="shared" si="4"/>
        <v>0</v>
      </c>
      <c r="AG32" s="479">
        <f t="shared" si="5"/>
        <v>0</v>
      </c>
      <c r="AH32" s="479">
        <f t="shared" si="6"/>
        <v>0</v>
      </c>
      <c r="AI32" s="479">
        <f t="shared" si="7"/>
        <v>0</v>
      </c>
      <c r="AJ32" s="500">
        <f t="shared" si="8"/>
        <v>0</v>
      </c>
      <c r="AK32" s="480">
        <f t="shared" si="9"/>
        <v>0</v>
      </c>
      <c r="AL32" s="480">
        <f t="shared" si="10"/>
        <v>0</v>
      </c>
      <c r="AM32" s="480">
        <f t="shared" si="11"/>
        <v>0</v>
      </c>
      <c r="AN32" s="480">
        <f t="shared" si="12"/>
        <v>0</v>
      </c>
      <c r="AO32" s="480">
        <f t="shared" si="13"/>
        <v>0</v>
      </c>
      <c r="AP32" s="480">
        <f t="shared" si="14"/>
        <v>0</v>
      </c>
      <c r="AQ32" s="480">
        <f t="shared" si="15"/>
        <v>0</v>
      </c>
      <c r="AR32" s="486">
        <f t="shared" si="16"/>
        <v>0</v>
      </c>
      <c r="AS32" s="479">
        <f t="shared" si="17"/>
        <v>0</v>
      </c>
      <c r="AT32" s="479">
        <f t="shared" si="18"/>
        <v>0</v>
      </c>
      <c r="AU32" s="479">
        <f t="shared" si="19"/>
        <v>0</v>
      </c>
      <c r="AV32" s="479">
        <f t="shared" si="20"/>
        <v>0</v>
      </c>
      <c r="AW32" s="479">
        <f t="shared" si="21"/>
        <v>0</v>
      </c>
      <c r="AX32" s="479">
        <f t="shared" si="22"/>
        <v>0</v>
      </c>
      <c r="AY32" s="501">
        <v>0</v>
      </c>
      <c r="AZ32" s="502">
        <v>0</v>
      </c>
      <c r="BA32" s="502">
        <v>0</v>
      </c>
      <c r="BB32" s="502">
        <v>0</v>
      </c>
      <c r="BC32" s="502">
        <v>0</v>
      </c>
      <c r="BD32" s="503">
        <v>0</v>
      </c>
      <c r="BE32" s="503">
        <v>0</v>
      </c>
      <c r="BF32" s="486">
        <f t="shared" si="23"/>
        <v>0</v>
      </c>
      <c r="BG32" s="479">
        <f t="shared" si="24"/>
        <v>0</v>
      </c>
      <c r="BH32" s="479">
        <f t="shared" si="25"/>
        <v>0</v>
      </c>
      <c r="BI32" s="479">
        <f t="shared" si="26"/>
        <v>0</v>
      </c>
      <c r="BJ32" s="479">
        <f t="shared" si="27"/>
        <v>0</v>
      </c>
      <c r="BK32" s="479">
        <f t="shared" si="28"/>
        <v>0</v>
      </c>
      <c r="BL32" s="500">
        <f t="shared" si="29"/>
        <v>0</v>
      </c>
      <c r="BM32" s="483">
        <f t="shared" si="30"/>
        <v>0</v>
      </c>
      <c r="BN32" s="483">
        <f t="shared" si="31"/>
        <v>0</v>
      </c>
      <c r="BO32" s="483">
        <f t="shared" si="32"/>
        <v>0</v>
      </c>
      <c r="BP32" s="483">
        <f t="shared" si="33"/>
        <v>0</v>
      </c>
      <c r="BQ32" s="483">
        <f t="shared" si="34"/>
        <v>0</v>
      </c>
      <c r="BR32" s="483">
        <f t="shared" si="35"/>
        <v>0</v>
      </c>
      <c r="BS32" s="486">
        <f t="shared" si="36"/>
        <v>0</v>
      </c>
      <c r="BT32" s="479">
        <f t="shared" si="37"/>
        <v>0</v>
      </c>
      <c r="BU32" s="479">
        <f t="shared" si="38"/>
        <v>0</v>
      </c>
      <c r="BV32" s="479">
        <f t="shared" si="39"/>
        <v>0</v>
      </c>
      <c r="BW32" s="479">
        <f t="shared" si="40"/>
        <v>0</v>
      </c>
      <c r="BX32" s="500">
        <f t="shared" si="41"/>
        <v>0</v>
      </c>
      <c r="BY32" s="479">
        <f t="shared" si="49"/>
        <v>0</v>
      </c>
      <c r="BZ32" s="479">
        <f t="shared" si="42"/>
        <v>0</v>
      </c>
      <c r="CA32" s="479">
        <f t="shared" si="43"/>
        <v>0</v>
      </c>
      <c r="CB32" s="479">
        <f t="shared" si="44"/>
        <v>0</v>
      </c>
      <c r="CC32" s="479">
        <f t="shared" si="45"/>
        <v>0</v>
      </c>
      <c r="CD32" s="479">
        <f t="shared" si="46"/>
        <v>0</v>
      </c>
      <c r="CE32" s="500">
        <f t="shared" si="47"/>
        <v>0</v>
      </c>
      <c r="CF32" s="479">
        <f t="shared" si="50"/>
        <v>0</v>
      </c>
      <c r="CG32" s="479">
        <f t="shared" si="51"/>
        <v>0</v>
      </c>
      <c r="CH32" s="479">
        <f t="shared" si="52"/>
        <v>0</v>
      </c>
      <c r="CI32" s="479">
        <f t="shared" si="53"/>
        <v>0</v>
      </c>
      <c r="CJ32" s="479">
        <f t="shared" si="54"/>
        <v>0</v>
      </c>
      <c r="CK32" s="479">
        <f t="shared" si="55"/>
        <v>0</v>
      </c>
      <c r="CL32" s="12">
        <f t="shared" si="56"/>
        <v>2026</v>
      </c>
      <c r="CM32" s="12"/>
      <c r="CN32" s="12"/>
      <c r="CO32" s="12"/>
      <c r="CP32" s="740"/>
      <c r="CS32" s="649" t="s">
        <v>291</v>
      </c>
      <c r="CT32" s="650">
        <f>PMT(0.07,16,-CT30,CT28,0)</f>
        <v>3.7589381424461763</v>
      </c>
      <c r="CU32" s="651"/>
      <c r="CV32" s="650">
        <f>PMT(0.07,16,-CV30,CV28,0)</f>
        <v>3.445693297242328</v>
      </c>
      <c r="CW32" s="650">
        <f>PMT(0.07,16,-CW30,CW28,0)</f>
        <v>0.3132448452038479</v>
      </c>
    </row>
    <row r="33" spans="1:93" ht="12.75">
      <c r="A33" s="459">
        <v>2027</v>
      </c>
      <c r="B33" s="460">
        <v>5.93260366439819</v>
      </c>
      <c r="C33" s="513">
        <v>5.7879060140470155</v>
      </c>
      <c r="D33" s="470">
        <f t="shared" si="65"/>
        <v>9.34</v>
      </c>
      <c r="E33" s="470">
        <f t="shared" si="65"/>
        <v>7.34</v>
      </c>
      <c r="F33" s="488">
        <f t="shared" si="65"/>
        <v>6.5</v>
      </c>
      <c r="G33" s="461">
        <f t="shared" si="65"/>
        <v>5.34</v>
      </c>
      <c r="H33" s="460">
        <f t="shared" si="65"/>
        <v>4.22</v>
      </c>
      <c r="I33" s="470">
        <f t="shared" si="65"/>
        <v>3.5</v>
      </c>
      <c r="J33" s="489">
        <f t="shared" si="66"/>
        <v>0.019444444444444445</v>
      </c>
      <c r="K33" s="489">
        <f t="shared" si="66"/>
        <v>0.17822222222222225</v>
      </c>
      <c r="L33" s="489">
        <f t="shared" si="66"/>
        <v>0.30081111111111114</v>
      </c>
      <c r="M33" s="489">
        <f t="shared" si="66"/>
        <v>0.5735666666666667</v>
      </c>
      <c r="N33" s="489">
        <f t="shared" si="66"/>
        <v>0.7954111111111111</v>
      </c>
      <c r="O33" s="489">
        <f t="shared" si="66"/>
        <v>0.8903333333333333</v>
      </c>
      <c r="P33" s="494">
        <v>0</v>
      </c>
      <c r="Q33" s="495">
        <v>0</v>
      </c>
      <c r="R33" s="496">
        <v>0</v>
      </c>
      <c r="S33" s="496">
        <v>0</v>
      </c>
      <c r="T33" s="496">
        <v>0</v>
      </c>
      <c r="U33" s="510">
        <v>0</v>
      </c>
      <c r="V33" s="510">
        <v>0</v>
      </c>
      <c r="W33" s="511">
        <v>0</v>
      </c>
      <c r="X33" s="512">
        <v>0</v>
      </c>
      <c r="Y33" s="512">
        <v>0</v>
      </c>
      <c r="Z33" s="512">
        <v>0</v>
      </c>
      <c r="AA33" s="512">
        <v>0</v>
      </c>
      <c r="AB33" s="512">
        <v>0</v>
      </c>
      <c r="AC33" s="512">
        <v>0</v>
      </c>
      <c r="AD33" s="486">
        <f t="shared" si="2"/>
        <v>0</v>
      </c>
      <c r="AE33" s="479">
        <f t="shared" si="3"/>
        <v>0</v>
      </c>
      <c r="AF33" s="479">
        <f t="shared" si="4"/>
        <v>0</v>
      </c>
      <c r="AG33" s="479">
        <f t="shared" si="5"/>
        <v>0</v>
      </c>
      <c r="AH33" s="479">
        <f t="shared" si="6"/>
        <v>0</v>
      </c>
      <c r="AI33" s="479">
        <f t="shared" si="7"/>
        <v>0</v>
      </c>
      <c r="AJ33" s="500">
        <f t="shared" si="8"/>
        <v>0</v>
      </c>
      <c r="AK33" s="480">
        <f t="shared" si="9"/>
        <v>0</v>
      </c>
      <c r="AL33" s="480">
        <f t="shared" si="10"/>
        <v>0</v>
      </c>
      <c r="AM33" s="480">
        <f t="shared" si="11"/>
        <v>0</v>
      </c>
      <c r="AN33" s="480">
        <f t="shared" si="12"/>
        <v>0</v>
      </c>
      <c r="AO33" s="480">
        <f t="shared" si="13"/>
        <v>0</v>
      </c>
      <c r="AP33" s="480">
        <f t="shared" si="14"/>
        <v>0</v>
      </c>
      <c r="AQ33" s="480">
        <f t="shared" si="15"/>
        <v>0</v>
      </c>
      <c r="AR33" s="486">
        <f t="shared" si="16"/>
        <v>0</v>
      </c>
      <c r="AS33" s="479">
        <f t="shared" si="17"/>
        <v>0</v>
      </c>
      <c r="AT33" s="479">
        <f t="shared" si="18"/>
        <v>0</v>
      </c>
      <c r="AU33" s="479">
        <f t="shared" si="19"/>
        <v>0</v>
      </c>
      <c r="AV33" s="479">
        <f t="shared" si="20"/>
        <v>0</v>
      </c>
      <c r="AW33" s="479">
        <f t="shared" si="21"/>
        <v>0</v>
      </c>
      <c r="AX33" s="479">
        <f t="shared" si="22"/>
        <v>0</v>
      </c>
      <c r="AY33" s="501">
        <v>0</v>
      </c>
      <c r="AZ33" s="502">
        <v>0</v>
      </c>
      <c r="BA33" s="502">
        <v>0</v>
      </c>
      <c r="BB33" s="502">
        <v>0</v>
      </c>
      <c r="BC33" s="502">
        <v>0</v>
      </c>
      <c r="BD33" s="503">
        <v>0</v>
      </c>
      <c r="BE33" s="503">
        <v>0</v>
      </c>
      <c r="BF33" s="486">
        <f t="shared" si="23"/>
        <v>0</v>
      </c>
      <c r="BG33" s="479">
        <f t="shared" si="24"/>
        <v>0</v>
      </c>
      <c r="BH33" s="479">
        <f t="shared" si="25"/>
        <v>0</v>
      </c>
      <c r="BI33" s="479">
        <f t="shared" si="26"/>
        <v>0</v>
      </c>
      <c r="BJ33" s="479">
        <f t="shared" si="27"/>
        <v>0</v>
      </c>
      <c r="BK33" s="479">
        <f t="shared" si="28"/>
        <v>0</v>
      </c>
      <c r="BL33" s="500">
        <f t="shared" si="29"/>
        <v>0</v>
      </c>
      <c r="BM33" s="483">
        <f t="shared" si="30"/>
        <v>0</v>
      </c>
      <c r="BN33" s="483">
        <f t="shared" si="31"/>
        <v>0</v>
      </c>
      <c r="BO33" s="483">
        <f t="shared" si="32"/>
        <v>0</v>
      </c>
      <c r="BP33" s="483">
        <f t="shared" si="33"/>
        <v>0</v>
      </c>
      <c r="BQ33" s="483">
        <f t="shared" si="34"/>
        <v>0</v>
      </c>
      <c r="BR33" s="483">
        <f t="shared" si="35"/>
        <v>0</v>
      </c>
      <c r="BS33" s="486">
        <f t="shared" si="36"/>
        <v>0</v>
      </c>
      <c r="BT33" s="479">
        <f t="shared" si="37"/>
        <v>0</v>
      </c>
      <c r="BU33" s="479">
        <f t="shared" si="38"/>
        <v>0</v>
      </c>
      <c r="BV33" s="479">
        <f t="shared" si="39"/>
        <v>0</v>
      </c>
      <c r="BW33" s="479">
        <f t="shared" si="40"/>
        <v>0</v>
      </c>
      <c r="BX33" s="500">
        <f t="shared" si="41"/>
        <v>0</v>
      </c>
      <c r="BY33" s="479">
        <f t="shared" si="49"/>
        <v>0</v>
      </c>
      <c r="BZ33" s="479">
        <f t="shared" si="42"/>
        <v>0</v>
      </c>
      <c r="CA33" s="479">
        <f t="shared" si="43"/>
        <v>0</v>
      </c>
      <c r="CB33" s="479">
        <f t="shared" si="44"/>
        <v>0</v>
      </c>
      <c r="CC33" s="479">
        <f t="shared" si="45"/>
        <v>0</v>
      </c>
      <c r="CD33" s="479">
        <f t="shared" si="46"/>
        <v>0</v>
      </c>
      <c r="CE33" s="500">
        <f t="shared" si="47"/>
        <v>0</v>
      </c>
      <c r="CF33" s="479">
        <f t="shared" si="50"/>
        <v>0</v>
      </c>
      <c r="CG33" s="479">
        <f t="shared" si="51"/>
        <v>0</v>
      </c>
      <c r="CH33" s="479">
        <f t="shared" si="52"/>
        <v>0</v>
      </c>
      <c r="CI33" s="479">
        <f t="shared" si="53"/>
        <v>0</v>
      </c>
      <c r="CJ33" s="479">
        <f t="shared" si="54"/>
        <v>0</v>
      </c>
      <c r="CK33" s="479">
        <f t="shared" si="55"/>
        <v>0</v>
      </c>
      <c r="CL33" s="12">
        <f t="shared" si="56"/>
        <v>2027</v>
      </c>
      <c r="CM33" s="12"/>
      <c r="CN33" s="12"/>
      <c r="CO33" s="12"/>
    </row>
    <row r="34" spans="1:93" ht="12.75">
      <c r="A34" s="459">
        <v>2028</v>
      </c>
      <c r="B34" s="460">
        <v>5.99089939117432</v>
      </c>
      <c r="C34" s="513">
        <v>5.844779893828606</v>
      </c>
      <c r="D34" s="470">
        <f t="shared" si="65"/>
        <v>9.34</v>
      </c>
      <c r="E34" s="470">
        <f t="shared" si="65"/>
        <v>7.34</v>
      </c>
      <c r="F34" s="488">
        <f t="shared" si="65"/>
        <v>6.5</v>
      </c>
      <c r="G34" s="461">
        <f t="shared" si="65"/>
        <v>5.34</v>
      </c>
      <c r="H34" s="460">
        <f t="shared" si="65"/>
        <v>4.22</v>
      </c>
      <c r="I34" s="470">
        <f t="shared" si="65"/>
        <v>3.5</v>
      </c>
      <c r="J34" s="489">
        <f t="shared" si="66"/>
        <v>0.020925925925925928</v>
      </c>
      <c r="K34" s="489">
        <f t="shared" si="66"/>
        <v>0.185062962962963</v>
      </c>
      <c r="L34" s="489">
        <f t="shared" si="66"/>
        <v>0.30874814814814816</v>
      </c>
      <c r="M34" s="489">
        <f t="shared" si="66"/>
        <v>0.5808555555555556</v>
      </c>
      <c r="N34" s="489">
        <f t="shared" si="66"/>
        <v>0.8007814814814814</v>
      </c>
      <c r="O34" s="489">
        <f t="shared" si="66"/>
        <v>0.8923444444444444</v>
      </c>
      <c r="P34" s="494">
        <v>0</v>
      </c>
      <c r="Q34" s="495">
        <v>0</v>
      </c>
      <c r="R34" s="496">
        <v>0</v>
      </c>
      <c r="S34" s="496">
        <v>0</v>
      </c>
      <c r="T34" s="496">
        <v>0</v>
      </c>
      <c r="U34" s="510">
        <v>0</v>
      </c>
      <c r="V34" s="510">
        <v>0</v>
      </c>
      <c r="W34" s="511">
        <v>0</v>
      </c>
      <c r="X34" s="512">
        <v>0</v>
      </c>
      <c r="Y34" s="512">
        <v>0</v>
      </c>
      <c r="Z34" s="512">
        <v>0</v>
      </c>
      <c r="AA34" s="512">
        <v>0</v>
      </c>
      <c r="AB34" s="512">
        <v>0</v>
      </c>
      <c r="AC34" s="512">
        <v>0</v>
      </c>
      <c r="AD34" s="486">
        <f t="shared" si="2"/>
        <v>0</v>
      </c>
      <c r="AE34" s="479">
        <f t="shared" si="3"/>
        <v>0</v>
      </c>
      <c r="AF34" s="479">
        <f t="shared" si="4"/>
        <v>0</v>
      </c>
      <c r="AG34" s="479">
        <f t="shared" si="5"/>
        <v>0</v>
      </c>
      <c r="AH34" s="479">
        <f t="shared" si="6"/>
        <v>0</v>
      </c>
      <c r="AI34" s="479">
        <f t="shared" si="7"/>
        <v>0</v>
      </c>
      <c r="AJ34" s="500">
        <f t="shared" si="8"/>
        <v>0</v>
      </c>
      <c r="AK34" s="480">
        <f t="shared" si="9"/>
        <v>0</v>
      </c>
      <c r="AL34" s="480">
        <f t="shared" si="10"/>
        <v>0</v>
      </c>
      <c r="AM34" s="480">
        <f t="shared" si="11"/>
        <v>0</v>
      </c>
      <c r="AN34" s="480">
        <f t="shared" si="12"/>
        <v>0</v>
      </c>
      <c r="AO34" s="480">
        <f t="shared" si="13"/>
        <v>0</v>
      </c>
      <c r="AP34" s="480">
        <f t="shared" si="14"/>
        <v>0</v>
      </c>
      <c r="AQ34" s="480">
        <f t="shared" si="15"/>
        <v>0</v>
      </c>
      <c r="AR34" s="486">
        <f t="shared" si="16"/>
        <v>0</v>
      </c>
      <c r="AS34" s="479">
        <f t="shared" si="17"/>
        <v>0</v>
      </c>
      <c r="AT34" s="479">
        <f t="shared" si="18"/>
        <v>0</v>
      </c>
      <c r="AU34" s="479">
        <f t="shared" si="19"/>
        <v>0</v>
      </c>
      <c r="AV34" s="479">
        <f t="shared" si="20"/>
        <v>0</v>
      </c>
      <c r="AW34" s="479">
        <f t="shared" si="21"/>
        <v>0</v>
      </c>
      <c r="AX34" s="479">
        <f t="shared" si="22"/>
        <v>0</v>
      </c>
      <c r="AY34" s="501">
        <v>0</v>
      </c>
      <c r="AZ34" s="502">
        <v>0</v>
      </c>
      <c r="BA34" s="502">
        <v>0</v>
      </c>
      <c r="BB34" s="502">
        <v>0</v>
      </c>
      <c r="BC34" s="502">
        <v>0</v>
      </c>
      <c r="BD34" s="503">
        <v>0</v>
      </c>
      <c r="BE34" s="503">
        <v>0</v>
      </c>
      <c r="BF34" s="486">
        <f t="shared" si="23"/>
        <v>0</v>
      </c>
      <c r="BG34" s="479">
        <f t="shared" si="24"/>
        <v>0</v>
      </c>
      <c r="BH34" s="479">
        <f t="shared" si="25"/>
        <v>0</v>
      </c>
      <c r="BI34" s="479">
        <f t="shared" si="26"/>
        <v>0</v>
      </c>
      <c r="BJ34" s="479">
        <f t="shared" si="27"/>
        <v>0</v>
      </c>
      <c r="BK34" s="479">
        <f t="shared" si="28"/>
        <v>0</v>
      </c>
      <c r="BL34" s="500">
        <f t="shared" si="29"/>
        <v>0</v>
      </c>
      <c r="BM34" s="483">
        <f t="shared" si="30"/>
        <v>0</v>
      </c>
      <c r="BN34" s="483">
        <f t="shared" si="31"/>
        <v>0</v>
      </c>
      <c r="BO34" s="483">
        <f t="shared" si="32"/>
        <v>0</v>
      </c>
      <c r="BP34" s="483">
        <f t="shared" si="33"/>
        <v>0</v>
      </c>
      <c r="BQ34" s="483">
        <f t="shared" si="34"/>
        <v>0</v>
      </c>
      <c r="BR34" s="483">
        <f t="shared" si="35"/>
        <v>0</v>
      </c>
      <c r="BS34" s="486">
        <f t="shared" si="36"/>
        <v>0</v>
      </c>
      <c r="BT34" s="479">
        <f t="shared" si="37"/>
        <v>0</v>
      </c>
      <c r="BU34" s="479">
        <f t="shared" si="38"/>
        <v>0</v>
      </c>
      <c r="BV34" s="479">
        <f t="shared" si="39"/>
        <v>0</v>
      </c>
      <c r="BW34" s="479">
        <f t="shared" si="40"/>
        <v>0</v>
      </c>
      <c r="BX34" s="500">
        <f t="shared" si="41"/>
        <v>0</v>
      </c>
      <c r="BY34" s="479">
        <f t="shared" si="49"/>
        <v>0</v>
      </c>
      <c r="BZ34" s="479">
        <f t="shared" si="42"/>
        <v>0</v>
      </c>
      <c r="CA34" s="479">
        <f t="shared" si="43"/>
        <v>0</v>
      </c>
      <c r="CB34" s="479">
        <f t="shared" si="44"/>
        <v>0</v>
      </c>
      <c r="CC34" s="479">
        <f t="shared" si="45"/>
        <v>0</v>
      </c>
      <c r="CD34" s="479">
        <f t="shared" si="46"/>
        <v>0</v>
      </c>
      <c r="CE34" s="500">
        <f t="shared" si="47"/>
        <v>0</v>
      </c>
      <c r="CF34" s="479">
        <f t="shared" si="50"/>
        <v>0</v>
      </c>
      <c r="CG34" s="479">
        <f t="shared" si="51"/>
        <v>0</v>
      </c>
      <c r="CH34" s="479">
        <f t="shared" si="52"/>
        <v>0</v>
      </c>
      <c r="CI34" s="479">
        <f t="shared" si="53"/>
        <v>0</v>
      </c>
      <c r="CJ34" s="479">
        <f t="shared" si="54"/>
        <v>0</v>
      </c>
      <c r="CK34" s="479">
        <f t="shared" si="55"/>
        <v>0</v>
      </c>
      <c r="CL34" s="12">
        <f t="shared" si="56"/>
        <v>2028</v>
      </c>
      <c r="CM34" s="12"/>
      <c r="CN34" s="12"/>
      <c r="CO34" s="12"/>
    </row>
    <row r="35" spans="1:93" ht="12.75">
      <c r="A35" s="459">
        <v>2029</v>
      </c>
      <c r="B35" s="460">
        <v>6.071451492309571</v>
      </c>
      <c r="C35" s="513">
        <v>5.923367309570313</v>
      </c>
      <c r="D35" s="470">
        <f t="shared" si="65"/>
        <v>9.34</v>
      </c>
      <c r="E35" s="470">
        <f t="shared" si="65"/>
        <v>7.34</v>
      </c>
      <c r="F35" s="488">
        <f t="shared" si="65"/>
        <v>6.5</v>
      </c>
      <c r="G35" s="461">
        <f t="shared" si="65"/>
        <v>5.34</v>
      </c>
      <c r="H35" s="460">
        <f t="shared" si="65"/>
        <v>4.22</v>
      </c>
      <c r="I35" s="470">
        <f t="shared" si="65"/>
        <v>3.5</v>
      </c>
      <c r="J35" s="489">
        <f t="shared" si="66"/>
        <v>0.02212345679012346</v>
      </c>
      <c r="K35" s="489">
        <f t="shared" si="66"/>
        <v>0.19002839506172844</v>
      </c>
      <c r="L35" s="489">
        <f t="shared" si="66"/>
        <v>0.3151864197530864</v>
      </c>
      <c r="M35" s="489">
        <f t="shared" si="66"/>
        <v>0.5863074074074074</v>
      </c>
      <c r="N35" s="489">
        <f t="shared" si="66"/>
        <v>0.8047975308641975</v>
      </c>
      <c r="O35" s="489">
        <f t="shared" si="66"/>
        <v>0.8942925925925925</v>
      </c>
      <c r="P35" s="494">
        <v>0</v>
      </c>
      <c r="Q35" s="495">
        <v>0</v>
      </c>
      <c r="R35" s="496">
        <v>0</v>
      </c>
      <c r="S35" s="496">
        <v>0</v>
      </c>
      <c r="T35" s="496">
        <v>0</v>
      </c>
      <c r="U35" s="510">
        <v>0</v>
      </c>
      <c r="V35" s="510">
        <v>0</v>
      </c>
      <c r="W35" s="511">
        <v>0</v>
      </c>
      <c r="X35" s="512">
        <v>0</v>
      </c>
      <c r="Y35" s="512">
        <v>0</v>
      </c>
      <c r="Z35" s="512">
        <v>0</v>
      </c>
      <c r="AA35" s="512">
        <v>0</v>
      </c>
      <c r="AB35" s="512">
        <v>0</v>
      </c>
      <c r="AC35" s="512">
        <v>0</v>
      </c>
      <c r="AD35" s="486">
        <f t="shared" si="2"/>
        <v>0</v>
      </c>
      <c r="AE35" s="479">
        <f t="shared" si="3"/>
        <v>0</v>
      </c>
      <c r="AF35" s="479">
        <f t="shared" si="4"/>
        <v>0</v>
      </c>
      <c r="AG35" s="479">
        <f t="shared" si="5"/>
        <v>0</v>
      </c>
      <c r="AH35" s="479">
        <f t="shared" si="6"/>
        <v>0</v>
      </c>
      <c r="AI35" s="479">
        <f t="shared" si="7"/>
        <v>0</v>
      </c>
      <c r="AJ35" s="500">
        <f t="shared" si="8"/>
        <v>0</v>
      </c>
      <c r="AK35" s="480">
        <f t="shared" si="9"/>
        <v>0</v>
      </c>
      <c r="AL35" s="480">
        <f t="shared" si="10"/>
        <v>0</v>
      </c>
      <c r="AM35" s="480">
        <f t="shared" si="11"/>
        <v>0</v>
      </c>
      <c r="AN35" s="480">
        <f t="shared" si="12"/>
        <v>0</v>
      </c>
      <c r="AO35" s="480">
        <f t="shared" si="13"/>
        <v>0</v>
      </c>
      <c r="AP35" s="480">
        <f t="shared" si="14"/>
        <v>0</v>
      </c>
      <c r="AQ35" s="480">
        <f t="shared" si="15"/>
        <v>0</v>
      </c>
      <c r="AR35" s="486">
        <f t="shared" si="16"/>
        <v>0</v>
      </c>
      <c r="AS35" s="479">
        <f t="shared" si="17"/>
        <v>0</v>
      </c>
      <c r="AT35" s="479">
        <f t="shared" si="18"/>
        <v>0</v>
      </c>
      <c r="AU35" s="479">
        <f t="shared" si="19"/>
        <v>0</v>
      </c>
      <c r="AV35" s="479">
        <f t="shared" si="20"/>
        <v>0</v>
      </c>
      <c r="AW35" s="479">
        <f t="shared" si="21"/>
        <v>0</v>
      </c>
      <c r="AX35" s="479">
        <f t="shared" si="22"/>
        <v>0</v>
      </c>
      <c r="AY35" s="501">
        <v>0</v>
      </c>
      <c r="AZ35" s="502">
        <v>0</v>
      </c>
      <c r="BA35" s="502">
        <v>0</v>
      </c>
      <c r="BB35" s="502">
        <v>0</v>
      </c>
      <c r="BC35" s="502">
        <v>0</v>
      </c>
      <c r="BD35" s="503">
        <v>0</v>
      </c>
      <c r="BE35" s="503">
        <v>0</v>
      </c>
      <c r="BF35" s="486">
        <f t="shared" si="23"/>
        <v>0</v>
      </c>
      <c r="BG35" s="479">
        <f t="shared" si="24"/>
        <v>0</v>
      </c>
      <c r="BH35" s="479">
        <f t="shared" si="25"/>
        <v>0</v>
      </c>
      <c r="BI35" s="479">
        <f t="shared" si="26"/>
        <v>0</v>
      </c>
      <c r="BJ35" s="479">
        <f t="shared" si="27"/>
        <v>0</v>
      </c>
      <c r="BK35" s="479">
        <f t="shared" si="28"/>
        <v>0</v>
      </c>
      <c r="BL35" s="500">
        <f t="shared" si="29"/>
        <v>0</v>
      </c>
      <c r="BM35" s="483">
        <f t="shared" si="30"/>
        <v>0</v>
      </c>
      <c r="BN35" s="483">
        <f t="shared" si="31"/>
        <v>0</v>
      </c>
      <c r="BO35" s="483">
        <f t="shared" si="32"/>
        <v>0</v>
      </c>
      <c r="BP35" s="483">
        <f t="shared" si="33"/>
        <v>0</v>
      </c>
      <c r="BQ35" s="483">
        <f t="shared" si="34"/>
        <v>0</v>
      </c>
      <c r="BR35" s="483">
        <f t="shared" si="35"/>
        <v>0</v>
      </c>
      <c r="BS35" s="486">
        <f t="shared" si="36"/>
        <v>0</v>
      </c>
      <c r="BT35" s="479">
        <f t="shared" si="37"/>
        <v>0</v>
      </c>
      <c r="BU35" s="479">
        <f t="shared" si="38"/>
        <v>0</v>
      </c>
      <c r="BV35" s="479">
        <f t="shared" si="39"/>
        <v>0</v>
      </c>
      <c r="BW35" s="479">
        <f t="shared" si="40"/>
        <v>0</v>
      </c>
      <c r="BX35" s="500">
        <f t="shared" si="41"/>
        <v>0</v>
      </c>
      <c r="BY35" s="479">
        <f t="shared" si="49"/>
        <v>0</v>
      </c>
      <c r="BZ35" s="479">
        <f t="shared" si="42"/>
        <v>0</v>
      </c>
      <c r="CA35" s="479">
        <f t="shared" si="43"/>
        <v>0</v>
      </c>
      <c r="CB35" s="479">
        <f t="shared" si="44"/>
        <v>0</v>
      </c>
      <c r="CC35" s="479">
        <f t="shared" si="45"/>
        <v>0</v>
      </c>
      <c r="CD35" s="479">
        <f t="shared" si="46"/>
        <v>0</v>
      </c>
      <c r="CE35" s="500">
        <f t="shared" si="47"/>
        <v>0</v>
      </c>
      <c r="CF35" s="479">
        <f t="shared" si="50"/>
        <v>0</v>
      </c>
      <c r="CG35" s="479">
        <f t="shared" si="51"/>
        <v>0</v>
      </c>
      <c r="CH35" s="479">
        <f t="shared" si="52"/>
        <v>0</v>
      </c>
      <c r="CI35" s="479">
        <f t="shared" si="53"/>
        <v>0</v>
      </c>
      <c r="CJ35" s="479">
        <f t="shared" si="54"/>
        <v>0</v>
      </c>
      <c r="CK35" s="479">
        <f t="shared" si="55"/>
        <v>0</v>
      </c>
      <c r="CL35" s="12">
        <f t="shared" si="56"/>
        <v>2029</v>
      </c>
      <c r="CM35" s="12"/>
      <c r="CN35" s="12"/>
      <c r="CO35" s="12"/>
    </row>
    <row r="36" spans="1:93" ht="12.75">
      <c r="A36" s="514">
        <v>2030</v>
      </c>
      <c r="B36" s="460">
        <v>6.239461727142331</v>
      </c>
      <c r="C36" s="461">
        <v>6.087279733797397</v>
      </c>
      <c r="D36" s="470">
        <f t="shared" si="65"/>
        <v>9.34</v>
      </c>
      <c r="E36" s="470">
        <f t="shared" si="65"/>
        <v>7.34</v>
      </c>
      <c r="F36" s="488">
        <f t="shared" si="65"/>
        <v>6.5</v>
      </c>
      <c r="G36" s="461">
        <f t="shared" si="65"/>
        <v>5.34</v>
      </c>
      <c r="H36" s="460">
        <f t="shared" si="65"/>
        <v>4.22</v>
      </c>
      <c r="I36" s="470">
        <f t="shared" si="65"/>
        <v>3.5</v>
      </c>
      <c r="J36" s="489">
        <f t="shared" si="66"/>
        <v>0.023016460905349798</v>
      </c>
      <c r="K36" s="489">
        <f t="shared" si="66"/>
        <v>0.1939637860082305</v>
      </c>
      <c r="L36" s="489">
        <f t="shared" si="66"/>
        <v>0.3199781893004115</v>
      </c>
      <c r="M36" s="489">
        <f t="shared" si="66"/>
        <v>0.5905543209876543</v>
      </c>
      <c r="N36" s="489">
        <f t="shared" si="66"/>
        <v>0.8079263374485596</v>
      </c>
      <c r="O36" s="489">
        <f t="shared" si="66"/>
        <v>0.8956123456790123</v>
      </c>
      <c r="P36" s="494">
        <v>0</v>
      </c>
      <c r="Q36" s="495">
        <v>0</v>
      </c>
      <c r="R36" s="496">
        <v>0</v>
      </c>
      <c r="S36" s="496">
        <v>0</v>
      </c>
      <c r="T36" s="496">
        <v>0</v>
      </c>
      <c r="U36" s="510">
        <v>0</v>
      </c>
      <c r="V36" s="510">
        <v>0</v>
      </c>
      <c r="W36" s="511">
        <v>0</v>
      </c>
      <c r="X36" s="512">
        <v>0</v>
      </c>
      <c r="Y36" s="512">
        <v>0</v>
      </c>
      <c r="Z36" s="512">
        <v>0</v>
      </c>
      <c r="AA36" s="512">
        <v>0</v>
      </c>
      <c r="AB36" s="512">
        <v>0</v>
      </c>
      <c r="AC36" s="512">
        <v>0</v>
      </c>
      <c r="AD36" s="486">
        <f t="shared" si="2"/>
        <v>0</v>
      </c>
      <c r="AE36" s="479">
        <f t="shared" si="3"/>
        <v>0</v>
      </c>
      <c r="AF36" s="479">
        <f t="shared" si="4"/>
        <v>0</v>
      </c>
      <c r="AG36" s="479">
        <f t="shared" si="5"/>
        <v>0</v>
      </c>
      <c r="AH36" s="479">
        <f t="shared" si="6"/>
        <v>0</v>
      </c>
      <c r="AI36" s="479">
        <f t="shared" si="7"/>
        <v>0</v>
      </c>
      <c r="AJ36" s="500">
        <f t="shared" si="8"/>
        <v>0</v>
      </c>
      <c r="AK36" s="480">
        <f t="shared" si="9"/>
        <v>0</v>
      </c>
      <c r="AL36" s="480">
        <f t="shared" si="10"/>
        <v>0</v>
      </c>
      <c r="AM36" s="480">
        <f t="shared" si="11"/>
        <v>0</v>
      </c>
      <c r="AN36" s="480">
        <f t="shared" si="12"/>
        <v>0</v>
      </c>
      <c r="AO36" s="480">
        <f t="shared" si="13"/>
        <v>0</v>
      </c>
      <c r="AP36" s="480">
        <f t="shared" si="14"/>
        <v>0</v>
      </c>
      <c r="AQ36" s="480">
        <f t="shared" si="15"/>
        <v>0</v>
      </c>
      <c r="AR36" s="486">
        <f t="shared" si="16"/>
        <v>0</v>
      </c>
      <c r="AS36" s="479">
        <f t="shared" si="17"/>
        <v>0</v>
      </c>
      <c r="AT36" s="479">
        <f t="shared" si="18"/>
        <v>0</v>
      </c>
      <c r="AU36" s="479">
        <f t="shared" si="19"/>
        <v>0</v>
      </c>
      <c r="AV36" s="479">
        <f t="shared" si="20"/>
        <v>0</v>
      </c>
      <c r="AW36" s="479">
        <f t="shared" si="21"/>
        <v>0</v>
      </c>
      <c r="AX36" s="479">
        <f t="shared" si="22"/>
        <v>0</v>
      </c>
      <c r="AY36" s="501">
        <v>0</v>
      </c>
      <c r="AZ36" s="502">
        <v>0</v>
      </c>
      <c r="BA36" s="502">
        <v>0</v>
      </c>
      <c r="BB36" s="502">
        <v>0</v>
      </c>
      <c r="BC36" s="502">
        <v>0</v>
      </c>
      <c r="BD36" s="503">
        <v>0</v>
      </c>
      <c r="BE36" s="503">
        <v>0</v>
      </c>
      <c r="BF36" s="486">
        <f t="shared" si="23"/>
        <v>0</v>
      </c>
      <c r="BG36" s="479">
        <f t="shared" si="24"/>
        <v>0</v>
      </c>
      <c r="BH36" s="479">
        <f t="shared" si="25"/>
        <v>0</v>
      </c>
      <c r="BI36" s="479">
        <f t="shared" si="26"/>
        <v>0</v>
      </c>
      <c r="BJ36" s="479">
        <f t="shared" si="27"/>
        <v>0</v>
      </c>
      <c r="BK36" s="479">
        <f t="shared" si="28"/>
        <v>0</v>
      </c>
      <c r="BL36" s="500">
        <f t="shared" si="29"/>
        <v>0</v>
      </c>
      <c r="BM36" s="483">
        <f t="shared" si="30"/>
        <v>0</v>
      </c>
      <c r="BN36" s="483">
        <f t="shared" si="31"/>
        <v>0</v>
      </c>
      <c r="BO36" s="483">
        <f t="shared" si="32"/>
        <v>0</v>
      </c>
      <c r="BP36" s="483">
        <f t="shared" si="33"/>
        <v>0</v>
      </c>
      <c r="BQ36" s="483">
        <f t="shared" si="34"/>
        <v>0</v>
      </c>
      <c r="BR36" s="483">
        <f t="shared" si="35"/>
        <v>0</v>
      </c>
      <c r="BS36" s="486">
        <f t="shared" si="36"/>
        <v>0</v>
      </c>
      <c r="BT36" s="479">
        <f t="shared" si="37"/>
        <v>0</v>
      </c>
      <c r="BU36" s="479">
        <f t="shared" si="38"/>
        <v>0</v>
      </c>
      <c r="BV36" s="479">
        <f t="shared" si="39"/>
        <v>0</v>
      </c>
      <c r="BW36" s="479">
        <f t="shared" si="40"/>
        <v>0</v>
      </c>
      <c r="BX36" s="500">
        <f t="shared" si="41"/>
        <v>0</v>
      </c>
      <c r="BY36" s="479">
        <f t="shared" si="49"/>
        <v>0</v>
      </c>
      <c r="BZ36" s="479">
        <f t="shared" si="42"/>
        <v>0</v>
      </c>
      <c r="CA36" s="479">
        <f t="shared" si="43"/>
        <v>0</v>
      </c>
      <c r="CB36" s="479">
        <f t="shared" si="44"/>
        <v>0</v>
      </c>
      <c r="CC36" s="479">
        <f t="shared" si="45"/>
        <v>0</v>
      </c>
      <c r="CD36" s="479">
        <f t="shared" si="46"/>
        <v>0</v>
      </c>
      <c r="CE36" s="500">
        <f t="shared" si="47"/>
        <v>0</v>
      </c>
      <c r="CF36" s="479">
        <f t="shared" si="50"/>
        <v>0</v>
      </c>
      <c r="CG36" s="479">
        <f t="shared" si="51"/>
        <v>0</v>
      </c>
      <c r="CH36" s="479">
        <f t="shared" si="52"/>
        <v>0</v>
      </c>
      <c r="CI36" s="479">
        <f t="shared" si="53"/>
        <v>0</v>
      </c>
      <c r="CJ36" s="479">
        <f t="shared" si="54"/>
        <v>0</v>
      </c>
      <c r="CK36" s="479">
        <f t="shared" si="55"/>
        <v>0</v>
      </c>
      <c r="CL36" s="12">
        <f t="shared" si="56"/>
        <v>2030</v>
      </c>
      <c r="CM36" s="12"/>
      <c r="CN36" s="12"/>
      <c r="CO36" s="12"/>
    </row>
    <row r="37" spans="1:93" ht="12.75">
      <c r="A37" s="515">
        <v>2031</v>
      </c>
      <c r="B37" s="460">
        <v>6.323070514286038</v>
      </c>
      <c r="C37" s="461">
        <v>6.168849282230282</v>
      </c>
      <c r="D37" s="470">
        <f t="shared" si="65"/>
        <v>9.34</v>
      </c>
      <c r="E37" s="470">
        <f t="shared" si="65"/>
        <v>7.34</v>
      </c>
      <c r="F37" s="488">
        <f t="shared" si="65"/>
        <v>6.5</v>
      </c>
      <c r="G37" s="461">
        <f t="shared" si="65"/>
        <v>5.34</v>
      </c>
      <c r="H37" s="460">
        <f t="shared" si="65"/>
        <v>4.22</v>
      </c>
      <c r="I37" s="470">
        <f t="shared" si="65"/>
        <v>3.5</v>
      </c>
      <c r="J37" s="489">
        <f t="shared" si="66"/>
        <v>0.023713305898491088</v>
      </c>
      <c r="K37" s="489">
        <f t="shared" si="66"/>
        <v>0.19693072702331965</v>
      </c>
      <c r="L37" s="489">
        <f t="shared" si="66"/>
        <v>0.32372153635116596</v>
      </c>
      <c r="M37" s="489">
        <f t="shared" si="66"/>
        <v>0.5937872427983538</v>
      </c>
      <c r="N37" s="489">
        <f t="shared" si="66"/>
        <v>0.8103079561042523</v>
      </c>
      <c r="O37" s="489">
        <f t="shared" si="66"/>
        <v>0.8967016460905349</v>
      </c>
      <c r="P37" s="494">
        <v>0</v>
      </c>
      <c r="Q37" s="495">
        <v>0</v>
      </c>
      <c r="R37" s="496">
        <v>0</v>
      </c>
      <c r="S37" s="496">
        <v>0</v>
      </c>
      <c r="T37" s="496">
        <v>0</v>
      </c>
      <c r="U37" s="510">
        <v>0</v>
      </c>
      <c r="V37" s="510">
        <v>0</v>
      </c>
      <c r="W37" s="511">
        <v>0</v>
      </c>
      <c r="X37" s="512">
        <v>0</v>
      </c>
      <c r="Y37" s="512">
        <v>0</v>
      </c>
      <c r="Z37" s="512">
        <v>0</v>
      </c>
      <c r="AA37" s="512">
        <v>0</v>
      </c>
      <c r="AB37" s="512">
        <v>0</v>
      </c>
      <c r="AC37" s="512">
        <v>0</v>
      </c>
      <c r="AD37" s="486">
        <f t="shared" si="2"/>
        <v>0</v>
      </c>
      <c r="AE37" s="479">
        <f t="shared" si="3"/>
        <v>0</v>
      </c>
      <c r="AF37" s="479">
        <f t="shared" si="4"/>
        <v>0</v>
      </c>
      <c r="AG37" s="479">
        <f t="shared" si="5"/>
        <v>0</v>
      </c>
      <c r="AH37" s="479">
        <f t="shared" si="6"/>
        <v>0</v>
      </c>
      <c r="AI37" s="479">
        <f t="shared" si="7"/>
        <v>0</v>
      </c>
      <c r="AJ37" s="500">
        <f t="shared" si="8"/>
        <v>0</v>
      </c>
      <c r="AK37" s="480">
        <f t="shared" si="9"/>
        <v>0</v>
      </c>
      <c r="AL37" s="480">
        <f t="shared" si="10"/>
        <v>0</v>
      </c>
      <c r="AM37" s="480">
        <f t="shared" si="11"/>
        <v>0</v>
      </c>
      <c r="AN37" s="480">
        <f t="shared" si="12"/>
        <v>0</v>
      </c>
      <c r="AO37" s="480">
        <f t="shared" si="13"/>
        <v>0</v>
      </c>
      <c r="AP37" s="480">
        <f t="shared" si="14"/>
        <v>0</v>
      </c>
      <c r="AQ37" s="480">
        <f t="shared" si="15"/>
        <v>0</v>
      </c>
      <c r="AR37" s="486">
        <f t="shared" si="16"/>
        <v>0</v>
      </c>
      <c r="AS37" s="479">
        <f t="shared" si="17"/>
        <v>0</v>
      </c>
      <c r="AT37" s="479">
        <f t="shared" si="18"/>
        <v>0</v>
      </c>
      <c r="AU37" s="479">
        <f t="shared" si="19"/>
        <v>0</v>
      </c>
      <c r="AV37" s="479">
        <f t="shared" si="20"/>
        <v>0</v>
      </c>
      <c r="AW37" s="479">
        <f t="shared" si="21"/>
        <v>0</v>
      </c>
      <c r="AX37" s="479">
        <f t="shared" si="22"/>
        <v>0</v>
      </c>
      <c r="AY37" s="501">
        <v>0</v>
      </c>
      <c r="AZ37" s="502">
        <v>0</v>
      </c>
      <c r="BA37" s="502">
        <v>0</v>
      </c>
      <c r="BB37" s="502">
        <v>0</v>
      </c>
      <c r="BC37" s="502">
        <v>0</v>
      </c>
      <c r="BD37" s="503">
        <v>0</v>
      </c>
      <c r="BE37" s="503">
        <v>0</v>
      </c>
      <c r="BF37" s="486">
        <f t="shared" si="23"/>
        <v>0</v>
      </c>
      <c r="BG37" s="479">
        <f t="shared" si="24"/>
        <v>0</v>
      </c>
      <c r="BH37" s="479">
        <f t="shared" si="25"/>
        <v>0</v>
      </c>
      <c r="BI37" s="479">
        <f t="shared" si="26"/>
        <v>0</v>
      </c>
      <c r="BJ37" s="479">
        <f t="shared" si="27"/>
        <v>0</v>
      </c>
      <c r="BK37" s="479">
        <f t="shared" si="28"/>
        <v>0</v>
      </c>
      <c r="BL37" s="500">
        <f t="shared" si="29"/>
        <v>0</v>
      </c>
      <c r="BM37" s="483">
        <f t="shared" si="30"/>
        <v>0</v>
      </c>
      <c r="BN37" s="483">
        <f t="shared" si="31"/>
        <v>0</v>
      </c>
      <c r="BO37" s="483">
        <f t="shared" si="32"/>
        <v>0</v>
      </c>
      <c r="BP37" s="483">
        <f t="shared" si="33"/>
        <v>0</v>
      </c>
      <c r="BQ37" s="483">
        <f t="shared" si="34"/>
        <v>0</v>
      </c>
      <c r="BR37" s="483">
        <f t="shared" si="35"/>
        <v>0</v>
      </c>
      <c r="BS37" s="486">
        <f t="shared" si="36"/>
        <v>0</v>
      </c>
      <c r="BT37" s="479">
        <f t="shared" si="37"/>
        <v>0</v>
      </c>
      <c r="BU37" s="479">
        <f t="shared" si="38"/>
        <v>0</v>
      </c>
      <c r="BV37" s="479">
        <f t="shared" si="39"/>
        <v>0</v>
      </c>
      <c r="BW37" s="479">
        <f t="shared" si="40"/>
        <v>0</v>
      </c>
      <c r="BX37" s="500">
        <f t="shared" si="41"/>
        <v>0</v>
      </c>
      <c r="BY37" s="479">
        <f t="shared" si="49"/>
        <v>0</v>
      </c>
      <c r="BZ37" s="479">
        <f t="shared" si="42"/>
        <v>0</v>
      </c>
      <c r="CA37" s="479">
        <f t="shared" si="43"/>
        <v>0</v>
      </c>
      <c r="CB37" s="479">
        <f t="shared" si="44"/>
        <v>0</v>
      </c>
      <c r="CC37" s="479">
        <f t="shared" si="45"/>
        <v>0</v>
      </c>
      <c r="CD37" s="479">
        <f t="shared" si="46"/>
        <v>0</v>
      </c>
      <c r="CE37" s="500">
        <f t="shared" si="47"/>
        <v>0</v>
      </c>
      <c r="CF37" s="479">
        <f t="shared" si="50"/>
        <v>0</v>
      </c>
      <c r="CG37" s="479">
        <f t="shared" si="51"/>
        <v>0</v>
      </c>
      <c r="CH37" s="479">
        <f t="shared" si="52"/>
        <v>0</v>
      </c>
      <c r="CI37" s="479">
        <f t="shared" si="53"/>
        <v>0</v>
      </c>
      <c r="CJ37" s="479">
        <f t="shared" si="54"/>
        <v>0</v>
      </c>
      <c r="CK37" s="479">
        <f t="shared" si="55"/>
        <v>0</v>
      </c>
      <c r="CL37" s="12">
        <f t="shared" si="56"/>
        <v>2031</v>
      </c>
      <c r="CM37" s="12"/>
      <c r="CN37" s="12"/>
      <c r="CO37" s="12"/>
    </row>
    <row r="38" spans="1:93" ht="12.75">
      <c r="A38" s="459">
        <v>2032</v>
      </c>
      <c r="B38" s="460">
        <v>6.4077996591774715</v>
      </c>
      <c r="C38" s="513">
        <v>6.251511862612168</v>
      </c>
      <c r="D38" s="470">
        <f t="shared" si="65"/>
        <v>9.34</v>
      </c>
      <c r="E38" s="470">
        <f t="shared" si="65"/>
        <v>7.34</v>
      </c>
      <c r="F38" s="488">
        <f t="shared" si="65"/>
        <v>6.5</v>
      </c>
      <c r="G38" s="461">
        <f t="shared" si="65"/>
        <v>5.34</v>
      </c>
      <c r="H38" s="460">
        <f t="shared" si="65"/>
        <v>4.22</v>
      </c>
      <c r="I38" s="470">
        <f t="shared" si="65"/>
        <v>3.5</v>
      </c>
      <c r="J38" s="489">
        <f t="shared" si="66"/>
        <v>0.024243255601280298</v>
      </c>
      <c r="K38" s="489">
        <f t="shared" si="66"/>
        <v>0.19923150434385006</v>
      </c>
      <c r="L38" s="489">
        <f t="shared" si="66"/>
        <v>0.32656657521719246</v>
      </c>
      <c r="M38" s="489">
        <f t="shared" si="66"/>
        <v>0.5962805212620026</v>
      </c>
      <c r="N38" s="489">
        <f t="shared" si="66"/>
        <v>0.812144764517604</v>
      </c>
      <c r="O38" s="489">
        <f t="shared" si="66"/>
        <v>0.8975046639231824</v>
      </c>
      <c r="P38" s="494">
        <v>0</v>
      </c>
      <c r="Q38" s="495">
        <v>0</v>
      </c>
      <c r="R38" s="496">
        <v>0</v>
      </c>
      <c r="S38" s="496">
        <v>0</v>
      </c>
      <c r="T38" s="496">
        <v>0</v>
      </c>
      <c r="U38" s="510">
        <v>0</v>
      </c>
      <c r="V38" s="510">
        <v>0</v>
      </c>
      <c r="W38" s="511">
        <v>0</v>
      </c>
      <c r="X38" s="512">
        <v>0</v>
      </c>
      <c r="Y38" s="512">
        <v>0</v>
      </c>
      <c r="Z38" s="512">
        <v>0</v>
      </c>
      <c r="AA38" s="512">
        <v>0</v>
      </c>
      <c r="AB38" s="512">
        <v>0</v>
      </c>
      <c r="AC38" s="512">
        <v>0</v>
      </c>
      <c r="AD38" s="486">
        <f t="shared" si="2"/>
        <v>0</v>
      </c>
      <c r="AE38" s="479">
        <f t="shared" si="3"/>
        <v>0</v>
      </c>
      <c r="AF38" s="479">
        <f t="shared" si="4"/>
        <v>0</v>
      </c>
      <c r="AG38" s="479">
        <f t="shared" si="5"/>
        <v>0</v>
      </c>
      <c r="AH38" s="479">
        <f t="shared" si="6"/>
        <v>0</v>
      </c>
      <c r="AI38" s="479">
        <f t="shared" si="7"/>
        <v>0</v>
      </c>
      <c r="AJ38" s="500">
        <f t="shared" si="8"/>
        <v>0</v>
      </c>
      <c r="AK38" s="480">
        <f t="shared" si="9"/>
        <v>0</v>
      </c>
      <c r="AL38" s="480">
        <f t="shared" si="10"/>
        <v>0</v>
      </c>
      <c r="AM38" s="480">
        <f t="shared" si="11"/>
        <v>0</v>
      </c>
      <c r="AN38" s="480">
        <f t="shared" si="12"/>
        <v>0</v>
      </c>
      <c r="AO38" s="480">
        <f t="shared" si="13"/>
        <v>0</v>
      </c>
      <c r="AP38" s="480">
        <f t="shared" si="14"/>
        <v>0</v>
      </c>
      <c r="AQ38" s="480">
        <f t="shared" si="15"/>
        <v>0</v>
      </c>
      <c r="AR38" s="486">
        <f t="shared" si="16"/>
        <v>0</v>
      </c>
      <c r="AS38" s="479">
        <f t="shared" si="17"/>
        <v>0</v>
      </c>
      <c r="AT38" s="479">
        <f t="shared" si="18"/>
        <v>0</v>
      </c>
      <c r="AU38" s="479">
        <f t="shared" si="19"/>
        <v>0</v>
      </c>
      <c r="AV38" s="479">
        <f t="shared" si="20"/>
        <v>0</v>
      </c>
      <c r="AW38" s="479">
        <f t="shared" si="21"/>
        <v>0</v>
      </c>
      <c r="AX38" s="479">
        <f t="shared" si="22"/>
        <v>0</v>
      </c>
      <c r="AY38" s="501">
        <v>0</v>
      </c>
      <c r="AZ38" s="502">
        <v>0</v>
      </c>
      <c r="BA38" s="502">
        <v>0</v>
      </c>
      <c r="BB38" s="502">
        <v>0</v>
      </c>
      <c r="BC38" s="502">
        <v>0</v>
      </c>
      <c r="BD38" s="503">
        <v>0</v>
      </c>
      <c r="BE38" s="503">
        <v>0</v>
      </c>
      <c r="BF38" s="486">
        <f t="shared" si="23"/>
        <v>0</v>
      </c>
      <c r="BG38" s="479">
        <f t="shared" si="24"/>
        <v>0</v>
      </c>
      <c r="BH38" s="479">
        <f t="shared" si="25"/>
        <v>0</v>
      </c>
      <c r="BI38" s="479">
        <f t="shared" si="26"/>
        <v>0</v>
      </c>
      <c r="BJ38" s="479">
        <f t="shared" si="27"/>
        <v>0</v>
      </c>
      <c r="BK38" s="479">
        <f t="shared" si="28"/>
        <v>0</v>
      </c>
      <c r="BL38" s="500">
        <f t="shared" si="29"/>
        <v>0</v>
      </c>
      <c r="BM38" s="483">
        <f t="shared" si="30"/>
        <v>0</v>
      </c>
      <c r="BN38" s="483">
        <f t="shared" si="31"/>
        <v>0</v>
      </c>
      <c r="BO38" s="483">
        <f t="shared" si="32"/>
        <v>0</v>
      </c>
      <c r="BP38" s="483">
        <f t="shared" si="33"/>
        <v>0</v>
      </c>
      <c r="BQ38" s="483">
        <f t="shared" si="34"/>
        <v>0</v>
      </c>
      <c r="BR38" s="483">
        <f t="shared" si="35"/>
        <v>0</v>
      </c>
      <c r="BS38" s="486">
        <f t="shared" si="36"/>
        <v>0</v>
      </c>
      <c r="BT38" s="479">
        <f t="shared" si="37"/>
        <v>0</v>
      </c>
      <c r="BU38" s="479">
        <f t="shared" si="38"/>
        <v>0</v>
      </c>
      <c r="BV38" s="479">
        <f t="shared" si="39"/>
        <v>0</v>
      </c>
      <c r="BW38" s="479">
        <f t="shared" si="40"/>
        <v>0</v>
      </c>
      <c r="BX38" s="500">
        <f t="shared" si="41"/>
        <v>0</v>
      </c>
      <c r="BY38" s="479">
        <f t="shared" si="49"/>
        <v>0</v>
      </c>
      <c r="BZ38" s="479">
        <f t="shared" si="42"/>
        <v>0</v>
      </c>
      <c r="CA38" s="479">
        <f t="shared" si="43"/>
        <v>0</v>
      </c>
      <c r="CB38" s="479">
        <f t="shared" si="44"/>
        <v>0</v>
      </c>
      <c r="CC38" s="479">
        <f t="shared" si="45"/>
        <v>0</v>
      </c>
      <c r="CD38" s="479">
        <f t="shared" si="46"/>
        <v>0</v>
      </c>
      <c r="CE38" s="500">
        <f t="shared" si="47"/>
        <v>0</v>
      </c>
      <c r="CF38" s="479">
        <f t="shared" si="50"/>
        <v>0</v>
      </c>
      <c r="CG38" s="479">
        <f t="shared" si="51"/>
        <v>0</v>
      </c>
      <c r="CH38" s="479">
        <f t="shared" si="52"/>
        <v>0</v>
      </c>
      <c r="CI38" s="479">
        <f t="shared" si="53"/>
        <v>0</v>
      </c>
      <c r="CJ38" s="479">
        <f t="shared" si="54"/>
        <v>0</v>
      </c>
      <c r="CK38" s="479">
        <f t="shared" si="55"/>
        <v>0</v>
      </c>
      <c r="CL38" s="12">
        <f t="shared" si="56"/>
        <v>2032</v>
      </c>
      <c r="CM38" s="12"/>
      <c r="CN38" s="12"/>
      <c r="CO38" s="12"/>
    </row>
    <row r="39" spans="1:93" ht="12.75">
      <c r="A39" s="459">
        <v>2033</v>
      </c>
      <c r="B39" s="460">
        <v>6.49366417461045</v>
      </c>
      <c r="C39" s="513">
        <v>6.335282121571172</v>
      </c>
      <c r="D39" s="470">
        <f t="shared" si="65"/>
        <v>9.34</v>
      </c>
      <c r="E39" s="470">
        <f t="shared" si="65"/>
        <v>7.34</v>
      </c>
      <c r="F39" s="488">
        <f t="shared" si="65"/>
        <v>6.5</v>
      </c>
      <c r="G39" s="461">
        <f t="shared" si="65"/>
        <v>5.34</v>
      </c>
      <c r="H39" s="460">
        <f t="shared" si="65"/>
        <v>4.22</v>
      </c>
      <c r="I39" s="470">
        <f t="shared" si="65"/>
        <v>3.5</v>
      </c>
      <c r="J39" s="489">
        <f t="shared" si="66"/>
        <v>0.024652187166590466</v>
      </c>
      <c r="K39" s="489">
        <f t="shared" si="66"/>
        <v>0.20098741045572324</v>
      </c>
      <c r="L39" s="489">
        <f t="shared" si="66"/>
        <v>0.32876270385611944</v>
      </c>
      <c r="M39" s="489">
        <f t="shared" si="66"/>
        <v>0.5981892546867854</v>
      </c>
      <c r="N39" s="489">
        <f t="shared" si="66"/>
        <v>0.8135509068739522</v>
      </c>
      <c r="O39" s="489">
        <f t="shared" si="66"/>
        <v>0.8981354366712391</v>
      </c>
      <c r="P39" s="494">
        <v>0</v>
      </c>
      <c r="Q39" s="495">
        <v>0</v>
      </c>
      <c r="R39" s="496">
        <v>0</v>
      </c>
      <c r="S39" s="496">
        <v>0</v>
      </c>
      <c r="T39" s="496">
        <v>0</v>
      </c>
      <c r="U39" s="510">
        <v>0</v>
      </c>
      <c r="V39" s="510">
        <v>0</v>
      </c>
      <c r="W39" s="511">
        <v>0</v>
      </c>
      <c r="X39" s="512">
        <v>0</v>
      </c>
      <c r="Y39" s="512">
        <v>0</v>
      </c>
      <c r="Z39" s="512">
        <v>0</v>
      </c>
      <c r="AA39" s="512">
        <v>0</v>
      </c>
      <c r="AB39" s="512">
        <v>0</v>
      </c>
      <c r="AC39" s="512">
        <v>0</v>
      </c>
      <c r="AD39" s="486">
        <f t="shared" si="2"/>
        <v>0</v>
      </c>
      <c r="AE39" s="479">
        <f t="shared" si="3"/>
        <v>0</v>
      </c>
      <c r="AF39" s="479">
        <f t="shared" si="4"/>
        <v>0</v>
      </c>
      <c r="AG39" s="479">
        <f t="shared" si="5"/>
        <v>0</v>
      </c>
      <c r="AH39" s="479">
        <f t="shared" si="6"/>
        <v>0</v>
      </c>
      <c r="AI39" s="479">
        <f t="shared" si="7"/>
        <v>0</v>
      </c>
      <c r="AJ39" s="500">
        <f t="shared" si="8"/>
        <v>0</v>
      </c>
      <c r="AK39" s="480">
        <f t="shared" si="9"/>
        <v>0</v>
      </c>
      <c r="AL39" s="480">
        <f t="shared" si="10"/>
        <v>0</v>
      </c>
      <c r="AM39" s="480">
        <f t="shared" si="11"/>
        <v>0</v>
      </c>
      <c r="AN39" s="480">
        <f t="shared" si="12"/>
        <v>0</v>
      </c>
      <c r="AO39" s="480">
        <f t="shared" si="13"/>
        <v>0</v>
      </c>
      <c r="AP39" s="480">
        <f t="shared" si="14"/>
        <v>0</v>
      </c>
      <c r="AQ39" s="480">
        <f t="shared" si="15"/>
        <v>0</v>
      </c>
      <c r="AR39" s="486">
        <f t="shared" si="16"/>
        <v>0</v>
      </c>
      <c r="AS39" s="479">
        <f t="shared" si="17"/>
        <v>0</v>
      </c>
      <c r="AT39" s="479">
        <f t="shared" si="18"/>
        <v>0</v>
      </c>
      <c r="AU39" s="479">
        <f t="shared" si="19"/>
        <v>0</v>
      </c>
      <c r="AV39" s="479">
        <f t="shared" si="20"/>
        <v>0</v>
      </c>
      <c r="AW39" s="479">
        <f t="shared" si="21"/>
        <v>0</v>
      </c>
      <c r="AX39" s="479">
        <f t="shared" si="22"/>
        <v>0</v>
      </c>
      <c r="AY39" s="501">
        <v>0</v>
      </c>
      <c r="AZ39" s="502">
        <v>0</v>
      </c>
      <c r="BA39" s="502">
        <v>0</v>
      </c>
      <c r="BB39" s="502">
        <v>0</v>
      </c>
      <c r="BC39" s="502">
        <v>0</v>
      </c>
      <c r="BD39" s="503">
        <v>0</v>
      </c>
      <c r="BE39" s="503">
        <v>0</v>
      </c>
      <c r="BF39" s="486">
        <f t="shared" si="23"/>
        <v>0</v>
      </c>
      <c r="BG39" s="479">
        <f t="shared" si="24"/>
        <v>0</v>
      </c>
      <c r="BH39" s="479">
        <f t="shared" si="25"/>
        <v>0</v>
      </c>
      <c r="BI39" s="479">
        <f t="shared" si="26"/>
        <v>0</v>
      </c>
      <c r="BJ39" s="479">
        <f t="shared" si="27"/>
        <v>0</v>
      </c>
      <c r="BK39" s="479">
        <f t="shared" si="28"/>
        <v>0</v>
      </c>
      <c r="BL39" s="500">
        <f t="shared" si="29"/>
        <v>0</v>
      </c>
      <c r="BM39" s="483">
        <f t="shared" si="30"/>
        <v>0</v>
      </c>
      <c r="BN39" s="483">
        <f t="shared" si="31"/>
        <v>0</v>
      </c>
      <c r="BO39" s="483">
        <f t="shared" si="32"/>
        <v>0</v>
      </c>
      <c r="BP39" s="483">
        <f t="shared" si="33"/>
        <v>0</v>
      </c>
      <c r="BQ39" s="483">
        <f t="shared" si="34"/>
        <v>0</v>
      </c>
      <c r="BR39" s="483">
        <f t="shared" si="35"/>
        <v>0</v>
      </c>
      <c r="BS39" s="486">
        <f t="shared" si="36"/>
        <v>0</v>
      </c>
      <c r="BT39" s="479">
        <f t="shared" si="37"/>
        <v>0</v>
      </c>
      <c r="BU39" s="479">
        <f t="shared" si="38"/>
        <v>0</v>
      </c>
      <c r="BV39" s="479">
        <f t="shared" si="39"/>
        <v>0</v>
      </c>
      <c r="BW39" s="479">
        <f t="shared" si="40"/>
        <v>0</v>
      </c>
      <c r="BX39" s="500">
        <f t="shared" si="41"/>
        <v>0</v>
      </c>
      <c r="BY39" s="479">
        <f t="shared" si="49"/>
        <v>0</v>
      </c>
      <c r="BZ39" s="479">
        <f t="shared" si="42"/>
        <v>0</v>
      </c>
      <c r="CA39" s="479">
        <f t="shared" si="43"/>
        <v>0</v>
      </c>
      <c r="CB39" s="479">
        <f t="shared" si="44"/>
        <v>0</v>
      </c>
      <c r="CC39" s="479">
        <f t="shared" si="45"/>
        <v>0</v>
      </c>
      <c r="CD39" s="479">
        <f t="shared" si="46"/>
        <v>0</v>
      </c>
      <c r="CE39" s="500">
        <f t="shared" si="47"/>
        <v>0</v>
      </c>
      <c r="CF39" s="479">
        <f t="shared" si="50"/>
        <v>0</v>
      </c>
      <c r="CG39" s="479">
        <f t="shared" si="51"/>
        <v>0</v>
      </c>
      <c r="CH39" s="479">
        <f t="shared" si="52"/>
        <v>0</v>
      </c>
      <c r="CI39" s="479">
        <f t="shared" si="53"/>
        <v>0</v>
      </c>
      <c r="CJ39" s="479">
        <f t="shared" si="54"/>
        <v>0</v>
      </c>
      <c r="CK39" s="479">
        <f t="shared" si="55"/>
        <v>0</v>
      </c>
      <c r="CL39" s="12">
        <f t="shared" si="56"/>
        <v>2033</v>
      </c>
      <c r="CM39" s="12"/>
      <c r="CN39" s="12"/>
      <c r="CO39" s="12"/>
    </row>
    <row r="40" spans="1:93" ht="12.75">
      <c r="A40" s="459">
        <v>2034</v>
      </c>
      <c r="B40" s="460">
        <v>6.580679274550231</v>
      </c>
      <c r="C40" s="513">
        <v>6.420174902000226</v>
      </c>
      <c r="D40" s="470">
        <f t="shared" si="65"/>
        <v>9.34</v>
      </c>
      <c r="E40" s="470">
        <f t="shared" si="65"/>
        <v>7.34</v>
      </c>
      <c r="F40" s="488">
        <f t="shared" si="65"/>
        <v>6.5</v>
      </c>
      <c r="G40" s="461">
        <f t="shared" si="65"/>
        <v>5.34</v>
      </c>
      <c r="H40" s="460">
        <f t="shared" si="65"/>
        <v>4.22</v>
      </c>
      <c r="I40" s="470">
        <f t="shared" si="65"/>
        <v>3.5</v>
      </c>
      <c r="J40" s="489">
        <f t="shared" si="66"/>
        <v>0.02496514758929026</v>
      </c>
      <c r="K40" s="489">
        <f t="shared" si="66"/>
        <v>0.20233963826652443</v>
      </c>
      <c r="L40" s="489">
        <f t="shared" si="66"/>
        <v>0.33044309302443725</v>
      </c>
      <c r="M40" s="489">
        <f t="shared" si="66"/>
        <v>0.5996565919829293</v>
      </c>
      <c r="N40" s="489">
        <f t="shared" si="66"/>
        <v>0.8146318904638521</v>
      </c>
      <c r="O40" s="489">
        <f t="shared" si="66"/>
        <v>0.8986133668648071</v>
      </c>
      <c r="P40" s="494">
        <v>0</v>
      </c>
      <c r="Q40" s="495">
        <v>0</v>
      </c>
      <c r="R40" s="496">
        <v>0</v>
      </c>
      <c r="S40" s="496">
        <v>0</v>
      </c>
      <c r="T40" s="496">
        <v>0</v>
      </c>
      <c r="U40" s="510">
        <v>0</v>
      </c>
      <c r="V40" s="510">
        <v>0</v>
      </c>
      <c r="W40" s="511">
        <v>0</v>
      </c>
      <c r="X40" s="512">
        <v>0</v>
      </c>
      <c r="Y40" s="512">
        <v>0</v>
      </c>
      <c r="Z40" s="512">
        <v>0</v>
      </c>
      <c r="AA40" s="512">
        <v>0</v>
      </c>
      <c r="AB40" s="512">
        <v>0</v>
      </c>
      <c r="AC40" s="512">
        <v>0</v>
      </c>
      <c r="AD40" s="486">
        <f t="shared" si="2"/>
        <v>0</v>
      </c>
      <c r="AE40" s="479">
        <f t="shared" si="3"/>
        <v>0</v>
      </c>
      <c r="AF40" s="479">
        <f t="shared" si="4"/>
        <v>0</v>
      </c>
      <c r="AG40" s="479">
        <f t="shared" si="5"/>
        <v>0</v>
      </c>
      <c r="AH40" s="479">
        <f t="shared" si="6"/>
        <v>0</v>
      </c>
      <c r="AI40" s="479">
        <f t="shared" si="7"/>
        <v>0</v>
      </c>
      <c r="AJ40" s="500">
        <f t="shared" si="8"/>
        <v>0</v>
      </c>
      <c r="AK40" s="480">
        <f t="shared" si="9"/>
        <v>0</v>
      </c>
      <c r="AL40" s="480">
        <f t="shared" si="10"/>
        <v>0</v>
      </c>
      <c r="AM40" s="480">
        <f t="shared" si="11"/>
        <v>0</v>
      </c>
      <c r="AN40" s="480">
        <f t="shared" si="12"/>
        <v>0</v>
      </c>
      <c r="AO40" s="480">
        <f t="shared" si="13"/>
        <v>0</v>
      </c>
      <c r="AP40" s="480">
        <f t="shared" si="14"/>
        <v>0</v>
      </c>
      <c r="AQ40" s="480">
        <f t="shared" si="15"/>
        <v>0</v>
      </c>
      <c r="AR40" s="486">
        <f t="shared" si="16"/>
        <v>0</v>
      </c>
      <c r="AS40" s="479">
        <f t="shared" si="17"/>
        <v>0</v>
      </c>
      <c r="AT40" s="479">
        <f t="shared" si="18"/>
        <v>0</v>
      </c>
      <c r="AU40" s="479">
        <f t="shared" si="19"/>
        <v>0</v>
      </c>
      <c r="AV40" s="479">
        <f t="shared" si="20"/>
        <v>0</v>
      </c>
      <c r="AW40" s="479">
        <f t="shared" si="21"/>
        <v>0</v>
      </c>
      <c r="AX40" s="479">
        <f t="shared" si="22"/>
        <v>0</v>
      </c>
      <c r="AY40" s="501">
        <v>0</v>
      </c>
      <c r="AZ40" s="502">
        <v>0</v>
      </c>
      <c r="BA40" s="502">
        <v>0</v>
      </c>
      <c r="BB40" s="502">
        <v>0</v>
      </c>
      <c r="BC40" s="502">
        <v>0</v>
      </c>
      <c r="BD40" s="503">
        <v>0</v>
      </c>
      <c r="BE40" s="503">
        <v>0</v>
      </c>
      <c r="BF40" s="486">
        <f t="shared" si="23"/>
        <v>0</v>
      </c>
      <c r="BG40" s="479">
        <f t="shared" si="24"/>
        <v>0</v>
      </c>
      <c r="BH40" s="479">
        <f t="shared" si="25"/>
        <v>0</v>
      </c>
      <c r="BI40" s="479">
        <f t="shared" si="26"/>
        <v>0</v>
      </c>
      <c r="BJ40" s="479">
        <f t="shared" si="27"/>
        <v>0</v>
      </c>
      <c r="BK40" s="479">
        <f t="shared" si="28"/>
        <v>0</v>
      </c>
      <c r="BL40" s="500">
        <f t="shared" si="29"/>
        <v>0</v>
      </c>
      <c r="BM40" s="483">
        <f t="shared" si="30"/>
        <v>0</v>
      </c>
      <c r="BN40" s="483">
        <f t="shared" si="31"/>
        <v>0</v>
      </c>
      <c r="BO40" s="483">
        <f t="shared" si="32"/>
        <v>0</v>
      </c>
      <c r="BP40" s="483">
        <f t="shared" si="33"/>
        <v>0</v>
      </c>
      <c r="BQ40" s="483">
        <f t="shared" si="34"/>
        <v>0</v>
      </c>
      <c r="BR40" s="483">
        <f t="shared" si="35"/>
        <v>0</v>
      </c>
      <c r="BS40" s="486">
        <f t="shared" si="36"/>
        <v>0</v>
      </c>
      <c r="BT40" s="479">
        <f t="shared" si="37"/>
        <v>0</v>
      </c>
      <c r="BU40" s="479">
        <f t="shared" si="38"/>
        <v>0</v>
      </c>
      <c r="BV40" s="479">
        <f t="shared" si="39"/>
        <v>0</v>
      </c>
      <c r="BW40" s="479">
        <f t="shared" si="40"/>
        <v>0</v>
      </c>
      <c r="BX40" s="500">
        <f t="shared" si="41"/>
        <v>0</v>
      </c>
      <c r="BY40" s="479">
        <f t="shared" si="49"/>
        <v>0</v>
      </c>
      <c r="BZ40" s="479">
        <f t="shared" si="42"/>
        <v>0</v>
      </c>
      <c r="CA40" s="479">
        <f t="shared" si="43"/>
        <v>0</v>
      </c>
      <c r="CB40" s="479">
        <f t="shared" si="44"/>
        <v>0</v>
      </c>
      <c r="CC40" s="479">
        <f t="shared" si="45"/>
        <v>0</v>
      </c>
      <c r="CD40" s="479">
        <f t="shared" si="46"/>
        <v>0</v>
      </c>
      <c r="CE40" s="500">
        <f t="shared" si="47"/>
        <v>0</v>
      </c>
      <c r="CF40" s="479">
        <f t="shared" si="50"/>
        <v>0</v>
      </c>
      <c r="CG40" s="479">
        <f t="shared" si="51"/>
        <v>0</v>
      </c>
      <c r="CH40" s="479">
        <f t="shared" si="52"/>
        <v>0</v>
      </c>
      <c r="CI40" s="479">
        <f t="shared" si="53"/>
        <v>0</v>
      </c>
      <c r="CJ40" s="479">
        <f t="shared" si="54"/>
        <v>0</v>
      </c>
      <c r="CK40" s="479">
        <f t="shared" si="55"/>
        <v>0</v>
      </c>
      <c r="CL40" s="12">
        <f t="shared" si="56"/>
        <v>2034</v>
      </c>
      <c r="CM40" s="12"/>
      <c r="CN40" s="12"/>
      <c r="CO40" s="12"/>
    </row>
    <row r="41" spans="1:93" ht="12.75">
      <c r="A41" s="459">
        <v>2035</v>
      </c>
      <c r="B41" s="460">
        <v>6.668860376829205</v>
      </c>
      <c r="C41" s="513">
        <v>6.506205245687029</v>
      </c>
      <c r="D41" s="470">
        <f t="shared" si="65"/>
        <v>9.34</v>
      </c>
      <c r="E41" s="470">
        <f t="shared" si="65"/>
        <v>7.34</v>
      </c>
      <c r="F41" s="488">
        <f t="shared" si="65"/>
        <v>6.5</v>
      </c>
      <c r="G41" s="461">
        <f t="shared" si="65"/>
        <v>5.34</v>
      </c>
      <c r="H41" s="460">
        <f t="shared" si="65"/>
        <v>4.22</v>
      </c>
      <c r="I41" s="470">
        <f t="shared" si="65"/>
        <v>3.5</v>
      </c>
      <c r="J41" s="489">
        <f t="shared" si="66"/>
        <v>0.025205778251960246</v>
      </c>
      <c r="K41" s="489">
        <f t="shared" si="66"/>
        <v>0.2033756829074159</v>
      </c>
      <c r="L41" s="489">
        <f t="shared" si="66"/>
        <v>0.3317352656268522</v>
      </c>
      <c r="M41" s="489">
        <f t="shared" si="66"/>
        <v>0.6007819488899049</v>
      </c>
      <c r="N41" s="489">
        <f t="shared" si="66"/>
        <v>0.8154609324459348</v>
      </c>
      <c r="O41" s="489">
        <f t="shared" si="66"/>
        <v>0.8989829345120153</v>
      </c>
      <c r="P41" s="494">
        <v>0</v>
      </c>
      <c r="Q41" s="495">
        <v>0</v>
      </c>
      <c r="R41" s="496">
        <v>0</v>
      </c>
      <c r="S41" s="496">
        <v>0</v>
      </c>
      <c r="T41" s="496">
        <v>0</v>
      </c>
      <c r="U41" s="510">
        <v>0</v>
      </c>
      <c r="V41" s="510">
        <v>0</v>
      </c>
      <c r="W41" s="511">
        <v>0</v>
      </c>
      <c r="X41" s="512">
        <v>0</v>
      </c>
      <c r="Y41" s="512">
        <v>0</v>
      </c>
      <c r="Z41" s="512">
        <v>0</v>
      </c>
      <c r="AA41" s="512">
        <v>0</v>
      </c>
      <c r="AB41" s="512">
        <v>0</v>
      </c>
      <c r="AC41" s="512">
        <v>0</v>
      </c>
      <c r="AD41" s="486">
        <f t="shared" si="2"/>
        <v>0</v>
      </c>
      <c r="AE41" s="479">
        <f t="shared" si="3"/>
        <v>0</v>
      </c>
      <c r="AF41" s="479">
        <f t="shared" si="4"/>
        <v>0</v>
      </c>
      <c r="AG41" s="479">
        <f t="shared" si="5"/>
        <v>0</v>
      </c>
      <c r="AH41" s="479">
        <f t="shared" si="6"/>
        <v>0</v>
      </c>
      <c r="AI41" s="479">
        <f t="shared" si="7"/>
        <v>0</v>
      </c>
      <c r="AJ41" s="500">
        <f t="shared" si="8"/>
        <v>0</v>
      </c>
      <c r="AK41" s="480">
        <f t="shared" si="9"/>
        <v>0</v>
      </c>
      <c r="AL41" s="480">
        <f t="shared" si="10"/>
        <v>0</v>
      </c>
      <c r="AM41" s="480">
        <f t="shared" si="11"/>
        <v>0</v>
      </c>
      <c r="AN41" s="480">
        <f t="shared" si="12"/>
        <v>0</v>
      </c>
      <c r="AO41" s="480">
        <f t="shared" si="13"/>
        <v>0</v>
      </c>
      <c r="AP41" s="480">
        <f t="shared" si="14"/>
        <v>0</v>
      </c>
      <c r="AQ41" s="480">
        <f t="shared" si="15"/>
        <v>0</v>
      </c>
      <c r="AR41" s="486">
        <f t="shared" si="16"/>
        <v>0</v>
      </c>
      <c r="AS41" s="479">
        <f t="shared" si="17"/>
        <v>0</v>
      </c>
      <c r="AT41" s="479">
        <f t="shared" si="18"/>
        <v>0</v>
      </c>
      <c r="AU41" s="479">
        <f t="shared" si="19"/>
        <v>0</v>
      </c>
      <c r="AV41" s="479">
        <f t="shared" si="20"/>
        <v>0</v>
      </c>
      <c r="AW41" s="479">
        <f t="shared" si="21"/>
        <v>0</v>
      </c>
      <c r="AX41" s="479">
        <f t="shared" si="22"/>
        <v>0</v>
      </c>
      <c r="AY41" s="501">
        <v>0</v>
      </c>
      <c r="AZ41" s="502">
        <v>0</v>
      </c>
      <c r="BA41" s="502">
        <v>0</v>
      </c>
      <c r="BB41" s="502">
        <v>0</v>
      </c>
      <c r="BC41" s="502">
        <v>0</v>
      </c>
      <c r="BD41" s="503">
        <v>0</v>
      </c>
      <c r="BE41" s="503">
        <v>0</v>
      </c>
      <c r="BF41" s="486">
        <f t="shared" si="23"/>
        <v>0</v>
      </c>
      <c r="BG41" s="479">
        <f t="shared" si="24"/>
        <v>0</v>
      </c>
      <c r="BH41" s="479">
        <f t="shared" si="25"/>
        <v>0</v>
      </c>
      <c r="BI41" s="479">
        <f t="shared" si="26"/>
        <v>0</v>
      </c>
      <c r="BJ41" s="479">
        <f t="shared" si="27"/>
        <v>0</v>
      </c>
      <c r="BK41" s="479">
        <f t="shared" si="28"/>
        <v>0</v>
      </c>
      <c r="BL41" s="500">
        <f t="shared" si="29"/>
        <v>0</v>
      </c>
      <c r="BM41" s="483">
        <f t="shared" si="30"/>
        <v>0</v>
      </c>
      <c r="BN41" s="483">
        <f t="shared" si="31"/>
        <v>0</v>
      </c>
      <c r="BO41" s="483">
        <f t="shared" si="32"/>
        <v>0</v>
      </c>
      <c r="BP41" s="483">
        <f t="shared" si="33"/>
        <v>0</v>
      </c>
      <c r="BQ41" s="483">
        <f t="shared" si="34"/>
        <v>0</v>
      </c>
      <c r="BR41" s="483">
        <f t="shared" si="35"/>
        <v>0</v>
      </c>
      <c r="BS41" s="486">
        <f t="shared" si="36"/>
        <v>0</v>
      </c>
      <c r="BT41" s="479">
        <f t="shared" si="37"/>
        <v>0</v>
      </c>
      <c r="BU41" s="479">
        <f t="shared" si="38"/>
        <v>0</v>
      </c>
      <c r="BV41" s="479">
        <f t="shared" si="39"/>
        <v>0</v>
      </c>
      <c r="BW41" s="479">
        <f t="shared" si="40"/>
        <v>0</v>
      </c>
      <c r="BX41" s="500">
        <f t="shared" si="41"/>
        <v>0</v>
      </c>
      <c r="BY41" s="479">
        <f t="shared" si="49"/>
        <v>0</v>
      </c>
      <c r="BZ41" s="479">
        <f t="shared" si="42"/>
        <v>0</v>
      </c>
      <c r="CA41" s="479">
        <f t="shared" si="43"/>
        <v>0</v>
      </c>
      <c r="CB41" s="479">
        <f t="shared" si="44"/>
        <v>0</v>
      </c>
      <c r="CC41" s="479">
        <f t="shared" si="45"/>
        <v>0</v>
      </c>
      <c r="CD41" s="479">
        <f t="shared" si="46"/>
        <v>0</v>
      </c>
      <c r="CE41" s="500">
        <f t="shared" si="47"/>
        <v>0</v>
      </c>
      <c r="CF41" s="479">
        <f t="shared" si="50"/>
        <v>0</v>
      </c>
      <c r="CG41" s="479">
        <f t="shared" si="51"/>
        <v>0</v>
      </c>
      <c r="CH41" s="479">
        <f t="shared" si="52"/>
        <v>0</v>
      </c>
      <c r="CI41" s="479">
        <f t="shared" si="53"/>
        <v>0</v>
      </c>
      <c r="CJ41" s="479">
        <f t="shared" si="54"/>
        <v>0</v>
      </c>
      <c r="CK41" s="479">
        <f t="shared" si="55"/>
        <v>0</v>
      </c>
      <c r="CL41" s="12">
        <f t="shared" si="56"/>
        <v>2035</v>
      </c>
      <c r="CM41" s="12"/>
      <c r="CN41" s="12"/>
      <c r="CO41" s="12"/>
    </row>
    <row r="42" spans="1:93" ht="12.75">
      <c r="A42" s="459">
        <v>2036</v>
      </c>
      <c r="B42" s="460">
        <v>6.7582231058787166</v>
      </c>
      <c r="C42" s="513">
        <v>6.593388395979236</v>
      </c>
      <c r="D42" s="470">
        <f t="shared" si="65"/>
        <v>9.34</v>
      </c>
      <c r="E42" s="470">
        <f t="shared" si="65"/>
        <v>7.34</v>
      </c>
      <c r="F42" s="488">
        <f t="shared" si="65"/>
        <v>6.5</v>
      </c>
      <c r="G42" s="461">
        <f t="shared" si="65"/>
        <v>5.34</v>
      </c>
      <c r="H42" s="460">
        <f t="shared" si="65"/>
        <v>4.22</v>
      </c>
      <c r="I42" s="470">
        <f t="shared" si="65"/>
        <v>3.5</v>
      </c>
      <c r="J42" s="489">
        <f t="shared" si="66"/>
        <v>0.025390308613750173</v>
      </c>
      <c r="K42" s="489">
        <f t="shared" si="66"/>
        <v>0.2041717737246468</v>
      </c>
      <c r="L42" s="489">
        <f t="shared" si="66"/>
        <v>0.33272611955042974</v>
      </c>
      <c r="M42" s="489">
        <f t="shared" si="66"/>
        <v>0.6016461802909447</v>
      </c>
      <c r="N42" s="489">
        <f t="shared" si="66"/>
        <v>0.8160976076365957</v>
      </c>
      <c r="O42" s="489">
        <f t="shared" si="66"/>
        <v>0.899265433792274</v>
      </c>
      <c r="P42" s="494">
        <v>0</v>
      </c>
      <c r="Q42" s="495">
        <v>0</v>
      </c>
      <c r="R42" s="496">
        <v>0</v>
      </c>
      <c r="S42" s="496">
        <v>0</v>
      </c>
      <c r="T42" s="496">
        <v>0</v>
      </c>
      <c r="U42" s="510">
        <v>0</v>
      </c>
      <c r="V42" s="510">
        <v>0</v>
      </c>
      <c r="W42" s="511">
        <v>0</v>
      </c>
      <c r="X42" s="512">
        <v>0</v>
      </c>
      <c r="Y42" s="512">
        <v>0</v>
      </c>
      <c r="Z42" s="512">
        <v>0</v>
      </c>
      <c r="AA42" s="512">
        <v>0</v>
      </c>
      <c r="AB42" s="512">
        <v>0</v>
      </c>
      <c r="AC42" s="512">
        <v>0</v>
      </c>
      <c r="AD42" s="486">
        <f t="shared" si="2"/>
        <v>0</v>
      </c>
      <c r="AE42" s="479">
        <f t="shared" si="3"/>
        <v>0</v>
      </c>
      <c r="AF42" s="479">
        <f t="shared" si="4"/>
        <v>0</v>
      </c>
      <c r="AG42" s="479">
        <f t="shared" si="5"/>
        <v>0</v>
      </c>
      <c r="AH42" s="479">
        <f t="shared" si="6"/>
        <v>0</v>
      </c>
      <c r="AI42" s="479">
        <f t="shared" si="7"/>
        <v>0</v>
      </c>
      <c r="AJ42" s="500">
        <f t="shared" si="8"/>
        <v>0</v>
      </c>
      <c r="AK42" s="480">
        <f t="shared" si="9"/>
        <v>0</v>
      </c>
      <c r="AL42" s="480">
        <f t="shared" si="10"/>
        <v>0</v>
      </c>
      <c r="AM42" s="480">
        <f t="shared" si="11"/>
        <v>0</v>
      </c>
      <c r="AN42" s="480">
        <f t="shared" si="12"/>
        <v>0</v>
      </c>
      <c r="AO42" s="480">
        <f t="shared" si="13"/>
        <v>0</v>
      </c>
      <c r="AP42" s="480">
        <f t="shared" si="14"/>
        <v>0</v>
      </c>
      <c r="AQ42" s="480">
        <f t="shared" si="15"/>
        <v>0</v>
      </c>
      <c r="AR42" s="486">
        <f t="shared" si="16"/>
        <v>0</v>
      </c>
      <c r="AS42" s="479">
        <f t="shared" si="17"/>
        <v>0</v>
      </c>
      <c r="AT42" s="479">
        <f t="shared" si="18"/>
        <v>0</v>
      </c>
      <c r="AU42" s="479">
        <f t="shared" si="19"/>
        <v>0</v>
      </c>
      <c r="AV42" s="479">
        <f t="shared" si="20"/>
        <v>0</v>
      </c>
      <c r="AW42" s="479">
        <f t="shared" si="21"/>
        <v>0</v>
      </c>
      <c r="AX42" s="479">
        <f t="shared" si="22"/>
        <v>0</v>
      </c>
      <c r="AY42" s="501">
        <v>0</v>
      </c>
      <c r="AZ42" s="502">
        <v>0</v>
      </c>
      <c r="BA42" s="502">
        <v>0</v>
      </c>
      <c r="BB42" s="502">
        <v>0</v>
      </c>
      <c r="BC42" s="502">
        <v>0</v>
      </c>
      <c r="BD42" s="503">
        <v>0</v>
      </c>
      <c r="BE42" s="503">
        <v>0</v>
      </c>
      <c r="BF42" s="486">
        <f t="shared" si="23"/>
        <v>0</v>
      </c>
      <c r="BG42" s="479">
        <f t="shared" si="24"/>
        <v>0</v>
      </c>
      <c r="BH42" s="479">
        <f t="shared" si="25"/>
        <v>0</v>
      </c>
      <c r="BI42" s="479">
        <f t="shared" si="26"/>
        <v>0</v>
      </c>
      <c r="BJ42" s="479">
        <f t="shared" si="27"/>
        <v>0</v>
      </c>
      <c r="BK42" s="479">
        <f t="shared" si="28"/>
        <v>0</v>
      </c>
      <c r="BL42" s="500">
        <f t="shared" si="29"/>
        <v>0</v>
      </c>
      <c r="BM42" s="483">
        <f t="shared" si="30"/>
        <v>0</v>
      </c>
      <c r="BN42" s="483">
        <f t="shared" si="31"/>
        <v>0</v>
      </c>
      <c r="BO42" s="483">
        <f t="shared" si="32"/>
        <v>0</v>
      </c>
      <c r="BP42" s="483">
        <f t="shared" si="33"/>
        <v>0</v>
      </c>
      <c r="BQ42" s="483">
        <f t="shared" si="34"/>
        <v>0</v>
      </c>
      <c r="BR42" s="483">
        <f t="shared" si="35"/>
        <v>0</v>
      </c>
      <c r="BS42" s="486">
        <f t="shared" si="36"/>
        <v>0</v>
      </c>
      <c r="BT42" s="479">
        <f t="shared" si="37"/>
        <v>0</v>
      </c>
      <c r="BU42" s="479">
        <f t="shared" si="38"/>
        <v>0</v>
      </c>
      <c r="BV42" s="479">
        <f t="shared" si="39"/>
        <v>0</v>
      </c>
      <c r="BW42" s="479">
        <f t="shared" si="40"/>
        <v>0</v>
      </c>
      <c r="BX42" s="500">
        <f t="shared" si="41"/>
        <v>0</v>
      </c>
      <c r="BY42" s="479">
        <f t="shared" si="49"/>
        <v>0</v>
      </c>
      <c r="BZ42" s="479">
        <f t="shared" si="42"/>
        <v>0</v>
      </c>
      <c r="CA42" s="479">
        <f t="shared" si="43"/>
        <v>0</v>
      </c>
      <c r="CB42" s="479">
        <f t="shared" si="44"/>
        <v>0</v>
      </c>
      <c r="CC42" s="479">
        <f t="shared" si="45"/>
        <v>0</v>
      </c>
      <c r="CD42" s="479">
        <f t="shared" si="46"/>
        <v>0</v>
      </c>
      <c r="CE42" s="500">
        <f t="shared" si="47"/>
        <v>0</v>
      </c>
      <c r="CF42" s="479">
        <f t="shared" si="50"/>
        <v>0</v>
      </c>
      <c r="CG42" s="479">
        <f t="shared" si="51"/>
        <v>0</v>
      </c>
      <c r="CH42" s="479">
        <f t="shared" si="52"/>
        <v>0</v>
      </c>
      <c r="CI42" s="479">
        <f t="shared" si="53"/>
        <v>0</v>
      </c>
      <c r="CJ42" s="479">
        <f t="shared" si="54"/>
        <v>0</v>
      </c>
      <c r="CK42" s="479">
        <f t="shared" si="55"/>
        <v>0</v>
      </c>
      <c r="CL42" s="12">
        <f t="shared" si="56"/>
        <v>2036</v>
      </c>
      <c r="CM42" s="12"/>
      <c r="CN42" s="12"/>
      <c r="CO42" s="12"/>
    </row>
    <row r="43" spans="1:93" ht="12.75">
      <c r="A43" s="459">
        <v>2037</v>
      </c>
      <c r="B43" s="460">
        <v>6.848783295497492</v>
      </c>
      <c r="C43" s="513">
        <v>6.681739800485359</v>
      </c>
      <c r="D43" s="470">
        <f t="shared" si="65"/>
        <v>9.34</v>
      </c>
      <c r="E43" s="470">
        <f t="shared" si="65"/>
        <v>7.34</v>
      </c>
      <c r="F43" s="488">
        <f t="shared" si="65"/>
        <v>6.5</v>
      </c>
      <c r="G43" s="461">
        <f t="shared" si="65"/>
        <v>5.34</v>
      </c>
      <c r="H43" s="460">
        <f t="shared" si="65"/>
        <v>4.22</v>
      </c>
      <c r="I43" s="470">
        <f t="shared" si="65"/>
        <v>3.5</v>
      </c>
      <c r="J43" s="489">
        <f t="shared" si="66"/>
        <v>0.02553202895523681</v>
      </c>
      <c r="K43" s="489">
        <f t="shared" si="66"/>
        <v>0.2047824855440209</v>
      </c>
      <c r="L43" s="489">
        <f t="shared" si="66"/>
        <v>0.3334871283924272</v>
      </c>
      <c r="M43" s="489">
        <f t="shared" si="66"/>
        <v>0.6023093763936166</v>
      </c>
      <c r="N43" s="489">
        <f t="shared" si="66"/>
        <v>0.8165861800275102</v>
      </c>
      <c r="O43" s="489">
        <f t="shared" si="66"/>
        <v>0.8994827894347629</v>
      </c>
      <c r="P43" s="494">
        <v>0</v>
      </c>
      <c r="Q43" s="495">
        <v>0</v>
      </c>
      <c r="R43" s="496">
        <v>0</v>
      </c>
      <c r="S43" s="496">
        <v>0</v>
      </c>
      <c r="T43" s="496">
        <v>0</v>
      </c>
      <c r="U43" s="510">
        <v>0</v>
      </c>
      <c r="V43" s="510">
        <v>0</v>
      </c>
      <c r="W43" s="516">
        <v>0</v>
      </c>
      <c r="X43" s="517">
        <v>0</v>
      </c>
      <c r="Y43" s="517">
        <v>0</v>
      </c>
      <c r="Z43" s="517">
        <v>0</v>
      </c>
      <c r="AA43" s="517">
        <v>0</v>
      </c>
      <c r="AB43" s="517">
        <v>0</v>
      </c>
      <c r="AC43" s="517">
        <v>0</v>
      </c>
      <c r="AD43" s="486">
        <f t="shared" si="2"/>
        <v>0</v>
      </c>
      <c r="AE43" s="479">
        <f t="shared" si="3"/>
        <v>0</v>
      </c>
      <c r="AF43" s="479">
        <f t="shared" si="4"/>
        <v>0</v>
      </c>
      <c r="AG43" s="479">
        <f t="shared" si="5"/>
        <v>0</v>
      </c>
      <c r="AH43" s="479">
        <f t="shared" si="6"/>
        <v>0</v>
      </c>
      <c r="AI43" s="479">
        <f t="shared" si="7"/>
        <v>0</v>
      </c>
      <c r="AJ43" s="500">
        <f t="shared" si="8"/>
        <v>0</v>
      </c>
      <c r="AK43" s="480">
        <f t="shared" si="9"/>
        <v>0</v>
      </c>
      <c r="AL43" s="480">
        <f t="shared" si="10"/>
        <v>0</v>
      </c>
      <c r="AM43" s="480">
        <f t="shared" si="11"/>
        <v>0</v>
      </c>
      <c r="AN43" s="480">
        <f t="shared" si="12"/>
        <v>0</v>
      </c>
      <c r="AO43" s="480">
        <f t="shared" si="13"/>
        <v>0</v>
      </c>
      <c r="AP43" s="480">
        <f t="shared" si="14"/>
        <v>0</v>
      </c>
      <c r="AQ43" s="480">
        <f t="shared" si="15"/>
        <v>0</v>
      </c>
      <c r="AR43" s="486">
        <f t="shared" si="16"/>
        <v>0</v>
      </c>
      <c r="AS43" s="479">
        <f t="shared" si="17"/>
        <v>0</v>
      </c>
      <c r="AT43" s="479">
        <f t="shared" si="18"/>
        <v>0</v>
      </c>
      <c r="AU43" s="479">
        <f t="shared" si="19"/>
        <v>0</v>
      </c>
      <c r="AV43" s="479">
        <f t="shared" si="20"/>
        <v>0</v>
      </c>
      <c r="AW43" s="479">
        <f t="shared" si="21"/>
        <v>0</v>
      </c>
      <c r="AX43" s="479">
        <f t="shared" si="22"/>
        <v>0</v>
      </c>
      <c r="AY43" s="501">
        <v>0</v>
      </c>
      <c r="AZ43" s="502">
        <v>0</v>
      </c>
      <c r="BA43" s="502">
        <v>0</v>
      </c>
      <c r="BB43" s="502">
        <v>0</v>
      </c>
      <c r="BC43" s="502">
        <v>0</v>
      </c>
      <c r="BD43" s="503">
        <v>0</v>
      </c>
      <c r="BE43" s="503">
        <v>0</v>
      </c>
      <c r="BF43" s="486">
        <f t="shared" si="23"/>
        <v>0</v>
      </c>
      <c r="BG43" s="479">
        <f t="shared" si="24"/>
        <v>0</v>
      </c>
      <c r="BH43" s="479">
        <f t="shared" si="25"/>
        <v>0</v>
      </c>
      <c r="BI43" s="479">
        <f t="shared" si="26"/>
        <v>0</v>
      </c>
      <c r="BJ43" s="479">
        <f t="shared" si="27"/>
        <v>0</v>
      </c>
      <c r="BK43" s="479">
        <f t="shared" si="28"/>
        <v>0</v>
      </c>
      <c r="BL43" s="500">
        <f t="shared" si="29"/>
        <v>0</v>
      </c>
      <c r="BM43" s="483">
        <f t="shared" si="30"/>
        <v>0</v>
      </c>
      <c r="BN43" s="483">
        <f t="shared" si="31"/>
        <v>0</v>
      </c>
      <c r="BO43" s="483">
        <f t="shared" si="32"/>
        <v>0</v>
      </c>
      <c r="BP43" s="483">
        <f t="shared" si="33"/>
        <v>0</v>
      </c>
      <c r="BQ43" s="483">
        <f t="shared" si="34"/>
        <v>0</v>
      </c>
      <c r="BR43" s="483">
        <f t="shared" si="35"/>
        <v>0</v>
      </c>
      <c r="BS43" s="486">
        <f t="shared" si="36"/>
        <v>0</v>
      </c>
      <c r="BT43" s="479">
        <f t="shared" si="37"/>
        <v>0</v>
      </c>
      <c r="BU43" s="479">
        <f t="shared" si="38"/>
        <v>0</v>
      </c>
      <c r="BV43" s="479">
        <f t="shared" si="39"/>
        <v>0</v>
      </c>
      <c r="BW43" s="479">
        <f t="shared" si="40"/>
        <v>0</v>
      </c>
      <c r="BX43" s="500">
        <f t="shared" si="41"/>
        <v>0</v>
      </c>
      <c r="BY43" s="479">
        <f t="shared" si="49"/>
        <v>0</v>
      </c>
      <c r="BZ43" s="479">
        <f t="shared" si="42"/>
        <v>0</v>
      </c>
      <c r="CA43" s="479">
        <f t="shared" si="43"/>
        <v>0</v>
      </c>
      <c r="CB43" s="479">
        <f t="shared" si="44"/>
        <v>0</v>
      </c>
      <c r="CC43" s="479">
        <f t="shared" si="45"/>
        <v>0</v>
      </c>
      <c r="CD43" s="479">
        <f t="shared" si="46"/>
        <v>0</v>
      </c>
      <c r="CE43" s="500">
        <f t="shared" si="47"/>
        <v>0</v>
      </c>
      <c r="CF43" s="479">
        <f t="shared" si="50"/>
        <v>0</v>
      </c>
      <c r="CG43" s="479">
        <f t="shared" si="51"/>
        <v>0</v>
      </c>
      <c r="CH43" s="479">
        <f t="shared" si="52"/>
        <v>0</v>
      </c>
      <c r="CI43" s="479">
        <f t="shared" si="53"/>
        <v>0</v>
      </c>
      <c r="CJ43" s="479">
        <f t="shared" si="54"/>
        <v>0</v>
      </c>
      <c r="CK43" s="479">
        <f t="shared" si="55"/>
        <v>0</v>
      </c>
      <c r="CL43" s="12">
        <f t="shared" si="56"/>
        <v>2037</v>
      </c>
      <c r="CM43" s="12"/>
      <c r="CN43" s="12"/>
      <c r="CO43" s="12"/>
    </row>
    <row r="44" spans="1:93" ht="12.75">
      <c r="A44" s="459">
        <v>2038</v>
      </c>
      <c r="B44" s="460">
        <v>6.940556991657159</v>
      </c>
      <c r="C44" s="513">
        <v>6.771275113811863</v>
      </c>
      <c r="D44" s="470">
        <f t="shared" si="65"/>
        <v>9.34</v>
      </c>
      <c r="E44" s="470">
        <f t="shared" si="65"/>
        <v>7.34</v>
      </c>
      <c r="F44" s="488">
        <f t="shared" si="65"/>
        <v>6.5</v>
      </c>
      <c r="G44" s="461">
        <f t="shared" si="65"/>
        <v>5.34</v>
      </c>
      <c r="H44" s="460">
        <f t="shared" si="65"/>
        <v>4.22</v>
      </c>
      <c r="I44" s="470">
        <f t="shared" si="65"/>
        <v>3.5</v>
      </c>
      <c r="J44" s="489">
        <f t="shared" si="66"/>
        <v>0.025640779189662333</v>
      </c>
      <c r="K44" s="489">
        <f t="shared" si="66"/>
        <v>0.20525141975622258</v>
      </c>
      <c r="L44" s="489">
        <f t="shared" si="66"/>
        <v>0.3340710826476189</v>
      </c>
      <c r="M44" s="489">
        <f t="shared" si="66"/>
        <v>0.6028185188948538</v>
      </c>
      <c r="N44" s="489">
        <f t="shared" si="66"/>
        <v>0.8169612625547019</v>
      </c>
      <c r="O44" s="489">
        <f t="shared" si="66"/>
        <v>0.8996494077423455</v>
      </c>
      <c r="P44" s="494">
        <v>0</v>
      </c>
      <c r="Q44" s="495">
        <v>0</v>
      </c>
      <c r="R44" s="496">
        <v>0</v>
      </c>
      <c r="S44" s="496">
        <v>0</v>
      </c>
      <c r="T44" s="496">
        <v>0</v>
      </c>
      <c r="U44" s="510">
        <v>0</v>
      </c>
      <c r="V44" s="510">
        <v>0</v>
      </c>
      <c r="W44" s="516">
        <v>0</v>
      </c>
      <c r="X44" s="517">
        <v>0</v>
      </c>
      <c r="Y44" s="517">
        <v>0</v>
      </c>
      <c r="Z44" s="517">
        <v>0</v>
      </c>
      <c r="AA44" s="517">
        <v>0</v>
      </c>
      <c r="AB44" s="517">
        <v>0</v>
      </c>
      <c r="AC44" s="517">
        <v>0</v>
      </c>
      <c r="AD44" s="486">
        <f t="shared" si="2"/>
        <v>0</v>
      </c>
      <c r="AE44" s="479">
        <f t="shared" si="3"/>
        <v>0</v>
      </c>
      <c r="AF44" s="479">
        <f t="shared" si="4"/>
        <v>0</v>
      </c>
      <c r="AG44" s="479">
        <f t="shared" si="5"/>
        <v>0</v>
      </c>
      <c r="AH44" s="479">
        <f t="shared" si="6"/>
        <v>0</v>
      </c>
      <c r="AI44" s="479">
        <f t="shared" si="7"/>
        <v>0</v>
      </c>
      <c r="AJ44" s="500">
        <f t="shared" si="8"/>
        <v>0</v>
      </c>
      <c r="AK44" s="480">
        <f t="shared" si="9"/>
        <v>0</v>
      </c>
      <c r="AL44" s="480">
        <f t="shared" si="10"/>
        <v>0</v>
      </c>
      <c r="AM44" s="480">
        <f t="shared" si="11"/>
        <v>0</v>
      </c>
      <c r="AN44" s="480">
        <f t="shared" si="12"/>
        <v>0</v>
      </c>
      <c r="AO44" s="480">
        <f t="shared" si="13"/>
        <v>0</v>
      </c>
      <c r="AP44" s="480">
        <f t="shared" si="14"/>
        <v>0</v>
      </c>
      <c r="AQ44" s="480">
        <f t="shared" si="15"/>
        <v>0</v>
      </c>
      <c r="AR44" s="486">
        <f t="shared" si="16"/>
        <v>0</v>
      </c>
      <c r="AS44" s="479">
        <f t="shared" si="17"/>
        <v>0</v>
      </c>
      <c r="AT44" s="479">
        <f t="shared" si="18"/>
        <v>0</v>
      </c>
      <c r="AU44" s="479">
        <f t="shared" si="19"/>
        <v>0</v>
      </c>
      <c r="AV44" s="479">
        <f t="shared" si="20"/>
        <v>0</v>
      </c>
      <c r="AW44" s="479">
        <f t="shared" si="21"/>
        <v>0</v>
      </c>
      <c r="AX44" s="479">
        <f t="shared" si="22"/>
        <v>0</v>
      </c>
      <c r="AY44" s="501">
        <v>0</v>
      </c>
      <c r="AZ44" s="502">
        <v>0</v>
      </c>
      <c r="BA44" s="502">
        <v>0</v>
      </c>
      <c r="BB44" s="502">
        <v>0</v>
      </c>
      <c r="BC44" s="502">
        <v>0</v>
      </c>
      <c r="BD44" s="503">
        <v>0</v>
      </c>
      <c r="BE44" s="503">
        <v>0</v>
      </c>
      <c r="BF44" s="486">
        <f t="shared" si="23"/>
        <v>0</v>
      </c>
      <c r="BG44" s="479">
        <f t="shared" si="24"/>
        <v>0</v>
      </c>
      <c r="BH44" s="479">
        <f t="shared" si="25"/>
        <v>0</v>
      </c>
      <c r="BI44" s="479">
        <f t="shared" si="26"/>
        <v>0</v>
      </c>
      <c r="BJ44" s="479">
        <f t="shared" si="27"/>
        <v>0</v>
      </c>
      <c r="BK44" s="479">
        <f t="shared" si="28"/>
        <v>0</v>
      </c>
      <c r="BL44" s="500">
        <f t="shared" si="29"/>
        <v>0</v>
      </c>
      <c r="BM44" s="483">
        <f t="shared" si="30"/>
        <v>0</v>
      </c>
      <c r="BN44" s="483">
        <f t="shared" si="31"/>
        <v>0</v>
      </c>
      <c r="BO44" s="483">
        <f t="shared" si="32"/>
        <v>0</v>
      </c>
      <c r="BP44" s="483">
        <f t="shared" si="33"/>
        <v>0</v>
      </c>
      <c r="BQ44" s="483">
        <f t="shared" si="34"/>
        <v>0</v>
      </c>
      <c r="BR44" s="483">
        <f t="shared" si="35"/>
        <v>0</v>
      </c>
      <c r="BS44" s="486">
        <f t="shared" si="36"/>
        <v>0</v>
      </c>
      <c r="BT44" s="479">
        <f t="shared" si="37"/>
        <v>0</v>
      </c>
      <c r="BU44" s="479">
        <f t="shared" si="38"/>
        <v>0</v>
      </c>
      <c r="BV44" s="479">
        <f t="shared" si="39"/>
        <v>0</v>
      </c>
      <c r="BW44" s="479">
        <f t="shared" si="40"/>
        <v>0</v>
      </c>
      <c r="BX44" s="500">
        <f t="shared" si="41"/>
        <v>0</v>
      </c>
      <c r="BY44" s="479">
        <f t="shared" si="49"/>
        <v>0</v>
      </c>
      <c r="BZ44" s="479">
        <f t="shared" si="42"/>
        <v>0</v>
      </c>
      <c r="CA44" s="479">
        <f t="shared" si="43"/>
        <v>0</v>
      </c>
      <c r="CB44" s="479">
        <f t="shared" si="44"/>
        <v>0</v>
      </c>
      <c r="CC44" s="479">
        <f t="shared" si="45"/>
        <v>0</v>
      </c>
      <c r="CD44" s="479">
        <f t="shared" si="46"/>
        <v>0</v>
      </c>
      <c r="CE44" s="500">
        <f t="shared" si="47"/>
        <v>0</v>
      </c>
      <c r="CF44" s="479">
        <f t="shared" si="50"/>
        <v>0</v>
      </c>
      <c r="CG44" s="479">
        <f t="shared" si="51"/>
        <v>0</v>
      </c>
      <c r="CH44" s="479">
        <f t="shared" si="52"/>
        <v>0</v>
      </c>
      <c r="CI44" s="479">
        <f t="shared" si="53"/>
        <v>0</v>
      </c>
      <c r="CJ44" s="479">
        <f t="shared" si="54"/>
        <v>0</v>
      </c>
      <c r="CK44" s="479">
        <f t="shared" si="55"/>
        <v>0</v>
      </c>
      <c r="CL44" s="12">
        <f t="shared" si="56"/>
        <v>2038</v>
      </c>
      <c r="CM44" s="12"/>
      <c r="CN44" s="12"/>
      <c r="CO44" s="12"/>
    </row>
    <row r="45" spans="1:93" ht="12.75">
      <c r="A45" s="459">
        <v>2039</v>
      </c>
      <c r="B45" s="460">
        <v>7.0335604553453654</v>
      </c>
      <c r="C45" s="513">
        <v>6.862010200336942</v>
      </c>
      <c r="D45" s="470">
        <f t="shared" si="65"/>
        <v>9.34</v>
      </c>
      <c r="E45" s="470">
        <f t="shared" si="65"/>
        <v>7.34</v>
      </c>
      <c r="F45" s="488">
        <f t="shared" si="65"/>
        <v>6.5</v>
      </c>
      <c r="G45" s="461">
        <f t="shared" si="65"/>
        <v>5.34</v>
      </c>
      <c r="H45" s="460">
        <f t="shared" si="65"/>
        <v>4.22</v>
      </c>
      <c r="I45" s="470">
        <f t="shared" si="65"/>
        <v>3.5</v>
      </c>
      <c r="J45" s="489">
        <f t="shared" si="66"/>
        <v>0.025724269381633053</v>
      </c>
      <c r="K45" s="489">
        <f t="shared" si="66"/>
        <v>0.20561130176674783</v>
      </c>
      <c r="L45" s="489">
        <f t="shared" si="66"/>
        <v>0.3345194036800153</v>
      </c>
      <c r="M45" s="489">
        <f t="shared" si="66"/>
        <v>0.6032092984294902</v>
      </c>
      <c r="N45" s="489">
        <f t="shared" si="66"/>
        <v>0.817249147527404</v>
      </c>
      <c r="O45" s="489">
        <f t="shared" si="66"/>
        <v>0.899777399059036</v>
      </c>
      <c r="P45" s="494">
        <v>0</v>
      </c>
      <c r="Q45" s="495">
        <v>0</v>
      </c>
      <c r="R45" s="496">
        <v>0</v>
      </c>
      <c r="S45" s="496">
        <v>0</v>
      </c>
      <c r="T45" s="496">
        <v>0</v>
      </c>
      <c r="U45" s="510">
        <v>0</v>
      </c>
      <c r="V45" s="510">
        <v>0</v>
      </c>
      <c r="W45" s="516">
        <v>0</v>
      </c>
      <c r="X45" s="517">
        <v>0</v>
      </c>
      <c r="Y45" s="517">
        <v>0</v>
      </c>
      <c r="Z45" s="517">
        <v>0</v>
      </c>
      <c r="AA45" s="517">
        <v>0</v>
      </c>
      <c r="AB45" s="517">
        <v>0</v>
      </c>
      <c r="AC45" s="517">
        <v>0</v>
      </c>
      <c r="AD45" s="486">
        <f t="shared" si="2"/>
        <v>0</v>
      </c>
      <c r="AE45" s="479">
        <f t="shared" si="3"/>
        <v>0</v>
      </c>
      <c r="AF45" s="479">
        <f t="shared" si="4"/>
        <v>0</v>
      </c>
      <c r="AG45" s="479">
        <f t="shared" si="5"/>
        <v>0</v>
      </c>
      <c r="AH45" s="479">
        <f t="shared" si="6"/>
        <v>0</v>
      </c>
      <c r="AI45" s="479">
        <f t="shared" si="7"/>
        <v>0</v>
      </c>
      <c r="AJ45" s="500">
        <f t="shared" si="8"/>
        <v>0</v>
      </c>
      <c r="AK45" s="480">
        <f t="shared" si="9"/>
        <v>0</v>
      </c>
      <c r="AL45" s="480">
        <f t="shared" si="10"/>
        <v>0</v>
      </c>
      <c r="AM45" s="480">
        <f t="shared" si="11"/>
        <v>0</v>
      </c>
      <c r="AN45" s="480">
        <f t="shared" si="12"/>
        <v>0</v>
      </c>
      <c r="AO45" s="480">
        <f t="shared" si="13"/>
        <v>0</v>
      </c>
      <c r="AP45" s="480">
        <f t="shared" si="14"/>
        <v>0</v>
      </c>
      <c r="AQ45" s="480">
        <f t="shared" si="15"/>
        <v>0</v>
      </c>
      <c r="AR45" s="486">
        <f t="shared" si="16"/>
        <v>0</v>
      </c>
      <c r="AS45" s="479">
        <f t="shared" si="17"/>
        <v>0</v>
      </c>
      <c r="AT45" s="479">
        <f t="shared" si="18"/>
        <v>0</v>
      </c>
      <c r="AU45" s="479">
        <f t="shared" si="19"/>
        <v>0</v>
      </c>
      <c r="AV45" s="479">
        <f t="shared" si="20"/>
        <v>0</v>
      </c>
      <c r="AW45" s="479">
        <f t="shared" si="21"/>
        <v>0</v>
      </c>
      <c r="AX45" s="479">
        <f t="shared" si="22"/>
        <v>0</v>
      </c>
      <c r="AY45" s="501">
        <v>0</v>
      </c>
      <c r="AZ45" s="502">
        <v>0</v>
      </c>
      <c r="BA45" s="502">
        <v>0</v>
      </c>
      <c r="BB45" s="502">
        <v>0</v>
      </c>
      <c r="BC45" s="502">
        <v>0</v>
      </c>
      <c r="BD45" s="503">
        <v>0</v>
      </c>
      <c r="BE45" s="503">
        <v>0</v>
      </c>
      <c r="BF45" s="486">
        <f t="shared" si="23"/>
        <v>0</v>
      </c>
      <c r="BG45" s="479">
        <f t="shared" si="24"/>
        <v>0</v>
      </c>
      <c r="BH45" s="479">
        <f t="shared" si="25"/>
        <v>0</v>
      </c>
      <c r="BI45" s="479">
        <f t="shared" si="26"/>
        <v>0</v>
      </c>
      <c r="BJ45" s="479">
        <f t="shared" si="27"/>
        <v>0</v>
      </c>
      <c r="BK45" s="479">
        <f t="shared" si="28"/>
        <v>0</v>
      </c>
      <c r="BL45" s="500">
        <f t="shared" si="29"/>
        <v>0</v>
      </c>
      <c r="BM45" s="483">
        <f t="shared" si="30"/>
        <v>0</v>
      </c>
      <c r="BN45" s="483">
        <f t="shared" si="31"/>
        <v>0</v>
      </c>
      <c r="BO45" s="483">
        <f t="shared" si="32"/>
        <v>0</v>
      </c>
      <c r="BP45" s="483">
        <f t="shared" si="33"/>
        <v>0</v>
      </c>
      <c r="BQ45" s="483">
        <f t="shared" si="34"/>
        <v>0</v>
      </c>
      <c r="BR45" s="483">
        <f t="shared" si="35"/>
        <v>0</v>
      </c>
      <c r="BS45" s="486">
        <f t="shared" si="36"/>
        <v>0</v>
      </c>
      <c r="BT45" s="479">
        <f t="shared" si="37"/>
        <v>0</v>
      </c>
      <c r="BU45" s="479">
        <f t="shared" si="38"/>
        <v>0</v>
      </c>
      <c r="BV45" s="479">
        <f t="shared" si="39"/>
        <v>0</v>
      </c>
      <c r="BW45" s="479">
        <f t="shared" si="40"/>
        <v>0</v>
      </c>
      <c r="BX45" s="500">
        <f t="shared" si="41"/>
        <v>0</v>
      </c>
      <c r="BY45" s="479">
        <f t="shared" si="49"/>
        <v>0</v>
      </c>
      <c r="BZ45" s="479">
        <f t="shared" si="42"/>
        <v>0</v>
      </c>
      <c r="CA45" s="479">
        <f t="shared" si="43"/>
        <v>0</v>
      </c>
      <c r="CB45" s="479">
        <f t="shared" si="44"/>
        <v>0</v>
      </c>
      <c r="CC45" s="479">
        <f t="shared" si="45"/>
        <v>0</v>
      </c>
      <c r="CD45" s="479">
        <f t="shared" si="46"/>
        <v>0</v>
      </c>
      <c r="CE45" s="500">
        <f t="shared" si="47"/>
        <v>0</v>
      </c>
      <c r="CF45" s="479">
        <f t="shared" si="50"/>
        <v>0</v>
      </c>
      <c r="CG45" s="479">
        <f t="shared" si="51"/>
        <v>0</v>
      </c>
      <c r="CH45" s="479">
        <f t="shared" si="52"/>
        <v>0</v>
      </c>
      <c r="CI45" s="479">
        <f t="shared" si="53"/>
        <v>0</v>
      </c>
      <c r="CJ45" s="479">
        <f t="shared" si="54"/>
        <v>0</v>
      </c>
      <c r="CK45" s="479">
        <f t="shared" si="55"/>
        <v>0</v>
      </c>
      <c r="CL45" s="12">
        <f t="shared" si="56"/>
        <v>2039</v>
      </c>
      <c r="CM45" s="12"/>
      <c r="CN45" s="12"/>
      <c r="CO45" s="12"/>
    </row>
    <row r="46" spans="1:93" ht="12.75">
      <c r="A46" s="459">
        <v>2040</v>
      </c>
      <c r="B46" s="460">
        <v>7.127810165446994</v>
      </c>
      <c r="C46" s="513">
        <v>6.953961137021459</v>
      </c>
      <c r="D46" s="470">
        <f t="shared" si="65"/>
        <v>9.34</v>
      </c>
      <c r="E46" s="470">
        <f t="shared" si="65"/>
        <v>7.34</v>
      </c>
      <c r="F46" s="488">
        <f t="shared" si="65"/>
        <v>6.5</v>
      </c>
      <c r="G46" s="461">
        <f t="shared" si="65"/>
        <v>5.34</v>
      </c>
      <c r="H46" s="460">
        <f t="shared" si="65"/>
        <v>4.22</v>
      </c>
      <c r="I46" s="470">
        <f t="shared" si="65"/>
        <v>3.5</v>
      </c>
      <c r="J46" s="489">
        <f t="shared" si="66"/>
        <v>0.025788349523765134</v>
      </c>
      <c r="K46" s="489">
        <f t="shared" si="66"/>
        <v>0.20588757384099013</v>
      </c>
      <c r="L46" s="489">
        <f t="shared" si="66"/>
        <v>0.3348634954425447</v>
      </c>
      <c r="M46" s="489">
        <f t="shared" si="66"/>
        <v>0.6035092724414481</v>
      </c>
      <c r="N46" s="489">
        <f t="shared" si="66"/>
        <v>0.8174701366940352</v>
      </c>
      <c r="O46" s="489">
        <f t="shared" si="66"/>
        <v>0.899875602267127</v>
      </c>
      <c r="P46" s="494">
        <v>0</v>
      </c>
      <c r="Q46" s="495">
        <v>0</v>
      </c>
      <c r="R46" s="496">
        <v>0</v>
      </c>
      <c r="S46" s="496">
        <v>0</v>
      </c>
      <c r="T46" s="496">
        <v>0</v>
      </c>
      <c r="U46" s="510">
        <v>0</v>
      </c>
      <c r="V46" s="510">
        <v>0</v>
      </c>
      <c r="W46" s="516">
        <v>0</v>
      </c>
      <c r="X46" s="517">
        <v>0</v>
      </c>
      <c r="Y46" s="517">
        <v>0</v>
      </c>
      <c r="Z46" s="517">
        <v>0</v>
      </c>
      <c r="AA46" s="517">
        <v>0</v>
      </c>
      <c r="AB46" s="517">
        <v>0</v>
      </c>
      <c r="AC46" s="517">
        <v>0</v>
      </c>
      <c r="AD46" s="486">
        <f t="shared" si="2"/>
        <v>0</v>
      </c>
      <c r="AE46" s="479">
        <f t="shared" si="3"/>
        <v>0</v>
      </c>
      <c r="AF46" s="479">
        <f t="shared" si="4"/>
        <v>0</v>
      </c>
      <c r="AG46" s="479">
        <f t="shared" si="5"/>
        <v>0</v>
      </c>
      <c r="AH46" s="479">
        <f t="shared" si="6"/>
        <v>0</v>
      </c>
      <c r="AI46" s="479">
        <f t="shared" si="7"/>
        <v>0</v>
      </c>
      <c r="AJ46" s="500">
        <f t="shared" si="8"/>
        <v>0</v>
      </c>
      <c r="AK46" s="480">
        <f t="shared" si="9"/>
        <v>0</v>
      </c>
      <c r="AL46" s="480">
        <f t="shared" si="10"/>
        <v>0</v>
      </c>
      <c r="AM46" s="480">
        <f t="shared" si="11"/>
        <v>0</v>
      </c>
      <c r="AN46" s="480">
        <f t="shared" si="12"/>
        <v>0</v>
      </c>
      <c r="AO46" s="480">
        <f t="shared" si="13"/>
        <v>0</v>
      </c>
      <c r="AP46" s="480">
        <f t="shared" si="14"/>
        <v>0</v>
      </c>
      <c r="AQ46" s="480">
        <f t="shared" si="15"/>
        <v>0</v>
      </c>
      <c r="AR46" s="486">
        <f t="shared" si="16"/>
        <v>0</v>
      </c>
      <c r="AS46" s="479">
        <f t="shared" si="17"/>
        <v>0</v>
      </c>
      <c r="AT46" s="479">
        <f t="shared" si="18"/>
        <v>0</v>
      </c>
      <c r="AU46" s="479">
        <f t="shared" si="19"/>
        <v>0</v>
      </c>
      <c r="AV46" s="479">
        <f t="shared" si="20"/>
        <v>0</v>
      </c>
      <c r="AW46" s="479">
        <f t="shared" si="21"/>
        <v>0</v>
      </c>
      <c r="AX46" s="479">
        <f t="shared" si="22"/>
        <v>0</v>
      </c>
      <c r="AY46" s="501">
        <v>0</v>
      </c>
      <c r="AZ46" s="502">
        <v>0</v>
      </c>
      <c r="BA46" s="502">
        <v>0</v>
      </c>
      <c r="BB46" s="502">
        <v>0</v>
      </c>
      <c r="BC46" s="502">
        <v>0</v>
      </c>
      <c r="BD46" s="503">
        <v>0</v>
      </c>
      <c r="BE46" s="503">
        <v>0</v>
      </c>
      <c r="BF46" s="486">
        <f t="shared" si="23"/>
        <v>0</v>
      </c>
      <c r="BG46" s="479">
        <f t="shared" si="24"/>
        <v>0</v>
      </c>
      <c r="BH46" s="479">
        <f t="shared" si="25"/>
        <v>0</v>
      </c>
      <c r="BI46" s="479">
        <f t="shared" si="26"/>
        <v>0</v>
      </c>
      <c r="BJ46" s="479">
        <f t="shared" si="27"/>
        <v>0</v>
      </c>
      <c r="BK46" s="479">
        <f t="shared" si="28"/>
        <v>0</v>
      </c>
      <c r="BL46" s="500">
        <f t="shared" si="29"/>
        <v>0</v>
      </c>
      <c r="BM46" s="483">
        <f t="shared" si="30"/>
        <v>0</v>
      </c>
      <c r="BN46" s="483">
        <f t="shared" si="31"/>
        <v>0</v>
      </c>
      <c r="BO46" s="483">
        <f t="shared" si="32"/>
        <v>0</v>
      </c>
      <c r="BP46" s="483">
        <f t="shared" si="33"/>
        <v>0</v>
      </c>
      <c r="BQ46" s="483">
        <f t="shared" si="34"/>
        <v>0</v>
      </c>
      <c r="BR46" s="483">
        <f t="shared" si="35"/>
        <v>0</v>
      </c>
      <c r="BS46" s="486">
        <f t="shared" si="36"/>
        <v>0</v>
      </c>
      <c r="BT46" s="479">
        <f t="shared" si="37"/>
        <v>0</v>
      </c>
      <c r="BU46" s="479">
        <f t="shared" si="38"/>
        <v>0</v>
      </c>
      <c r="BV46" s="479">
        <f t="shared" si="39"/>
        <v>0</v>
      </c>
      <c r="BW46" s="479">
        <f t="shared" si="40"/>
        <v>0</v>
      </c>
      <c r="BX46" s="500">
        <f t="shared" si="41"/>
        <v>0</v>
      </c>
      <c r="BY46" s="479">
        <f t="shared" si="49"/>
        <v>0</v>
      </c>
      <c r="BZ46" s="479">
        <f t="shared" si="42"/>
        <v>0</v>
      </c>
      <c r="CA46" s="479">
        <f t="shared" si="43"/>
        <v>0</v>
      </c>
      <c r="CB46" s="479">
        <f t="shared" si="44"/>
        <v>0</v>
      </c>
      <c r="CC46" s="479">
        <f t="shared" si="45"/>
        <v>0</v>
      </c>
      <c r="CD46" s="479">
        <f t="shared" si="46"/>
        <v>0</v>
      </c>
      <c r="CE46" s="500">
        <f t="shared" si="47"/>
        <v>0</v>
      </c>
      <c r="CF46" s="479">
        <f t="shared" si="50"/>
        <v>0</v>
      </c>
      <c r="CG46" s="479">
        <f t="shared" si="51"/>
        <v>0</v>
      </c>
      <c r="CH46" s="479">
        <f t="shared" si="52"/>
        <v>0</v>
      </c>
      <c r="CI46" s="479">
        <f t="shared" si="53"/>
        <v>0</v>
      </c>
      <c r="CJ46" s="479">
        <f t="shared" si="54"/>
        <v>0</v>
      </c>
      <c r="CK46" s="479">
        <f t="shared" si="55"/>
        <v>0</v>
      </c>
      <c r="CL46" s="12">
        <f t="shared" si="56"/>
        <v>2040</v>
      </c>
      <c r="CM46" s="12"/>
      <c r="CN46" s="12"/>
      <c r="CO46" s="12"/>
    </row>
    <row r="47" spans="1:93" ht="12.75">
      <c r="A47" s="459">
        <v>2041</v>
      </c>
      <c r="B47" s="460">
        <v>7.223322821663984</v>
      </c>
      <c r="C47" s="513">
        <v>7.047144216257546</v>
      </c>
      <c r="D47" s="470">
        <f t="shared" si="65"/>
        <v>9.34</v>
      </c>
      <c r="E47" s="470">
        <f t="shared" si="65"/>
        <v>7.34</v>
      </c>
      <c r="F47" s="488">
        <f t="shared" si="65"/>
        <v>6.5</v>
      </c>
      <c r="G47" s="461">
        <f t="shared" si="65"/>
        <v>5.34</v>
      </c>
      <c r="H47" s="460">
        <f t="shared" si="65"/>
        <v>4.22</v>
      </c>
      <c r="I47" s="470">
        <f t="shared" si="65"/>
        <v>3.5</v>
      </c>
      <c r="J47" s="489">
        <f t="shared" si="66"/>
        <v>0.025837539635132734</v>
      </c>
      <c r="K47" s="489">
        <f t="shared" si="66"/>
        <v>0.20609962520257932</v>
      </c>
      <c r="L47" s="489">
        <f t="shared" si="66"/>
        <v>0.33512763304085325</v>
      </c>
      <c r="M47" s="489">
        <f t="shared" si="66"/>
        <v>0.6037395236236462</v>
      </c>
      <c r="N47" s="489">
        <f t="shared" si="66"/>
        <v>0.8176397614071463</v>
      </c>
      <c r="O47" s="489">
        <f t="shared" si="66"/>
        <v>0.8999510004420542</v>
      </c>
      <c r="P47" s="494">
        <v>0</v>
      </c>
      <c r="Q47" s="495">
        <v>0</v>
      </c>
      <c r="R47" s="496">
        <v>0</v>
      </c>
      <c r="S47" s="496">
        <v>0</v>
      </c>
      <c r="T47" s="496">
        <v>0</v>
      </c>
      <c r="U47" s="510">
        <v>0</v>
      </c>
      <c r="V47" s="510">
        <v>0</v>
      </c>
      <c r="W47" s="516">
        <v>0</v>
      </c>
      <c r="X47" s="517">
        <v>0</v>
      </c>
      <c r="Y47" s="517">
        <v>0</v>
      </c>
      <c r="Z47" s="517">
        <v>0</v>
      </c>
      <c r="AA47" s="517">
        <v>0</v>
      </c>
      <c r="AB47" s="517">
        <v>0</v>
      </c>
      <c r="AC47" s="517">
        <v>0</v>
      </c>
      <c r="AD47" s="486">
        <f t="shared" si="2"/>
        <v>0</v>
      </c>
      <c r="AE47" s="479">
        <f t="shared" si="3"/>
        <v>0</v>
      </c>
      <c r="AF47" s="479">
        <f t="shared" si="4"/>
        <v>0</v>
      </c>
      <c r="AG47" s="479">
        <f t="shared" si="5"/>
        <v>0</v>
      </c>
      <c r="AH47" s="479">
        <f t="shared" si="6"/>
        <v>0</v>
      </c>
      <c r="AI47" s="479">
        <f t="shared" si="7"/>
        <v>0</v>
      </c>
      <c r="AJ47" s="500">
        <f t="shared" si="8"/>
        <v>0</v>
      </c>
      <c r="AK47" s="480">
        <f t="shared" si="9"/>
        <v>0</v>
      </c>
      <c r="AL47" s="480">
        <f t="shared" si="10"/>
        <v>0</v>
      </c>
      <c r="AM47" s="480">
        <f t="shared" si="11"/>
        <v>0</v>
      </c>
      <c r="AN47" s="480">
        <f t="shared" si="12"/>
        <v>0</v>
      </c>
      <c r="AO47" s="480">
        <f t="shared" si="13"/>
        <v>0</v>
      </c>
      <c r="AP47" s="480">
        <f t="shared" si="14"/>
        <v>0</v>
      </c>
      <c r="AQ47" s="480">
        <f t="shared" si="15"/>
        <v>0</v>
      </c>
      <c r="AR47" s="486">
        <f t="shared" si="16"/>
        <v>0</v>
      </c>
      <c r="AS47" s="479">
        <f t="shared" si="17"/>
        <v>0</v>
      </c>
      <c r="AT47" s="479">
        <f t="shared" si="18"/>
        <v>0</v>
      </c>
      <c r="AU47" s="479">
        <f t="shared" si="19"/>
        <v>0</v>
      </c>
      <c r="AV47" s="479">
        <f t="shared" si="20"/>
        <v>0</v>
      </c>
      <c r="AW47" s="479">
        <f t="shared" si="21"/>
        <v>0</v>
      </c>
      <c r="AX47" s="479">
        <f t="shared" si="22"/>
        <v>0</v>
      </c>
      <c r="AY47" s="501">
        <v>0</v>
      </c>
      <c r="AZ47" s="502">
        <v>0</v>
      </c>
      <c r="BA47" s="502">
        <v>0</v>
      </c>
      <c r="BB47" s="502">
        <v>0</v>
      </c>
      <c r="BC47" s="502">
        <v>0</v>
      </c>
      <c r="BD47" s="503">
        <v>0</v>
      </c>
      <c r="BE47" s="503">
        <v>0</v>
      </c>
      <c r="BF47" s="486">
        <f t="shared" si="23"/>
        <v>0</v>
      </c>
      <c r="BG47" s="479">
        <f t="shared" si="24"/>
        <v>0</v>
      </c>
      <c r="BH47" s="479">
        <f t="shared" si="25"/>
        <v>0</v>
      </c>
      <c r="BI47" s="479">
        <f t="shared" si="26"/>
        <v>0</v>
      </c>
      <c r="BJ47" s="479">
        <f t="shared" si="27"/>
        <v>0</v>
      </c>
      <c r="BK47" s="479">
        <f t="shared" si="28"/>
        <v>0</v>
      </c>
      <c r="BL47" s="500">
        <f t="shared" si="29"/>
        <v>0</v>
      </c>
      <c r="BM47" s="483">
        <f t="shared" si="30"/>
        <v>0</v>
      </c>
      <c r="BN47" s="483">
        <f t="shared" si="31"/>
        <v>0</v>
      </c>
      <c r="BO47" s="483">
        <f t="shared" si="32"/>
        <v>0</v>
      </c>
      <c r="BP47" s="483">
        <f t="shared" si="33"/>
        <v>0</v>
      </c>
      <c r="BQ47" s="483">
        <f t="shared" si="34"/>
        <v>0</v>
      </c>
      <c r="BR47" s="483">
        <f t="shared" si="35"/>
        <v>0</v>
      </c>
      <c r="BS47" s="486">
        <f t="shared" si="36"/>
        <v>0</v>
      </c>
      <c r="BT47" s="479">
        <f t="shared" si="37"/>
        <v>0</v>
      </c>
      <c r="BU47" s="479">
        <f t="shared" si="38"/>
        <v>0</v>
      </c>
      <c r="BV47" s="479">
        <f t="shared" si="39"/>
        <v>0</v>
      </c>
      <c r="BW47" s="479">
        <f t="shared" si="40"/>
        <v>0</v>
      </c>
      <c r="BX47" s="500">
        <f t="shared" si="41"/>
        <v>0</v>
      </c>
      <c r="BY47" s="479">
        <f t="shared" si="49"/>
        <v>0</v>
      </c>
      <c r="BZ47" s="479">
        <f t="shared" si="42"/>
        <v>0</v>
      </c>
      <c r="CA47" s="479">
        <f t="shared" si="43"/>
        <v>0</v>
      </c>
      <c r="CB47" s="479">
        <f t="shared" si="44"/>
        <v>0</v>
      </c>
      <c r="CC47" s="479">
        <f t="shared" si="45"/>
        <v>0</v>
      </c>
      <c r="CD47" s="479">
        <f t="shared" si="46"/>
        <v>0</v>
      </c>
      <c r="CE47" s="500">
        <f t="shared" si="47"/>
        <v>0</v>
      </c>
      <c r="CF47" s="479">
        <f t="shared" si="50"/>
        <v>0</v>
      </c>
      <c r="CG47" s="479">
        <f t="shared" si="51"/>
        <v>0</v>
      </c>
      <c r="CH47" s="479">
        <f t="shared" si="52"/>
        <v>0</v>
      </c>
      <c r="CI47" s="479">
        <f t="shared" si="53"/>
        <v>0</v>
      </c>
      <c r="CJ47" s="479">
        <f t="shared" si="54"/>
        <v>0</v>
      </c>
      <c r="CK47" s="479">
        <f t="shared" si="55"/>
        <v>0</v>
      </c>
      <c r="CL47" s="12">
        <f t="shared" si="56"/>
        <v>2041</v>
      </c>
      <c r="CM47" s="12"/>
      <c r="CN47" s="12"/>
      <c r="CO47" s="12"/>
    </row>
    <row r="48" spans="1:93" ht="12.75">
      <c r="A48" s="459">
        <v>2042</v>
      </c>
      <c r="B48" s="460">
        <v>7.320115347474283</v>
      </c>
      <c r="C48" s="513">
        <v>7.141575948755398</v>
      </c>
      <c r="D48" s="470">
        <f t="shared" si="65"/>
        <v>9.34</v>
      </c>
      <c r="E48" s="470">
        <f t="shared" si="65"/>
        <v>7.34</v>
      </c>
      <c r="F48" s="488">
        <f t="shared" si="65"/>
        <v>6.5</v>
      </c>
      <c r="G48" s="461">
        <f t="shared" si="65"/>
        <v>5.34</v>
      </c>
      <c r="H48" s="460">
        <f t="shared" si="65"/>
        <v>4.22</v>
      </c>
      <c r="I48" s="470">
        <f t="shared" si="65"/>
        <v>3.5</v>
      </c>
      <c r="J48" s="489">
        <f aca="true" t="shared" si="67" ref="J48:O50">J47+((J47-J45)/3)</f>
        <v>0.025875296386299294</v>
      </c>
      <c r="K48" s="489">
        <f t="shared" si="67"/>
        <v>0.2062623996811898</v>
      </c>
      <c r="L48" s="489">
        <f t="shared" si="67"/>
        <v>0.33533037616113254</v>
      </c>
      <c r="M48" s="489">
        <f t="shared" si="67"/>
        <v>0.6039162653550316</v>
      </c>
      <c r="N48" s="489">
        <f t="shared" si="67"/>
        <v>0.8177699660337271</v>
      </c>
      <c r="O48" s="489">
        <f t="shared" si="67"/>
        <v>0.900008867569727</v>
      </c>
      <c r="P48" s="494">
        <v>0</v>
      </c>
      <c r="Q48" s="495">
        <v>0</v>
      </c>
      <c r="R48" s="496">
        <v>0</v>
      </c>
      <c r="S48" s="496">
        <v>0</v>
      </c>
      <c r="T48" s="496">
        <v>0</v>
      </c>
      <c r="U48" s="510">
        <v>0</v>
      </c>
      <c r="V48" s="510">
        <v>0</v>
      </c>
      <c r="W48" s="514"/>
      <c r="X48" s="468"/>
      <c r="Y48" s="468"/>
      <c r="Z48" s="468"/>
      <c r="AA48" s="468"/>
      <c r="AB48" s="468"/>
      <c r="AC48" s="468"/>
      <c r="AD48" s="486">
        <f t="shared" si="2"/>
        <v>0</v>
      </c>
      <c r="AE48" s="479">
        <f t="shared" si="3"/>
        <v>0</v>
      </c>
      <c r="AF48" s="479">
        <f t="shared" si="4"/>
        <v>0</v>
      </c>
      <c r="AG48" s="479">
        <f t="shared" si="5"/>
        <v>0</v>
      </c>
      <c r="AH48" s="479">
        <f t="shared" si="6"/>
        <v>0</v>
      </c>
      <c r="AI48" s="479">
        <f t="shared" si="7"/>
        <v>0</v>
      </c>
      <c r="AJ48" s="500">
        <f t="shared" si="8"/>
        <v>0</v>
      </c>
      <c r="AK48" s="480">
        <f t="shared" si="9"/>
        <v>0</v>
      </c>
      <c r="AL48" s="480">
        <f t="shared" si="10"/>
        <v>0</v>
      </c>
      <c r="AM48" s="480">
        <f t="shared" si="11"/>
        <v>0</v>
      </c>
      <c r="AN48" s="480">
        <f t="shared" si="12"/>
        <v>0</v>
      </c>
      <c r="AO48" s="480">
        <f t="shared" si="13"/>
        <v>0</v>
      </c>
      <c r="AP48" s="480">
        <f t="shared" si="14"/>
        <v>0</v>
      </c>
      <c r="AQ48" s="480">
        <f t="shared" si="15"/>
        <v>0</v>
      </c>
      <c r="AR48" s="486">
        <f t="shared" si="16"/>
        <v>0</v>
      </c>
      <c r="AS48" s="479">
        <f t="shared" si="17"/>
        <v>0</v>
      </c>
      <c r="AT48" s="479">
        <f t="shared" si="18"/>
        <v>0</v>
      </c>
      <c r="AU48" s="479">
        <f t="shared" si="19"/>
        <v>0</v>
      </c>
      <c r="AV48" s="479">
        <f t="shared" si="20"/>
        <v>0</v>
      </c>
      <c r="AW48" s="479">
        <f t="shared" si="21"/>
        <v>0</v>
      </c>
      <c r="AX48" s="479">
        <f t="shared" si="22"/>
        <v>0</v>
      </c>
      <c r="AY48" s="501">
        <v>0</v>
      </c>
      <c r="AZ48" s="502">
        <v>0</v>
      </c>
      <c r="BA48" s="502">
        <v>0</v>
      </c>
      <c r="BB48" s="502">
        <v>0</v>
      </c>
      <c r="BC48" s="502">
        <v>0</v>
      </c>
      <c r="BD48" s="503">
        <v>0</v>
      </c>
      <c r="BE48" s="503">
        <v>0</v>
      </c>
      <c r="BF48" s="486">
        <f t="shared" si="23"/>
        <v>0</v>
      </c>
      <c r="BG48" s="479">
        <f t="shared" si="24"/>
        <v>0</v>
      </c>
      <c r="BH48" s="479">
        <f t="shared" si="25"/>
        <v>0</v>
      </c>
      <c r="BI48" s="479">
        <f t="shared" si="26"/>
        <v>0</v>
      </c>
      <c r="BJ48" s="479">
        <f t="shared" si="27"/>
        <v>0</v>
      </c>
      <c r="BK48" s="479">
        <f t="shared" si="28"/>
        <v>0</v>
      </c>
      <c r="BL48" s="500">
        <f t="shared" si="29"/>
        <v>0</v>
      </c>
      <c r="BM48" s="483">
        <f t="shared" si="30"/>
        <v>0</v>
      </c>
      <c r="BN48" s="483">
        <f t="shared" si="31"/>
        <v>0</v>
      </c>
      <c r="BO48" s="483">
        <f t="shared" si="32"/>
        <v>0</v>
      </c>
      <c r="BP48" s="483">
        <f t="shared" si="33"/>
        <v>0</v>
      </c>
      <c r="BQ48" s="483">
        <f t="shared" si="34"/>
        <v>0</v>
      </c>
      <c r="BR48" s="483">
        <f t="shared" si="35"/>
        <v>0</v>
      </c>
      <c r="BS48" s="486">
        <f t="shared" si="36"/>
        <v>0</v>
      </c>
      <c r="BT48" s="479">
        <f t="shared" si="37"/>
        <v>0</v>
      </c>
      <c r="BU48" s="479">
        <f t="shared" si="38"/>
        <v>0</v>
      </c>
      <c r="BV48" s="479">
        <f t="shared" si="39"/>
        <v>0</v>
      </c>
      <c r="BW48" s="479">
        <f t="shared" si="40"/>
        <v>0</v>
      </c>
      <c r="BX48" s="500">
        <f t="shared" si="41"/>
        <v>0</v>
      </c>
      <c r="BY48" s="479">
        <f t="shared" si="49"/>
        <v>0</v>
      </c>
      <c r="BZ48" s="479">
        <f t="shared" si="42"/>
        <v>0</v>
      </c>
      <c r="CA48" s="479">
        <f t="shared" si="43"/>
        <v>0</v>
      </c>
      <c r="CB48" s="479">
        <f t="shared" si="44"/>
        <v>0</v>
      </c>
      <c r="CC48" s="479">
        <f t="shared" si="45"/>
        <v>0</v>
      </c>
      <c r="CD48" s="479">
        <f t="shared" si="46"/>
        <v>0</v>
      </c>
      <c r="CE48" s="500">
        <f t="shared" si="47"/>
        <v>0</v>
      </c>
      <c r="CF48" s="479">
        <f t="shared" si="50"/>
        <v>0</v>
      </c>
      <c r="CG48" s="479">
        <f t="shared" si="51"/>
        <v>0</v>
      </c>
      <c r="CH48" s="479">
        <f t="shared" si="52"/>
        <v>0</v>
      </c>
      <c r="CI48" s="479">
        <f t="shared" si="53"/>
        <v>0</v>
      </c>
      <c r="CJ48" s="479">
        <f t="shared" si="54"/>
        <v>0</v>
      </c>
      <c r="CK48" s="479">
        <f t="shared" si="55"/>
        <v>0</v>
      </c>
      <c r="CL48" s="12">
        <f t="shared" si="56"/>
        <v>2042</v>
      </c>
      <c r="CM48" s="12"/>
      <c r="CN48" s="12"/>
      <c r="CO48" s="12"/>
    </row>
    <row r="49" spans="1:93" ht="12.75">
      <c r="A49" s="459">
        <v>2043</v>
      </c>
      <c r="B49" s="460">
        <v>7.418204893130438</v>
      </c>
      <c r="C49" s="513">
        <v>7.237273066468721</v>
      </c>
      <c r="D49" s="470">
        <f t="shared" si="65"/>
        <v>9.34</v>
      </c>
      <c r="E49" s="470">
        <f t="shared" si="65"/>
        <v>7.34</v>
      </c>
      <c r="F49" s="488">
        <f t="shared" si="65"/>
        <v>6.5</v>
      </c>
      <c r="G49" s="461">
        <f t="shared" si="65"/>
        <v>5.34</v>
      </c>
      <c r="H49" s="460">
        <f t="shared" si="65"/>
        <v>4.22</v>
      </c>
      <c r="I49" s="470">
        <f t="shared" si="65"/>
        <v>3.5</v>
      </c>
      <c r="J49" s="489">
        <f t="shared" si="67"/>
        <v>0.02590427867381068</v>
      </c>
      <c r="K49" s="489">
        <f t="shared" si="67"/>
        <v>0.20638734162792305</v>
      </c>
      <c r="L49" s="489">
        <f t="shared" si="67"/>
        <v>0.3354860030673285</v>
      </c>
      <c r="M49" s="489">
        <f t="shared" si="67"/>
        <v>0.6040519296595595</v>
      </c>
      <c r="N49" s="489">
        <f t="shared" si="67"/>
        <v>0.8178699091469577</v>
      </c>
      <c r="O49" s="489">
        <f t="shared" si="67"/>
        <v>0.9000532893372603</v>
      </c>
      <c r="P49" s="494">
        <v>0</v>
      </c>
      <c r="Q49" s="495">
        <v>0</v>
      </c>
      <c r="R49" s="496">
        <v>0</v>
      </c>
      <c r="S49" s="496">
        <v>0</v>
      </c>
      <c r="T49" s="496">
        <v>0</v>
      </c>
      <c r="U49" s="510">
        <v>0</v>
      </c>
      <c r="V49" s="510">
        <v>0</v>
      </c>
      <c r="W49" s="514"/>
      <c r="X49" s="468"/>
      <c r="Y49" s="468"/>
      <c r="Z49" s="468"/>
      <c r="AA49" s="468"/>
      <c r="AB49" s="468"/>
      <c r="AC49" s="468"/>
      <c r="AD49" s="486">
        <f t="shared" si="2"/>
        <v>0</v>
      </c>
      <c r="AE49" s="479">
        <f t="shared" si="3"/>
        <v>0</v>
      </c>
      <c r="AF49" s="479">
        <f t="shared" si="4"/>
        <v>0</v>
      </c>
      <c r="AG49" s="479">
        <f t="shared" si="5"/>
        <v>0</v>
      </c>
      <c r="AH49" s="479">
        <f t="shared" si="6"/>
        <v>0</v>
      </c>
      <c r="AI49" s="479">
        <f t="shared" si="7"/>
        <v>0</v>
      </c>
      <c r="AJ49" s="500">
        <f t="shared" si="8"/>
        <v>0</v>
      </c>
      <c r="AK49" s="480">
        <f t="shared" si="9"/>
        <v>0</v>
      </c>
      <c r="AL49" s="480">
        <f t="shared" si="10"/>
        <v>0</v>
      </c>
      <c r="AM49" s="480">
        <f t="shared" si="11"/>
        <v>0</v>
      </c>
      <c r="AN49" s="480">
        <f t="shared" si="12"/>
        <v>0</v>
      </c>
      <c r="AO49" s="480">
        <f t="shared" si="13"/>
        <v>0</v>
      </c>
      <c r="AP49" s="480">
        <f t="shared" si="14"/>
        <v>0</v>
      </c>
      <c r="AQ49" s="480">
        <f t="shared" si="15"/>
        <v>0</v>
      </c>
      <c r="AR49" s="486">
        <f t="shared" si="16"/>
        <v>0</v>
      </c>
      <c r="AS49" s="479">
        <f t="shared" si="17"/>
        <v>0</v>
      </c>
      <c r="AT49" s="479">
        <f t="shared" si="18"/>
        <v>0</v>
      </c>
      <c r="AU49" s="479">
        <f t="shared" si="19"/>
        <v>0</v>
      </c>
      <c r="AV49" s="479">
        <f t="shared" si="20"/>
        <v>0</v>
      </c>
      <c r="AW49" s="479">
        <f t="shared" si="21"/>
        <v>0</v>
      </c>
      <c r="AX49" s="479">
        <f t="shared" si="22"/>
        <v>0</v>
      </c>
      <c r="AY49" s="501">
        <v>0</v>
      </c>
      <c r="AZ49" s="502">
        <v>0</v>
      </c>
      <c r="BA49" s="502">
        <v>0</v>
      </c>
      <c r="BB49" s="502">
        <v>0</v>
      </c>
      <c r="BC49" s="502">
        <v>0</v>
      </c>
      <c r="BD49" s="503">
        <v>0</v>
      </c>
      <c r="BE49" s="503">
        <v>0</v>
      </c>
      <c r="BF49" s="486">
        <f t="shared" si="23"/>
        <v>0</v>
      </c>
      <c r="BG49" s="479">
        <f t="shared" si="24"/>
        <v>0</v>
      </c>
      <c r="BH49" s="479">
        <f t="shared" si="25"/>
        <v>0</v>
      </c>
      <c r="BI49" s="479">
        <f t="shared" si="26"/>
        <v>0</v>
      </c>
      <c r="BJ49" s="479">
        <f t="shared" si="27"/>
        <v>0</v>
      </c>
      <c r="BK49" s="479">
        <f t="shared" si="28"/>
        <v>0</v>
      </c>
      <c r="BL49" s="500">
        <f t="shared" si="29"/>
        <v>0</v>
      </c>
      <c r="BM49" s="483">
        <f t="shared" si="30"/>
        <v>0</v>
      </c>
      <c r="BN49" s="483">
        <f t="shared" si="31"/>
        <v>0</v>
      </c>
      <c r="BO49" s="483">
        <f t="shared" si="32"/>
        <v>0</v>
      </c>
      <c r="BP49" s="483">
        <f t="shared" si="33"/>
        <v>0</v>
      </c>
      <c r="BQ49" s="483">
        <f t="shared" si="34"/>
        <v>0</v>
      </c>
      <c r="BR49" s="483">
        <f t="shared" si="35"/>
        <v>0</v>
      </c>
      <c r="BS49" s="486">
        <f t="shared" si="36"/>
        <v>0</v>
      </c>
      <c r="BT49" s="479">
        <f t="shared" si="37"/>
        <v>0</v>
      </c>
      <c r="BU49" s="479">
        <f t="shared" si="38"/>
        <v>0</v>
      </c>
      <c r="BV49" s="479">
        <f t="shared" si="39"/>
        <v>0</v>
      </c>
      <c r="BW49" s="479">
        <f t="shared" si="40"/>
        <v>0</v>
      </c>
      <c r="BX49" s="500">
        <f t="shared" si="41"/>
        <v>0</v>
      </c>
      <c r="BY49" s="479">
        <f t="shared" si="49"/>
        <v>0</v>
      </c>
      <c r="BZ49" s="479">
        <f t="shared" si="42"/>
        <v>0</v>
      </c>
      <c r="CA49" s="479">
        <f t="shared" si="43"/>
        <v>0</v>
      </c>
      <c r="CB49" s="479">
        <f t="shared" si="44"/>
        <v>0</v>
      </c>
      <c r="CC49" s="479">
        <f t="shared" si="45"/>
        <v>0</v>
      </c>
      <c r="CD49" s="479">
        <f t="shared" si="46"/>
        <v>0</v>
      </c>
      <c r="CE49" s="500">
        <f t="shared" si="47"/>
        <v>0</v>
      </c>
      <c r="CF49" s="479">
        <f t="shared" si="50"/>
        <v>0</v>
      </c>
      <c r="CG49" s="479">
        <f t="shared" si="51"/>
        <v>0</v>
      </c>
      <c r="CH49" s="479">
        <f t="shared" si="52"/>
        <v>0</v>
      </c>
      <c r="CI49" s="479">
        <f t="shared" si="53"/>
        <v>0</v>
      </c>
      <c r="CJ49" s="479">
        <f t="shared" si="54"/>
        <v>0</v>
      </c>
      <c r="CK49" s="479">
        <f t="shared" si="55"/>
        <v>0</v>
      </c>
      <c r="CL49" s="12">
        <f t="shared" si="56"/>
        <v>2043</v>
      </c>
      <c r="CM49" s="12"/>
      <c r="CN49" s="12"/>
      <c r="CO49" s="12"/>
    </row>
    <row r="50" spans="1:93" ht="12.75">
      <c r="A50" s="459">
        <v>2044</v>
      </c>
      <c r="B50" s="460">
        <v>7.517608838698386</v>
      </c>
      <c r="C50" s="513">
        <v>7.3342525255594015</v>
      </c>
      <c r="D50" s="470">
        <f t="shared" si="65"/>
        <v>9.34</v>
      </c>
      <c r="E50" s="470">
        <f t="shared" si="65"/>
        <v>7.34</v>
      </c>
      <c r="F50" s="488">
        <f t="shared" si="65"/>
        <v>6.5</v>
      </c>
      <c r="G50" s="461">
        <f t="shared" si="65"/>
        <v>5.34</v>
      </c>
      <c r="H50" s="460">
        <f t="shared" si="65"/>
        <v>4.22</v>
      </c>
      <c r="I50" s="470">
        <f t="shared" si="65"/>
        <v>3.5</v>
      </c>
      <c r="J50" s="489">
        <f t="shared" si="67"/>
        <v>0.025926525020036662</v>
      </c>
      <c r="K50" s="489">
        <f t="shared" si="67"/>
        <v>0.20648324710303761</v>
      </c>
      <c r="L50" s="489">
        <f t="shared" si="67"/>
        <v>0.33560545974282024</v>
      </c>
      <c r="M50" s="489">
        <f t="shared" si="67"/>
        <v>0.6041560650048639</v>
      </c>
      <c r="N50" s="489">
        <f t="shared" si="67"/>
        <v>0.8179466250602281</v>
      </c>
      <c r="O50" s="489">
        <f t="shared" si="67"/>
        <v>0.9000873856356623</v>
      </c>
      <c r="P50" s="494">
        <v>0</v>
      </c>
      <c r="Q50" s="495">
        <v>0</v>
      </c>
      <c r="R50" s="496">
        <v>0</v>
      </c>
      <c r="S50" s="496">
        <v>0</v>
      </c>
      <c r="T50" s="496">
        <v>0</v>
      </c>
      <c r="U50" s="510">
        <v>0</v>
      </c>
      <c r="V50" s="510">
        <v>0</v>
      </c>
      <c r="W50" s="514"/>
      <c r="X50" s="468"/>
      <c r="Y50" s="468"/>
      <c r="Z50" s="468"/>
      <c r="AA50" s="468"/>
      <c r="AB50" s="468"/>
      <c r="AC50" s="468"/>
      <c r="AD50" s="486">
        <f t="shared" si="2"/>
        <v>0</v>
      </c>
      <c r="AE50" s="479">
        <f t="shared" si="3"/>
        <v>0</v>
      </c>
      <c r="AF50" s="479">
        <f t="shared" si="4"/>
        <v>0</v>
      </c>
      <c r="AG50" s="479">
        <f t="shared" si="5"/>
        <v>0</v>
      </c>
      <c r="AH50" s="479">
        <f t="shared" si="6"/>
        <v>0</v>
      </c>
      <c r="AI50" s="479">
        <f t="shared" si="7"/>
        <v>0</v>
      </c>
      <c r="AJ50" s="500">
        <f t="shared" si="8"/>
        <v>0</v>
      </c>
      <c r="AK50" s="480">
        <f t="shared" si="9"/>
        <v>0</v>
      </c>
      <c r="AL50" s="480">
        <f t="shared" si="10"/>
        <v>0</v>
      </c>
      <c r="AM50" s="480">
        <f t="shared" si="11"/>
        <v>0</v>
      </c>
      <c r="AN50" s="480">
        <f t="shared" si="12"/>
        <v>0</v>
      </c>
      <c r="AO50" s="480">
        <f t="shared" si="13"/>
        <v>0</v>
      </c>
      <c r="AP50" s="480">
        <f t="shared" si="14"/>
        <v>0</v>
      </c>
      <c r="AQ50" s="480">
        <f t="shared" si="15"/>
        <v>0</v>
      </c>
      <c r="AR50" s="486">
        <f t="shared" si="16"/>
        <v>0</v>
      </c>
      <c r="AS50" s="479">
        <f t="shared" si="17"/>
        <v>0</v>
      </c>
      <c r="AT50" s="479">
        <f t="shared" si="18"/>
        <v>0</v>
      </c>
      <c r="AU50" s="479">
        <f t="shared" si="19"/>
        <v>0</v>
      </c>
      <c r="AV50" s="479">
        <f t="shared" si="20"/>
        <v>0</v>
      </c>
      <c r="AW50" s="479">
        <f t="shared" si="21"/>
        <v>0</v>
      </c>
      <c r="AX50" s="479">
        <f t="shared" si="22"/>
        <v>0</v>
      </c>
      <c r="AY50" s="501">
        <v>0</v>
      </c>
      <c r="AZ50" s="502">
        <v>0</v>
      </c>
      <c r="BA50" s="502">
        <v>0</v>
      </c>
      <c r="BB50" s="502">
        <v>0</v>
      </c>
      <c r="BC50" s="502">
        <v>0</v>
      </c>
      <c r="BD50" s="503">
        <v>0</v>
      </c>
      <c r="BE50" s="503">
        <v>0</v>
      </c>
      <c r="BF50" s="486">
        <f t="shared" si="23"/>
        <v>0</v>
      </c>
      <c r="BG50" s="479">
        <f t="shared" si="24"/>
        <v>0</v>
      </c>
      <c r="BH50" s="479">
        <f t="shared" si="25"/>
        <v>0</v>
      </c>
      <c r="BI50" s="479">
        <f t="shared" si="26"/>
        <v>0</v>
      </c>
      <c r="BJ50" s="479">
        <f t="shared" si="27"/>
        <v>0</v>
      </c>
      <c r="BK50" s="479">
        <f t="shared" si="28"/>
        <v>0</v>
      </c>
      <c r="BL50" s="500">
        <f t="shared" si="29"/>
        <v>0</v>
      </c>
      <c r="BM50" s="483">
        <f t="shared" si="30"/>
        <v>0</v>
      </c>
      <c r="BN50" s="483">
        <f t="shared" si="31"/>
        <v>0</v>
      </c>
      <c r="BO50" s="483">
        <f t="shared" si="32"/>
        <v>0</v>
      </c>
      <c r="BP50" s="483">
        <f t="shared" si="33"/>
        <v>0</v>
      </c>
      <c r="BQ50" s="483">
        <f t="shared" si="34"/>
        <v>0</v>
      </c>
      <c r="BR50" s="483">
        <f t="shared" si="35"/>
        <v>0</v>
      </c>
      <c r="BS50" s="486">
        <f t="shared" si="36"/>
        <v>0</v>
      </c>
      <c r="BT50" s="479">
        <f t="shared" si="37"/>
        <v>0</v>
      </c>
      <c r="BU50" s="479">
        <f t="shared" si="38"/>
        <v>0</v>
      </c>
      <c r="BV50" s="479">
        <f t="shared" si="39"/>
        <v>0</v>
      </c>
      <c r="BW50" s="479">
        <f t="shared" si="40"/>
        <v>0</v>
      </c>
      <c r="BX50" s="500">
        <f t="shared" si="41"/>
        <v>0</v>
      </c>
      <c r="BY50" s="479">
        <f t="shared" si="49"/>
        <v>0</v>
      </c>
      <c r="BZ50" s="479">
        <f t="shared" si="42"/>
        <v>0</v>
      </c>
      <c r="CA50" s="479">
        <f t="shared" si="43"/>
        <v>0</v>
      </c>
      <c r="CB50" s="479">
        <f t="shared" si="44"/>
        <v>0</v>
      </c>
      <c r="CC50" s="479">
        <f t="shared" si="45"/>
        <v>0</v>
      </c>
      <c r="CD50" s="479">
        <f t="shared" si="46"/>
        <v>0</v>
      </c>
      <c r="CE50" s="500">
        <f t="shared" si="47"/>
        <v>0</v>
      </c>
      <c r="CF50" s="479">
        <f t="shared" si="50"/>
        <v>0</v>
      </c>
      <c r="CG50" s="479">
        <f t="shared" si="51"/>
        <v>0</v>
      </c>
      <c r="CH50" s="479">
        <f t="shared" si="52"/>
        <v>0</v>
      </c>
      <c r="CI50" s="479">
        <f t="shared" si="53"/>
        <v>0</v>
      </c>
      <c r="CJ50" s="479">
        <f t="shared" si="54"/>
        <v>0</v>
      </c>
      <c r="CK50" s="479">
        <f t="shared" si="55"/>
        <v>0</v>
      </c>
      <c r="CL50" s="12">
        <f t="shared" si="56"/>
        <v>2044</v>
      </c>
      <c r="CM50" s="12"/>
      <c r="CN50" s="12"/>
      <c r="CO50" s="12"/>
    </row>
    <row r="51" spans="1:93" ht="13.5" thickBot="1">
      <c r="A51" s="459">
        <v>2045</v>
      </c>
      <c r="B51" s="519">
        <v>7.618344797136945</v>
      </c>
      <c r="C51" s="518">
        <v>7.432531509401898</v>
      </c>
      <c r="D51" s="520"/>
      <c r="E51" s="520"/>
      <c r="F51" s="520"/>
      <c r="G51" s="520"/>
      <c r="H51" s="521"/>
      <c r="I51" s="522"/>
      <c r="J51" s="489"/>
      <c r="K51" s="489"/>
      <c r="L51" s="489"/>
      <c r="M51" s="489"/>
      <c r="N51" s="489"/>
      <c r="O51" s="489"/>
      <c r="P51" s="523">
        <v>0</v>
      </c>
      <c r="Q51" s="523">
        <f aca="true" t="shared" si="68" ref="Q51:AC51">SUM(Q12:Q50)</f>
        <v>29.21939597204242</v>
      </c>
      <c r="R51" s="523">
        <f t="shared" si="68"/>
        <v>22.887457484093275</v>
      </c>
      <c r="S51" s="523">
        <f t="shared" si="68"/>
        <v>17.752385358500092</v>
      </c>
      <c r="T51" s="523">
        <f t="shared" si="68"/>
        <v>10.693390494251334</v>
      </c>
      <c r="U51" s="523">
        <f t="shared" si="68"/>
        <v>5.606864309232031</v>
      </c>
      <c r="V51" s="523">
        <f t="shared" si="68"/>
        <v>3.8158588135859324</v>
      </c>
      <c r="W51" s="524">
        <f t="shared" si="68"/>
        <v>189.0911409405233</v>
      </c>
      <c r="X51" s="525">
        <f t="shared" si="68"/>
        <v>189.0911409405233</v>
      </c>
      <c r="Y51" s="525">
        <f t="shared" si="68"/>
        <v>189.0911409405233</v>
      </c>
      <c r="Z51" s="525">
        <f t="shared" si="68"/>
        <v>189.0911409405233</v>
      </c>
      <c r="AA51" s="525">
        <f t="shared" si="68"/>
        <v>189.0911409405233</v>
      </c>
      <c r="AB51" s="525">
        <f t="shared" si="68"/>
        <v>189.0911409405233</v>
      </c>
      <c r="AC51" s="526">
        <f t="shared" si="68"/>
        <v>189.0911409405233</v>
      </c>
      <c r="AD51" s="527"/>
      <c r="AE51" s="528"/>
      <c r="AF51" s="528"/>
      <c r="AG51" s="528"/>
      <c r="AH51" s="528"/>
      <c r="AI51" s="529"/>
      <c r="AJ51" s="529"/>
      <c r="AK51" s="530"/>
      <c r="AL51" s="529"/>
      <c r="AM51" s="529"/>
      <c r="AN51" s="529"/>
      <c r="AO51" s="529"/>
      <c r="AP51" s="529"/>
      <c r="AQ51" s="531"/>
      <c r="AR51" s="530"/>
      <c r="AS51" s="532"/>
      <c r="AT51" s="532"/>
      <c r="AU51" s="532"/>
      <c r="AV51" s="532"/>
      <c r="AW51" s="532"/>
      <c r="AX51" s="533"/>
      <c r="AY51" s="525">
        <v>0</v>
      </c>
      <c r="AZ51" s="525">
        <f aca="true" t="shared" si="69" ref="AZ51:BE51">SUM(AZ12:AZ50)</f>
        <v>21.84685509443043</v>
      </c>
      <c r="BA51" s="525">
        <f t="shared" si="69"/>
        <v>17.11318962370541</v>
      </c>
      <c r="BB51" s="525">
        <f t="shared" si="69"/>
        <v>13.27428410419269</v>
      </c>
      <c r="BC51" s="525">
        <f t="shared" si="69"/>
        <v>7.997081820798043</v>
      </c>
      <c r="BD51" s="525">
        <f t="shared" si="69"/>
        <v>4.194468543080754</v>
      </c>
      <c r="BE51" s="526">
        <f t="shared" si="69"/>
        <v>2.8555387842471944</v>
      </c>
      <c r="BF51" s="534"/>
      <c r="BG51" s="532"/>
      <c r="BH51" s="532"/>
      <c r="BI51" s="532"/>
      <c r="BJ51" s="532"/>
      <c r="BK51" s="535"/>
      <c r="BL51" s="536"/>
      <c r="BM51" s="537"/>
      <c r="BN51" s="535"/>
      <c r="BO51" s="535"/>
      <c r="BP51" s="535"/>
      <c r="BQ51" s="532"/>
      <c r="BR51" s="533"/>
      <c r="BS51" s="538"/>
      <c r="BT51" s="532"/>
      <c r="BU51" s="532"/>
      <c r="BV51" s="532"/>
      <c r="BW51" s="539"/>
      <c r="BX51" s="540"/>
      <c r="BY51" s="538"/>
      <c r="BZ51" s="532"/>
      <c r="CA51" s="532"/>
      <c r="CB51" s="532"/>
      <c r="CC51" s="532"/>
      <c r="CD51" s="479"/>
      <c r="CE51" s="500"/>
      <c r="CF51" s="479"/>
      <c r="CG51" s="479"/>
      <c r="CH51" s="479"/>
      <c r="CI51" s="479"/>
      <c r="CJ51" s="479"/>
      <c r="CK51" s="479"/>
      <c r="CL51" s="12">
        <f t="shared" si="56"/>
        <v>2045</v>
      </c>
      <c r="CM51" s="12"/>
      <c r="CN51" s="12"/>
      <c r="CO51" s="12"/>
    </row>
    <row r="52" spans="1:93" ht="13.5" thickTop="1">
      <c r="A52" s="541" t="s">
        <v>267</v>
      </c>
      <c r="B52" s="460">
        <f>AVERAGE(B12:B21)</f>
        <v>5.585855312347413</v>
      </c>
      <c r="C52" s="460">
        <f>AVERAGE(C12:C21)</f>
        <v>5.449614938875525</v>
      </c>
      <c r="D52" s="460">
        <f aca="true" t="shared" si="70" ref="D52:O52">AVERAGE(D12:D21)</f>
        <v>9.340000000000002</v>
      </c>
      <c r="E52" s="460">
        <f t="shared" si="70"/>
        <v>7.340000000000002</v>
      </c>
      <c r="F52" s="460">
        <f t="shared" si="70"/>
        <v>6.5</v>
      </c>
      <c r="G52" s="461">
        <f t="shared" si="70"/>
        <v>5.340000000000001</v>
      </c>
      <c r="H52" s="460">
        <f t="shared" si="70"/>
        <v>4.22</v>
      </c>
      <c r="I52" s="460">
        <f t="shared" si="70"/>
        <v>3.5</v>
      </c>
      <c r="J52" s="542">
        <f t="shared" si="70"/>
        <v>0.029400000000000003</v>
      </c>
      <c r="K52" s="542">
        <f t="shared" si="70"/>
        <v>0.15647000000000003</v>
      </c>
      <c r="L52" s="542">
        <f t="shared" si="70"/>
        <v>0.28615999999999997</v>
      </c>
      <c r="M52" s="542">
        <f t="shared" si="70"/>
        <v>0.52304</v>
      </c>
      <c r="N52" s="542">
        <f t="shared" si="70"/>
        <v>0.7648900000000001</v>
      </c>
      <c r="O52" s="542">
        <f t="shared" si="70"/>
        <v>0.8742800000000001</v>
      </c>
      <c r="P52" s="543">
        <f>SUM(P12:P21)</f>
        <v>8.70003664050326</v>
      </c>
      <c r="Q52" s="544">
        <f aca="true" t="shared" si="71" ref="Q52:AC52">SUM(Q12:Q21)</f>
        <v>6.8037678372617005</v>
      </c>
      <c r="R52" s="545">
        <f t="shared" si="71"/>
        <v>5.48411567622958</v>
      </c>
      <c r="S52" s="545">
        <f t="shared" si="71"/>
        <v>4.4139048647234675</v>
      </c>
      <c r="T52" s="545">
        <f t="shared" si="71"/>
        <v>2.9427254075873224</v>
      </c>
      <c r="U52" s="545">
        <f t="shared" si="71"/>
        <v>1.8826321541575526</v>
      </c>
      <c r="V52" s="546">
        <f t="shared" si="71"/>
        <v>1.5093650611104605</v>
      </c>
      <c r="W52" s="547">
        <f t="shared" si="71"/>
        <v>182.966234162802</v>
      </c>
      <c r="X52" s="548">
        <f t="shared" si="71"/>
        <v>182.966234162802</v>
      </c>
      <c r="Y52" s="548">
        <f t="shared" si="71"/>
        <v>182.966234162802</v>
      </c>
      <c r="Z52" s="548">
        <f t="shared" si="71"/>
        <v>182.966234162802</v>
      </c>
      <c r="AA52" s="548">
        <f t="shared" si="71"/>
        <v>182.966234162802</v>
      </c>
      <c r="AB52" s="548">
        <f t="shared" si="71"/>
        <v>182.966234162802</v>
      </c>
      <c r="AC52" s="549">
        <f t="shared" si="71"/>
        <v>182.966234162802</v>
      </c>
      <c r="AD52" s="484"/>
      <c r="AE52" s="487"/>
      <c r="AF52" s="487"/>
      <c r="AG52" s="487"/>
      <c r="AH52" s="487"/>
      <c r="AI52" s="548"/>
      <c r="AJ52" s="548"/>
      <c r="AK52" s="548"/>
      <c r="AL52" s="548"/>
      <c r="AM52" s="548"/>
      <c r="AN52" s="548"/>
      <c r="AO52" s="548"/>
      <c r="AP52" s="487"/>
      <c r="AQ52" s="487"/>
      <c r="AR52" s="487"/>
      <c r="AS52" s="487"/>
      <c r="AT52" s="487"/>
      <c r="AU52" s="487"/>
      <c r="AV52" s="487"/>
      <c r="AW52" s="548"/>
      <c r="AX52" s="548"/>
      <c r="AY52" s="547">
        <f aca="true" t="shared" si="72" ref="AY52:BE52">SUM(AY12:AY21)</f>
        <v>4.701935651450078</v>
      </c>
      <c r="AZ52" s="548">
        <f t="shared" si="72"/>
        <v>3.495099334304324</v>
      </c>
      <c r="BA52" s="548">
        <f t="shared" si="72"/>
        <v>2.8639439382076537</v>
      </c>
      <c r="BB52" s="548">
        <f t="shared" si="72"/>
        <v>2.352089868939291</v>
      </c>
      <c r="BC52" s="548">
        <f t="shared" si="72"/>
        <v>1.6484628978200058</v>
      </c>
      <c r="BD52" s="548">
        <f t="shared" si="72"/>
        <v>1.1414477941243666</v>
      </c>
      <c r="BE52" s="549">
        <f t="shared" si="72"/>
        <v>0.962923826279892</v>
      </c>
      <c r="BF52" s="550"/>
      <c r="BG52" s="487"/>
      <c r="BH52" s="487"/>
      <c r="BI52" s="487"/>
      <c r="BJ52" s="487"/>
      <c r="BK52" s="548"/>
      <c r="BL52" s="548"/>
      <c r="BM52" s="548"/>
      <c r="BN52" s="548"/>
      <c r="BO52" s="548"/>
      <c r="BP52" s="548"/>
      <c r="BQ52" s="487"/>
      <c r="BR52" s="487"/>
      <c r="BS52" s="487"/>
      <c r="BT52" s="487"/>
      <c r="BU52" s="487"/>
      <c r="BV52" s="487"/>
      <c r="BW52" s="487"/>
      <c r="BX52" s="487"/>
      <c r="BY52" s="551">
        <f>SUM(BY12:BY21)</f>
        <v>-155.30224138507495</v>
      </c>
      <c r="BZ52" s="551">
        <f aca="true" t="shared" si="73" ref="BZ52:CE52">SUM(BZ12:BZ21)</f>
        <v>-153.73852410208806</v>
      </c>
      <c r="CA52" s="551">
        <f t="shared" si="73"/>
        <v>-130.90855616300516</v>
      </c>
      <c r="CB52" s="551">
        <f t="shared" si="73"/>
        <v>-106.040122168378</v>
      </c>
      <c r="CC52" s="551">
        <f t="shared" si="73"/>
        <v>-62.04086818152465</v>
      </c>
      <c r="CD52" s="551">
        <f t="shared" si="73"/>
        <v>-24.32709193592286</v>
      </c>
      <c r="CE52" s="552">
        <f t="shared" si="73"/>
        <v>-10.178898485593574</v>
      </c>
      <c r="CF52" s="487"/>
      <c r="CG52" s="487"/>
      <c r="CH52" s="487"/>
      <c r="CI52" s="487"/>
      <c r="CJ52" s="487"/>
      <c r="CK52" s="487"/>
      <c r="CL52" s="12" t="str">
        <f t="shared" si="56"/>
        <v>2006-15</v>
      </c>
      <c r="CM52" s="551">
        <f>SUM(CM12:CM21)</f>
        <v>-137.61001608379473</v>
      </c>
      <c r="CN52" s="12"/>
      <c r="CO52" s="12"/>
    </row>
    <row r="53" spans="1:94" ht="12.75">
      <c r="A53" s="553">
        <v>0.07</v>
      </c>
      <c r="B53" s="513"/>
      <c r="C53" s="513"/>
      <c r="D53" s="513"/>
      <c r="E53" s="513"/>
      <c r="F53" s="513"/>
      <c r="G53" s="513"/>
      <c r="H53" s="484"/>
      <c r="I53" s="554"/>
      <c r="J53" s="555"/>
      <c r="K53" s="555"/>
      <c r="L53" s="555"/>
      <c r="M53" s="555"/>
      <c r="N53" s="555"/>
      <c r="O53" s="556"/>
      <c r="P53" s="484">
        <f>NPV($A53,P12:P21)</f>
        <v>5.078211688634903</v>
      </c>
      <c r="Q53" s="557">
        <f aca="true" t="shared" si="74" ref="Q53:AC53">NPV($A53,Q12:Q21)</f>
        <v>3.9458399390044603</v>
      </c>
      <c r="R53" s="558">
        <f t="shared" si="74"/>
        <v>3.186623535351839</v>
      </c>
      <c r="S53" s="558">
        <f t="shared" si="74"/>
        <v>2.5709146179153386</v>
      </c>
      <c r="T53" s="558">
        <f t="shared" si="74"/>
        <v>1.7245222051594344</v>
      </c>
      <c r="U53" s="558">
        <f t="shared" si="74"/>
        <v>1.1146340761725666</v>
      </c>
      <c r="V53" s="559">
        <f t="shared" si="74"/>
        <v>0.8998877147045282</v>
      </c>
      <c r="W53" s="484">
        <f t="shared" si="74"/>
        <v>120.63160389761</v>
      </c>
      <c r="X53" s="548">
        <f t="shared" si="74"/>
        <v>120.63160389761</v>
      </c>
      <c r="Y53" s="548">
        <f t="shared" si="74"/>
        <v>120.63160389761</v>
      </c>
      <c r="Z53" s="548">
        <f t="shared" si="74"/>
        <v>120.63160389761</v>
      </c>
      <c r="AA53" s="548">
        <f t="shared" si="74"/>
        <v>120.63160389761</v>
      </c>
      <c r="AB53" s="548">
        <f t="shared" si="74"/>
        <v>120.63160389761</v>
      </c>
      <c r="AC53" s="548">
        <f t="shared" si="74"/>
        <v>120.63160389761</v>
      </c>
      <c r="AD53" s="484"/>
      <c r="AE53" s="487"/>
      <c r="AF53" s="487"/>
      <c r="AG53" s="487"/>
      <c r="AH53" s="487"/>
      <c r="AI53" s="548"/>
      <c r="AJ53" s="548"/>
      <c r="AK53" s="548"/>
      <c r="AL53" s="548"/>
      <c r="AM53" s="548"/>
      <c r="AN53" s="548"/>
      <c r="AO53" s="548"/>
      <c r="AP53" s="487"/>
      <c r="AQ53" s="487"/>
      <c r="AR53" s="487"/>
      <c r="AS53" s="487"/>
      <c r="AT53" s="487"/>
      <c r="AU53" s="487"/>
      <c r="AV53" s="487"/>
      <c r="AW53" s="548"/>
      <c r="AX53" s="548"/>
      <c r="AY53" s="484">
        <f aca="true" t="shared" si="75" ref="AY53:BE53">NPV($A53,AY12:AY21)</f>
        <v>2.563479493890405</v>
      </c>
      <c r="AZ53" s="548">
        <f t="shared" si="75"/>
        <v>1.8875218368380062</v>
      </c>
      <c r="BA53" s="548">
        <f t="shared" si="75"/>
        <v>1.5514395340173486</v>
      </c>
      <c r="BB53" s="548">
        <f t="shared" si="75"/>
        <v>1.2788836858510946</v>
      </c>
      <c r="BC53" s="548">
        <f t="shared" si="75"/>
        <v>0.9042111816738913</v>
      </c>
      <c r="BD53" s="548">
        <f t="shared" si="75"/>
        <v>0.634232021757486</v>
      </c>
      <c r="BE53" s="548">
        <f t="shared" si="75"/>
        <v>0.5391702563144437</v>
      </c>
      <c r="BF53" s="550"/>
      <c r="BG53" s="487"/>
      <c r="BH53" s="487"/>
      <c r="BI53" s="487"/>
      <c r="BJ53" s="487"/>
      <c r="BK53" s="548"/>
      <c r="BL53" s="548"/>
      <c r="BM53" s="548"/>
      <c r="BN53" s="548"/>
      <c r="BO53" s="548"/>
      <c r="BP53" s="548"/>
      <c r="BQ53" s="487"/>
      <c r="BR53" s="487"/>
      <c r="BS53" s="487"/>
      <c r="BT53" s="487"/>
      <c r="BU53" s="487"/>
      <c r="BV53" s="487"/>
      <c r="BW53" s="487"/>
      <c r="BX53" s="487"/>
      <c r="BY53" s="550">
        <f>NPV($A53,BY12:BY21)</f>
        <v>-103.98195044131178</v>
      </c>
      <c r="BZ53" s="550">
        <f aca="true" t="shared" si="76" ref="BZ53:CE53">NPV($A53,BZ12:BZ21)</f>
        <v>-102.61576853664579</v>
      </c>
      <c r="CA53" s="550">
        <f t="shared" si="76"/>
        <v>-86.53259413663304</v>
      </c>
      <c r="CB53" s="550">
        <f t="shared" si="76"/>
        <v>-69.55380439581764</v>
      </c>
      <c r="CC53" s="550">
        <f t="shared" si="76"/>
        <v>-40.34422194778015</v>
      </c>
      <c r="CD53" s="550">
        <f t="shared" si="76"/>
        <v>-15.745689314984421</v>
      </c>
      <c r="CE53" s="560">
        <f t="shared" si="76"/>
        <v>-6.580914376674177</v>
      </c>
      <c r="CF53" s="487"/>
      <c r="CG53" s="487"/>
      <c r="CH53" s="487"/>
      <c r="CI53" s="487"/>
      <c r="CJ53" s="487"/>
      <c r="CK53" s="487"/>
      <c r="CL53" s="29">
        <f t="shared" si="56"/>
        <v>0.07</v>
      </c>
      <c r="CM53" s="550">
        <f>NPV($A53,CM12:CM21)</f>
        <v>-91.90542598090148</v>
      </c>
      <c r="CN53" s="29"/>
      <c r="CO53" s="29"/>
      <c r="CP53">
        <v>4.22</v>
      </c>
    </row>
    <row r="54" spans="1:94" ht="12.75">
      <c r="A54" s="641" t="s">
        <v>281</v>
      </c>
      <c r="B54" s="513"/>
      <c r="C54" s="513"/>
      <c r="D54" s="513"/>
      <c r="E54" s="513"/>
      <c r="F54" s="513"/>
      <c r="G54" s="513"/>
      <c r="H54" s="548"/>
      <c r="I54" s="554"/>
      <c r="J54" s="555">
        <f aca="true" t="shared" si="77" ref="J54:O54">AVERAGE(J13:J28)</f>
        <v>0.010150000000000003</v>
      </c>
      <c r="K54" s="555">
        <f t="shared" si="77"/>
        <v>0.09879375</v>
      </c>
      <c r="L54" s="555">
        <f t="shared" si="77"/>
        <v>0.21089375000000002</v>
      </c>
      <c r="M54" s="555">
        <f t="shared" si="77"/>
        <v>0.45380000000000004</v>
      </c>
      <c r="N54" s="555">
        <f t="shared" si="77"/>
        <v>0.71783125</v>
      </c>
      <c r="O54" s="555">
        <f t="shared" si="77"/>
        <v>0.85005</v>
      </c>
      <c r="P54" s="543">
        <f aca="true" t="shared" si="78" ref="P54:V54">SUM(P13:P28)</f>
        <v>30.532309016216345</v>
      </c>
      <c r="Q54" s="557">
        <f t="shared" si="78"/>
        <v>25.980284499904624</v>
      </c>
      <c r="R54" s="557">
        <f t="shared" si="78"/>
        <v>20.4159280744392</v>
      </c>
      <c r="S54" s="557">
        <f t="shared" si="78"/>
        <v>15.903349243856232</v>
      </c>
      <c r="T54" s="557">
        <f t="shared" si="78"/>
        <v>9.700073026791774</v>
      </c>
      <c r="U54" s="557">
        <f t="shared" si="78"/>
        <v>5.230155210190014</v>
      </c>
      <c r="V54" s="557">
        <f t="shared" si="78"/>
        <v>3.656262324668618</v>
      </c>
      <c r="W54" s="484"/>
      <c r="X54" s="548"/>
      <c r="Y54" s="548"/>
      <c r="Z54" s="548"/>
      <c r="AA54" s="548"/>
      <c r="AB54" s="548"/>
      <c r="AC54" s="548"/>
      <c r="AD54" s="548"/>
      <c r="AE54" s="487"/>
      <c r="AF54" s="487"/>
      <c r="AG54" s="487"/>
      <c r="AH54" s="487"/>
      <c r="AI54" s="548"/>
      <c r="AJ54" s="548"/>
      <c r="AK54" s="548"/>
      <c r="AL54" s="548"/>
      <c r="AM54" s="548"/>
      <c r="AN54" s="548"/>
      <c r="AO54" s="548"/>
      <c r="AP54" s="487"/>
      <c r="AQ54" s="487"/>
      <c r="AR54" s="487"/>
      <c r="AS54" s="487"/>
      <c r="AT54" s="487"/>
      <c r="AU54" s="487"/>
      <c r="AV54" s="487"/>
      <c r="AW54" s="548"/>
      <c r="AX54" s="548"/>
      <c r="AY54" s="484"/>
      <c r="AZ54" s="548"/>
      <c r="BA54" s="548"/>
      <c r="BB54" s="548"/>
      <c r="BC54" s="548"/>
      <c r="BD54" s="548"/>
      <c r="BE54" s="548"/>
      <c r="BF54" s="487"/>
      <c r="BG54" s="487"/>
      <c r="BH54" s="487"/>
      <c r="BI54" s="487"/>
      <c r="BJ54" s="487"/>
      <c r="BK54" s="548"/>
      <c r="BL54" s="548"/>
      <c r="BM54" s="548"/>
      <c r="BN54" s="548"/>
      <c r="BO54" s="548"/>
      <c r="BP54" s="548"/>
      <c r="BQ54" s="487"/>
      <c r="BR54" s="487"/>
      <c r="BS54" s="487"/>
      <c r="BT54" s="487"/>
      <c r="BU54" s="487"/>
      <c r="BV54" s="487"/>
      <c r="BW54" s="487"/>
      <c r="BX54" s="487"/>
      <c r="BY54" s="562">
        <f>SUM(BY13:BY28)</f>
        <v>-140.2814558882549</v>
      </c>
      <c r="BZ54" s="562">
        <f aca="true" t="shared" si="79" ref="BZ54:CE54">SUM(BZ13:BZ28)</f>
        <v>-141.07279170752935</v>
      </c>
      <c r="CA54" s="562">
        <f t="shared" si="79"/>
        <v>-121.67146321810091</v>
      </c>
      <c r="CB54" s="562">
        <f t="shared" si="79"/>
        <v>-99.34760066006186</v>
      </c>
      <c r="CC54" s="562">
        <f t="shared" si="79"/>
        <v>-58.38528827267544</v>
      </c>
      <c r="CD54" s="562">
        <f t="shared" si="79"/>
        <v>-22.356057701818276</v>
      </c>
      <c r="CE54" s="562">
        <f t="shared" si="79"/>
        <v>-8.725234400650168</v>
      </c>
      <c r="CF54" s="562">
        <f aca="true" t="shared" si="80" ref="CF54:CK54">SUM(CF13:CF28)</f>
        <v>-149.7989982733081</v>
      </c>
      <c r="CG54" s="562">
        <f t="shared" si="80"/>
        <v>-129.1975801138583</v>
      </c>
      <c r="CH54" s="562">
        <f t="shared" si="80"/>
        <v>-105.49285145350684</v>
      </c>
      <c r="CI54" s="562">
        <f t="shared" si="80"/>
        <v>-61.9967719592403</v>
      </c>
      <c r="CJ54" s="562">
        <f t="shared" si="80"/>
        <v>-23.7389152687613</v>
      </c>
      <c r="CK54" s="562">
        <f t="shared" si="80"/>
        <v>-9.264942992174753</v>
      </c>
      <c r="CL54" s="29"/>
      <c r="CM54" s="562">
        <f>SUM(CM13:CM28)</f>
        <v>-131.39089492941326</v>
      </c>
      <c r="CN54" s="29"/>
      <c r="CO54" s="654">
        <v>-22.356057701818276</v>
      </c>
      <c r="CP54" s="653">
        <v>-21.803096065840148</v>
      </c>
    </row>
    <row r="55" spans="1:94" ht="12.75">
      <c r="A55" s="640"/>
      <c r="B55" s="513"/>
      <c r="C55" s="513"/>
      <c r="D55" s="513"/>
      <c r="E55" s="513"/>
      <c r="F55" s="513"/>
      <c r="G55" s="513"/>
      <c r="H55" s="548"/>
      <c r="I55" s="554"/>
      <c r="J55" s="555"/>
      <c r="K55" s="555"/>
      <c r="L55" s="555"/>
      <c r="M55" s="555"/>
      <c r="N55" s="555"/>
      <c r="O55" s="556"/>
      <c r="P55" s="570">
        <f aca="true" t="shared" si="81" ref="P55:V55">NPV($A53,P13:P28)</f>
        <v>14.658204722291943</v>
      </c>
      <c r="Q55" s="571">
        <f t="shared" si="81"/>
        <v>12.290700328250047</v>
      </c>
      <c r="R55" s="571">
        <f t="shared" si="81"/>
        <v>9.699927481834353</v>
      </c>
      <c r="S55" s="571">
        <f t="shared" si="81"/>
        <v>7.598863889272211</v>
      </c>
      <c r="T55" s="571">
        <f t="shared" si="81"/>
        <v>4.710609012493253</v>
      </c>
      <c r="U55" s="571">
        <f t="shared" si="81"/>
        <v>2.6294084531683883</v>
      </c>
      <c r="V55" s="571">
        <f t="shared" si="81"/>
        <v>1.8966015229159647</v>
      </c>
      <c r="W55" s="484"/>
      <c r="X55" s="548"/>
      <c r="Y55" s="548"/>
      <c r="Z55" s="548"/>
      <c r="AA55" s="548"/>
      <c r="AB55" s="548"/>
      <c r="AC55" s="548"/>
      <c r="AD55" s="548"/>
      <c r="AE55" s="487"/>
      <c r="AF55" s="487"/>
      <c r="AG55" s="487"/>
      <c r="AH55" s="487"/>
      <c r="AI55" s="548"/>
      <c r="AJ55" s="548"/>
      <c r="AK55" s="548"/>
      <c r="AL55" s="548"/>
      <c r="AM55" s="548"/>
      <c r="AN55" s="548"/>
      <c r="AO55" s="548"/>
      <c r="AP55" s="487"/>
      <c r="AQ55" s="487"/>
      <c r="AR55" s="487"/>
      <c r="AS55" s="487"/>
      <c r="AT55" s="487"/>
      <c r="AU55" s="487"/>
      <c r="AV55" s="487"/>
      <c r="AW55" s="548"/>
      <c r="AX55" s="548"/>
      <c r="AY55" s="484"/>
      <c r="AZ55" s="548"/>
      <c r="BA55" s="548"/>
      <c r="BB55" s="548"/>
      <c r="BC55" s="548"/>
      <c r="BD55" s="548"/>
      <c r="BE55" s="548"/>
      <c r="BF55" s="487"/>
      <c r="BG55" s="487"/>
      <c r="BH55" s="487"/>
      <c r="BI55" s="487"/>
      <c r="BJ55" s="487"/>
      <c r="BK55" s="548"/>
      <c r="BL55" s="548"/>
      <c r="BM55" s="548"/>
      <c r="BN55" s="548"/>
      <c r="BO55" s="548"/>
      <c r="BP55" s="548"/>
      <c r="BQ55" s="487"/>
      <c r="BR55" s="487"/>
      <c r="BS55" s="487"/>
      <c r="BT55" s="487"/>
      <c r="BU55" s="487"/>
      <c r="BV55" s="487"/>
      <c r="BW55" s="487"/>
      <c r="BX55" s="487"/>
      <c r="BY55" s="577">
        <f>NPV($A53,BY13:BY28)</f>
        <v>-105.38472071175711</v>
      </c>
      <c r="BZ55" s="577">
        <f aca="true" t="shared" si="82" ref="BZ55:CE55">NPV($A53,BZ13:BZ28)</f>
        <v>-104.93957965296393</v>
      </c>
      <c r="CA55" s="577">
        <f t="shared" si="82"/>
        <v>-89.11641665852505</v>
      </c>
      <c r="CB55" s="577">
        <f t="shared" si="82"/>
        <v>-71.95303155561062</v>
      </c>
      <c r="CC55" s="577">
        <f t="shared" si="82"/>
        <v>-41.844487622102385</v>
      </c>
      <c r="CD55" s="577">
        <f t="shared" si="82"/>
        <v>-16.093522063344224</v>
      </c>
      <c r="CE55" s="577">
        <f t="shared" si="82"/>
        <v>-6.449207324745012</v>
      </c>
      <c r="CF55" s="577">
        <f aca="true" t="shared" si="83" ref="CF55:CK55">NPV($A53,CF13:CF28)</f>
        <v>-111.43072821459599</v>
      </c>
      <c r="CG55" s="577">
        <f t="shared" si="83"/>
        <v>-94.62880675693968</v>
      </c>
      <c r="CH55" s="577">
        <f t="shared" si="83"/>
        <v>-76.40376233642601</v>
      </c>
      <c r="CI55" s="577">
        <f t="shared" si="83"/>
        <v>-44.43282261008963</v>
      </c>
      <c r="CJ55" s="577">
        <f t="shared" si="83"/>
        <v>-17.089003872386527</v>
      </c>
      <c r="CK55" s="577">
        <f t="shared" si="83"/>
        <v>-6.848129857007163</v>
      </c>
      <c r="CL55" s="29"/>
      <c r="CM55" s="577">
        <f>NPV($A53,CM13:CM28)</f>
        <v>-96.10991938646937</v>
      </c>
      <c r="CN55" s="29"/>
      <c r="CO55" s="654">
        <v>-16.093522063344224</v>
      </c>
      <c r="CP55" s="653">
        <v>-15.695245278772065</v>
      </c>
    </row>
    <row r="56" spans="1:93" ht="12.75">
      <c r="A56" s="459" t="s">
        <v>268</v>
      </c>
      <c r="B56" s="513">
        <f>AVERAGE(B12:B31)</f>
        <v>5.429054303169252</v>
      </c>
      <c r="C56" s="513">
        <f>AVERAGE(C12:C31)</f>
        <v>5.296638344555367</v>
      </c>
      <c r="D56" s="513">
        <f aca="true" t="shared" si="84" ref="D56:O56">AVERAGE(D12:D31)</f>
        <v>9.340000000000002</v>
      </c>
      <c r="E56" s="513">
        <f t="shared" si="84"/>
        <v>7.340000000000002</v>
      </c>
      <c r="F56" s="513">
        <f t="shared" si="84"/>
        <v>6.5</v>
      </c>
      <c r="G56" s="513">
        <f t="shared" si="84"/>
        <v>5.340000000000002</v>
      </c>
      <c r="H56" s="513">
        <f t="shared" si="84"/>
        <v>4.22</v>
      </c>
      <c r="I56" s="470">
        <f t="shared" si="84"/>
        <v>3.5</v>
      </c>
      <c r="J56" s="555">
        <f t="shared" si="84"/>
        <v>0.017635000000000005</v>
      </c>
      <c r="K56" s="555">
        <f t="shared" si="84"/>
        <v>0.122785</v>
      </c>
      <c r="L56" s="555">
        <f t="shared" si="84"/>
        <v>0.23868</v>
      </c>
      <c r="M56" s="555">
        <f t="shared" si="84"/>
        <v>0.48346999999999996</v>
      </c>
      <c r="N56" s="555">
        <f t="shared" si="84"/>
        <v>0.7348300000000001</v>
      </c>
      <c r="O56" s="556">
        <f t="shared" si="84"/>
        <v>0.8598750000000001</v>
      </c>
      <c r="P56" s="543">
        <f>SUM(P12:P31)</f>
        <v>33.96327529234369</v>
      </c>
      <c r="Q56" s="557">
        <f aca="true" t="shared" si="85" ref="Q56:AB56">SUM(Q12:Q31)</f>
        <v>29.21939597204242</v>
      </c>
      <c r="R56" s="558">
        <f t="shared" si="85"/>
        <v>22.887457484093275</v>
      </c>
      <c r="S56" s="558">
        <f t="shared" si="85"/>
        <v>17.752385358500092</v>
      </c>
      <c r="T56" s="558">
        <f t="shared" si="85"/>
        <v>10.693390494251334</v>
      </c>
      <c r="U56" s="558">
        <f t="shared" si="85"/>
        <v>5.606864309232031</v>
      </c>
      <c r="V56" s="559">
        <f t="shared" si="85"/>
        <v>3.8158588135859324</v>
      </c>
      <c r="W56" s="484">
        <f t="shared" si="85"/>
        <v>189.0911409405233</v>
      </c>
      <c r="X56" s="548">
        <f t="shared" si="85"/>
        <v>189.0911409405233</v>
      </c>
      <c r="Y56" s="548">
        <f t="shared" si="85"/>
        <v>189.0911409405233</v>
      </c>
      <c r="Z56" s="548">
        <f t="shared" si="85"/>
        <v>189.0911409405233</v>
      </c>
      <c r="AA56" s="548">
        <f t="shared" si="85"/>
        <v>189.0911409405233</v>
      </c>
      <c r="AB56" s="548">
        <f t="shared" si="85"/>
        <v>189.0911409405233</v>
      </c>
      <c r="AC56" s="548">
        <f>SUM(AC12:AC31)</f>
        <v>189.0911409405233</v>
      </c>
      <c r="AD56" s="548"/>
      <c r="AE56" s="487"/>
      <c r="AF56" s="487"/>
      <c r="AG56" s="487"/>
      <c r="AH56" s="487"/>
      <c r="AI56" s="487"/>
      <c r="AJ56" s="487"/>
      <c r="AK56" s="487"/>
      <c r="AL56" s="8"/>
      <c r="AM56" s="8"/>
      <c r="AN56" s="8"/>
      <c r="AO56" s="8"/>
      <c r="AP56" s="487"/>
      <c r="AQ56" s="487"/>
      <c r="AR56" s="487"/>
      <c r="AS56" s="487"/>
      <c r="AT56" s="487"/>
      <c r="AU56" s="487"/>
      <c r="AV56" s="487"/>
      <c r="AW56" s="487"/>
      <c r="AX56" s="487"/>
      <c r="AY56" s="484">
        <f aca="true" t="shared" si="86" ref="AY56:BE56">SUM(AY12:AY31)</f>
        <v>25.39045251783042</v>
      </c>
      <c r="AZ56" s="548">
        <f t="shared" si="86"/>
        <v>21.84685509443043</v>
      </c>
      <c r="BA56" s="548">
        <f t="shared" si="86"/>
        <v>17.11318962370541</v>
      </c>
      <c r="BB56" s="548">
        <f t="shared" si="86"/>
        <v>13.27428410419269</v>
      </c>
      <c r="BC56" s="548">
        <f t="shared" si="86"/>
        <v>7.997081820798043</v>
      </c>
      <c r="BD56" s="548">
        <f t="shared" si="86"/>
        <v>4.194468543080754</v>
      </c>
      <c r="BE56" s="554">
        <f t="shared" si="86"/>
        <v>2.8555387842471944</v>
      </c>
      <c r="BF56" s="487"/>
      <c r="BG56" s="487"/>
      <c r="BH56" s="487"/>
      <c r="BI56" s="487"/>
      <c r="BJ56" s="487"/>
      <c r="BK56" s="487"/>
      <c r="BL56" s="487"/>
      <c r="BM56" s="561"/>
      <c r="BN56" s="561"/>
      <c r="BO56" s="561"/>
      <c r="BP56" s="561"/>
      <c r="BQ56" s="487"/>
      <c r="BR56" s="487"/>
      <c r="BS56" s="487"/>
      <c r="BT56" s="487"/>
      <c r="BU56" s="487"/>
      <c r="BV56" s="487"/>
      <c r="BW56" s="487"/>
      <c r="BX56" s="487"/>
      <c r="BY56" s="562">
        <f>SUM(BY12:BY31)</f>
        <v>-136.84564080617912</v>
      </c>
      <c r="BZ56" s="562">
        <f aca="true" t="shared" si="87" ref="BZ56:CE56">SUM(BZ12:BZ31)</f>
        <v>-137.82910256784555</v>
      </c>
      <c r="CA56" s="562">
        <f t="shared" si="87"/>
        <v>-119.19644092465296</v>
      </c>
      <c r="CB56" s="562">
        <f t="shared" si="87"/>
        <v>-97.49595139897762</v>
      </c>
      <c r="CC56" s="562">
        <f t="shared" si="87"/>
        <v>-57.39056700137251</v>
      </c>
      <c r="CD56" s="562">
        <f t="shared" si="87"/>
        <v>-21.978816219426133</v>
      </c>
      <c r="CE56" s="563">
        <f t="shared" si="87"/>
        <v>-8.56541236232708</v>
      </c>
      <c r="CF56" s="655"/>
      <c r="CG56" s="655"/>
      <c r="CH56" s="655"/>
      <c r="CI56" s="655"/>
      <c r="CJ56" s="655"/>
      <c r="CK56" s="655"/>
      <c r="CL56" s="12" t="str">
        <f t="shared" si="56"/>
        <v>2006-25</v>
      </c>
      <c r="CM56" s="562">
        <f>SUM(CM12:CM31)</f>
        <v>-131.39089492941326</v>
      </c>
      <c r="CN56" s="12"/>
      <c r="CO56" s="12"/>
    </row>
    <row r="57" spans="1:93" ht="12.75">
      <c r="A57" s="564" t="s">
        <v>269</v>
      </c>
      <c r="B57" s="85"/>
      <c r="C57" s="565"/>
      <c r="D57" s="566"/>
      <c r="E57" s="566"/>
      <c r="F57" s="566"/>
      <c r="G57" s="566"/>
      <c r="H57" s="567"/>
      <c r="I57" s="568"/>
      <c r="J57" s="569"/>
      <c r="K57" s="569"/>
      <c r="L57" s="569"/>
      <c r="M57" s="569"/>
      <c r="N57" s="567"/>
      <c r="O57" s="568"/>
      <c r="P57" s="570">
        <f>NPV($A53,P12:P31)</f>
        <v>14.670807711920332</v>
      </c>
      <c r="Q57" s="571">
        <f aca="true" t="shared" si="88" ref="Q57:AB57">NPV($A53,Q12:Q31)</f>
        <v>12.403859020873393</v>
      </c>
      <c r="R57" s="572">
        <f t="shared" si="88"/>
        <v>9.76521882524477</v>
      </c>
      <c r="S57" s="572">
        <f t="shared" si="88"/>
        <v>7.625335795138006</v>
      </c>
      <c r="T57" s="572">
        <f t="shared" si="88"/>
        <v>4.6837172647319125</v>
      </c>
      <c r="U57" s="572">
        <f t="shared" si="88"/>
        <v>2.5640642590286746</v>
      </c>
      <c r="V57" s="573">
        <f t="shared" si="88"/>
        <v>1.8177179228477942</v>
      </c>
      <c r="W57" s="574">
        <f t="shared" si="88"/>
        <v>123.5415029862509</v>
      </c>
      <c r="X57" s="567">
        <f t="shared" si="88"/>
        <v>123.5415029862509</v>
      </c>
      <c r="Y57" s="567">
        <f t="shared" si="88"/>
        <v>123.5415029862509</v>
      </c>
      <c r="Z57" s="567">
        <f t="shared" si="88"/>
        <v>123.5415029862509</v>
      </c>
      <c r="AA57" s="567">
        <f t="shared" si="88"/>
        <v>123.5415029862509</v>
      </c>
      <c r="AB57" s="567">
        <f t="shared" si="88"/>
        <v>123.5415029862509</v>
      </c>
      <c r="AC57" s="567">
        <f>NPV($A53,AC12:AC31)</f>
        <v>123.5415029862509</v>
      </c>
      <c r="AD57" s="567"/>
      <c r="AE57" s="575"/>
      <c r="AF57" s="575"/>
      <c r="AG57" s="575"/>
      <c r="AH57" s="575"/>
      <c r="AI57" s="575"/>
      <c r="AJ57" s="575"/>
      <c r="AK57" s="575"/>
      <c r="AL57" s="85"/>
      <c r="AM57" s="85"/>
      <c r="AN57" s="85"/>
      <c r="AO57" s="8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4">
        <f aca="true" t="shared" si="89" ref="AY57:BE57">NPV($A53,AY12:AY31)</f>
        <v>10.410963056732184</v>
      </c>
      <c r="AZ57" s="567">
        <f t="shared" si="89"/>
        <v>8.804329240456225</v>
      </c>
      <c r="BA57" s="567">
        <f t="shared" si="89"/>
        <v>6.931849814911197</v>
      </c>
      <c r="BB57" s="567">
        <f t="shared" si="89"/>
        <v>5.4133074408558075</v>
      </c>
      <c r="BC57" s="567">
        <f t="shared" si="89"/>
        <v>3.3258230672331357</v>
      </c>
      <c r="BD57" s="567">
        <f t="shared" si="89"/>
        <v>1.8216366878058237</v>
      </c>
      <c r="BE57" s="568">
        <f t="shared" si="89"/>
        <v>1.2920009454469952</v>
      </c>
      <c r="BF57" s="575"/>
      <c r="BG57" s="575"/>
      <c r="BH57" s="575"/>
      <c r="BI57" s="575"/>
      <c r="BJ57" s="575"/>
      <c r="BK57" s="575"/>
      <c r="BL57" s="575"/>
      <c r="BM57" s="576"/>
      <c r="BN57" s="576"/>
      <c r="BO57" s="576"/>
      <c r="BP57" s="576"/>
      <c r="BQ57" s="575"/>
      <c r="BR57" s="575"/>
      <c r="BS57" s="575"/>
      <c r="BT57" s="575"/>
      <c r="BU57" s="575"/>
      <c r="BV57" s="575"/>
      <c r="BW57" s="575"/>
      <c r="BX57" s="575"/>
      <c r="BY57" s="577">
        <f>NPV($A53,BY12:BY31)</f>
        <v>-97.51824797416202</v>
      </c>
      <c r="BZ57" s="577">
        <f aca="true" t="shared" si="90" ref="BZ57:CE57">NPV($A53,BZ12:BZ31)</f>
        <v>-97.15658928483369</v>
      </c>
      <c r="CA57" s="577">
        <f t="shared" si="90"/>
        <v>-82.58607659509727</v>
      </c>
      <c r="CB57" s="577">
        <f t="shared" si="90"/>
        <v>-66.7219097833376</v>
      </c>
      <c r="CC57" s="577">
        <f t="shared" si="90"/>
        <v>-38.82554679719832</v>
      </c>
      <c r="CD57" s="577">
        <f t="shared" si="90"/>
        <v>-14.933936397258554</v>
      </c>
      <c r="CE57" s="578">
        <f t="shared" si="90"/>
        <v>-5.982075787579477</v>
      </c>
      <c r="CF57" s="655"/>
      <c r="CG57" s="655"/>
      <c r="CH57" s="655"/>
      <c r="CI57" s="655"/>
      <c r="CJ57" s="655"/>
      <c r="CK57" s="655"/>
      <c r="CL57" s="12" t="str">
        <f t="shared" si="56"/>
        <v>PV</v>
      </c>
      <c r="CM57" s="577">
        <f>NPV($A53,CM12:CM31)</f>
        <v>-89.82235456679382</v>
      </c>
      <c r="CN57" s="12"/>
      <c r="CO57" s="12"/>
    </row>
    <row r="58" spans="1:93" ht="12.75">
      <c r="A58" s="579" t="s">
        <v>87</v>
      </c>
      <c r="I58" s="9"/>
      <c r="J58" s="8"/>
      <c r="K58" s="8"/>
      <c r="L58" s="8"/>
      <c r="M58" s="8"/>
      <c r="N58" s="8"/>
      <c r="O58" s="9"/>
      <c r="P58" s="580">
        <f aca="true" t="shared" si="91" ref="P58:AC58">P52+P60</f>
        <v>33.96327529234368</v>
      </c>
      <c r="Q58" s="581">
        <f t="shared" si="91"/>
        <v>29.219395972042427</v>
      </c>
      <c r="R58" s="581">
        <f t="shared" si="91"/>
        <v>22.887457484093275</v>
      </c>
      <c r="S58" s="581">
        <f t="shared" si="91"/>
        <v>17.752385358500096</v>
      </c>
      <c r="T58" s="581">
        <f t="shared" si="91"/>
        <v>10.693390494251332</v>
      </c>
      <c r="U58" s="581">
        <f t="shared" si="91"/>
        <v>5.60686430923203</v>
      </c>
      <c r="V58" s="581">
        <f t="shared" si="91"/>
        <v>3.815858813585933</v>
      </c>
      <c r="W58" s="581">
        <f t="shared" si="91"/>
        <v>189.0911409405233</v>
      </c>
      <c r="X58" s="581">
        <f t="shared" si="91"/>
        <v>189.0911409405233</v>
      </c>
      <c r="Y58" s="581">
        <f t="shared" si="91"/>
        <v>189.0911409405233</v>
      </c>
      <c r="Z58" s="581">
        <f t="shared" si="91"/>
        <v>189.0911409405233</v>
      </c>
      <c r="AA58" s="581">
        <f t="shared" si="91"/>
        <v>189.0911409405233</v>
      </c>
      <c r="AB58" s="581">
        <f t="shared" si="91"/>
        <v>189.0911409405233</v>
      </c>
      <c r="AC58" s="581">
        <f t="shared" si="91"/>
        <v>189.0911409405233</v>
      </c>
      <c r="AY58" s="581">
        <f aca="true" t="shared" si="92" ref="AY58:BE59">AY52+AY60</f>
        <v>25.390452517830422</v>
      </c>
      <c r="AZ58" s="581">
        <f t="shared" si="92"/>
        <v>21.846855094430435</v>
      </c>
      <c r="BA58" s="581">
        <f t="shared" si="92"/>
        <v>17.11318962370541</v>
      </c>
      <c r="BB58" s="581">
        <f t="shared" si="92"/>
        <v>13.27428410419269</v>
      </c>
      <c r="BC58" s="581">
        <f t="shared" si="92"/>
        <v>7.997081820798044</v>
      </c>
      <c r="BD58" s="581">
        <f t="shared" si="92"/>
        <v>4.194468543080754</v>
      </c>
      <c r="BE58" s="582">
        <f t="shared" si="92"/>
        <v>2.8555387842471944</v>
      </c>
      <c r="BR58" s="8"/>
      <c r="BS58" s="8"/>
      <c r="BT58" s="8"/>
      <c r="BU58" s="8"/>
      <c r="BV58" s="8"/>
      <c r="BW58" s="31"/>
      <c r="BX58" s="31"/>
      <c r="BY58" s="583">
        <f aca="true" t="shared" si="93" ref="BY58:CE59">BY52+BY60</f>
        <v>-136.84564080617918</v>
      </c>
      <c r="BZ58" s="584">
        <f t="shared" si="93"/>
        <v>-137.82910256784555</v>
      </c>
      <c r="CA58" s="584">
        <f t="shared" si="93"/>
        <v>-119.19644092465295</v>
      </c>
      <c r="CB58" s="584">
        <f t="shared" si="93"/>
        <v>-97.49595139897762</v>
      </c>
      <c r="CC58" s="584">
        <f t="shared" si="93"/>
        <v>-57.39056700137252</v>
      </c>
      <c r="CD58" s="584">
        <f t="shared" si="93"/>
        <v>-21.978816219426125</v>
      </c>
      <c r="CE58" s="584">
        <f t="shared" si="93"/>
        <v>-8.565412362327079</v>
      </c>
      <c r="CF58" s="584"/>
      <c r="CG58" s="584"/>
      <c r="CH58" s="584"/>
      <c r="CI58" s="584"/>
      <c r="CJ58" s="584"/>
      <c r="CK58" s="584"/>
      <c r="CL58" s="12" t="str">
        <f t="shared" si="56"/>
        <v>Checks</v>
      </c>
      <c r="CM58" s="584">
        <f>CM52+CM60</f>
        <v>-131.3908949294133</v>
      </c>
      <c r="CN58" s="12"/>
      <c r="CO58" s="12"/>
    </row>
    <row r="59" spans="9:93" ht="12.75">
      <c r="I59" s="9"/>
      <c r="M59" s="8"/>
      <c r="O59" s="9"/>
      <c r="P59" s="585">
        <f aca="true" t="shared" si="94" ref="P59:AC59">P53+P61</f>
        <v>14.670807711920332</v>
      </c>
      <c r="Q59" s="581">
        <f t="shared" si="94"/>
        <v>12.403859020873394</v>
      </c>
      <c r="R59" s="581">
        <f t="shared" si="94"/>
        <v>9.76521882524477</v>
      </c>
      <c r="S59" s="581">
        <f t="shared" si="94"/>
        <v>7.625335795138006</v>
      </c>
      <c r="T59" s="581">
        <f t="shared" si="94"/>
        <v>4.6837172647319125</v>
      </c>
      <c r="U59" s="581">
        <f t="shared" si="94"/>
        <v>2.5640642590286746</v>
      </c>
      <c r="V59" s="581">
        <f t="shared" si="94"/>
        <v>1.8177179228477942</v>
      </c>
      <c r="W59" s="581">
        <f t="shared" si="94"/>
        <v>123.5415029862509</v>
      </c>
      <c r="X59" s="581">
        <f t="shared" si="94"/>
        <v>123.5415029862509</v>
      </c>
      <c r="Y59" s="581">
        <f t="shared" si="94"/>
        <v>123.5415029862509</v>
      </c>
      <c r="Z59" s="581">
        <f t="shared" si="94"/>
        <v>123.5415029862509</v>
      </c>
      <c r="AA59" s="581">
        <f t="shared" si="94"/>
        <v>123.5415029862509</v>
      </c>
      <c r="AB59" s="581">
        <f t="shared" si="94"/>
        <v>123.5415029862509</v>
      </c>
      <c r="AC59" s="581">
        <f t="shared" si="94"/>
        <v>123.5415029862509</v>
      </c>
      <c r="AY59" s="581">
        <f t="shared" si="92"/>
        <v>10.410963056732184</v>
      </c>
      <c r="AZ59" s="581">
        <f t="shared" si="92"/>
        <v>8.804329240456225</v>
      </c>
      <c r="BA59" s="581">
        <f t="shared" si="92"/>
        <v>6.931849814911197</v>
      </c>
      <c r="BB59" s="581">
        <f t="shared" si="92"/>
        <v>5.4133074408558075</v>
      </c>
      <c r="BC59" s="581">
        <f t="shared" si="92"/>
        <v>3.3258230672331357</v>
      </c>
      <c r="BD59" s="581">
        <f t="shared" si="92"/>
        <v>1.8216366878058237</v>
      </c>
      <c r="BE59" s="586">
        <f t="shared" si="92"/>
        <v>1.2920009454469952</v>
      </c>
      <c r="BR59" s="8"/>
      <c r="BS59" s="8"/>
      <c r="BT59" s="8"/>
      <c r="BU59" s="8"/>
      <c r="BV59" s="8"/>
      <c r="BW59" s="31"/>
      <c r="BX59" s="31"/>
      <c r="BY59" s="583">
        <f t="shared" si="93"/>
        <v>-97.51824797416202</v>
      </c>
      <c r="BZ59" s="584">
        <f t="shared" si="93"/>
        <v>-97.15658928483369</v>
      </c>
      <c r="CA59" s="584">
        <f t="shared" si="93"/>
        <v>-82.58607659509727</v>
      </c>
      <c r="CB59" s="584">
        <f t="shared" si="93"/>
        <v>-66.7219097833376</v>
      </c>
      <c r="CC59" s="584">
        <f t="shared" si="93"/>
        <v>-38.82554679719832</v>
      </c>
      <c r="CD59" s="584">
        <f t="shared" si="93"/>
        <v>-14.933936397258554</v>
      </c>
      <c r="CE59" s="584">
        <f t="shared" si="93"/>
        <v>-5.982075787579477</v>
      </c>
      <c r="CF59" s="584"/>
      <c r="CG59" s="584"/>
      <c r="CH59" s="584"/>
      <c r="CI59" s="584"/>
      <c r="CJ59" s="584"/>
      <c r="CK59" s="584"/>
      <c r="CL59" s="12"/>
      <c r="CM59" s="584">
        <f>CM53+CM61</f>
        <v>-89.82235456679382</v>
      </c>
      <c r="CN59" s="12"/>
      <c r="CO59" s="12"/>
    </row>
    <row r="60" spans="1:93" ht="12.75">
      <c r="A60" s="459" t="s">
        <v>270</v>
      </c>
      <c r="B60" s="513">
        <f>AVERAGE(B22:B31)</f>
        <v>5.272253293991088</v>
      </c>
      <c r="C60" s="513">
        <f>AVERAGE(C22:C31)</f>
        <v>5.14366175023521</v>
      </c>
      <c r="D60" s="513">
        <f aca="true" t="shared" si="95" ref="D60:O60">AVERAGE(D22:D31)</f>
        <v>9.340000000000002</v>
      </c>
      <c r="E60" s="513">
        <f t="shared" si="95"/>
        <v>7.340000000000002</v>
      </c>
      <c r="F60" s="513">
        <f t="shared" si="95"/>
        <v>6.5</v>
      </c>
      <c r="G60" s="513">
        <f t="shared" si="95"/>
        <v>5.340000000000001</v>
      </c>
      <c r="H60" s="513">
        <f t="shared" si="95"/>
        <v>4.22</v>
      </c>
      <c r="I60" s="470">
        <f t="shared" si="95"/>
        <v>3.5</v>
      </c>
      <c r="J60" s="555">
        <f t="shared" si="95"/>
        <v>0.00587</v>
      </c>
      <c r="K60" s="555">
        <f t="shared" si="95"/>
        <v>0.0891</v>
      </c>
      <c r="L60" s="555">
        <f t="shared" si="95"/>
        <v>0.19119999999999998</v>
      </c>
      <c r="M60" s="555">
        <f t="shared" si="95"/>
        <v>0.4439000000000001</v>
      </c>
      <c r="N60" s="555">
        <f t="shared" si="95"/>
        <v>0.7047700000000001</v>
      </c>
      <c r="O60" s="556">
        <f t="shared" si="95"/>
        <v>0.84547</v>
      </c>
      <c r="P60" s="543">
        <f>SUM(P22:P31)</f>
        <v>25.263238651840425</v>
      </c>
      <c r="Q60" s="558">
        <f aca="true" t="shared" si="96" ref="Q60:AC60">SUM(Q22:Q31)</f>
        <v>22.415628134780725</v>
      </c>
      <c r="R60" s="558">
        <f t="shared" si="96"/>
        <v>17.403341807863697</v>
      </c>
      <c r="S60" s="558">
        <f t="shared" si="96"/>
        <v>13.338480493776627</v>
      </c>
      <c r="T60" s="558">
        <f t="shared" si="96"/>
        <v>7.750665086664011</v>
      </c>
      <c r="U60" s="558">
        <f t="shared" si="96"/>
        <v>3.7242321550744775</v>
      </c>
      <c r="V60" s="558">
        <f t="shared" si="96"/>
        <v>2.3064937524754723</v>
      </c>
      <c r="W60" s="484">
        <f t="shared" si="96"/>
        <v>6.124906777721306</v>
      </c>
      <c r="X60" s="548">
        <f t="shared" si="96"/>
        <v>6.124906777721306</v>
      </c>
      <c r="Y60" s="548">
        <f t="shared" si="96"/>
        <v>6.124906777721306</v>
      </c>
      <c r="Z60" s="548">
        <f t="shared" si="96"/>
        <v>6.124906777721306</v>
      </c>
      <c r="AA60" s="548">
        <f t="shared" si="96"/>
        <v>6.124906777721306</v>
      </c>
      <c r="AB60" s="548">
        <f t="shared" si="96"/>
        <v>6.124906777721306</v>
      </c>
      <c r="AC60" s="548">
        <f t="shared" si="96"/>
        <v>6.124906777721306</v>
      </c>
      <c r="AD60" s="484"/>
      <c r="AE60" s="487"/>
      <c r="AF60" s="487"/>
      <c r="AG60" s="487"/>
      <c r="AH60" s="487"/>
      <c r="AI60" s="548"/>
      <c r="AJ60" s="548"/>
      <c r="AK60" s="548"/>
      <c r="AL60" s="548"/>
      <c r="AM60" s="548"/>
      <c r="AN60" s="548"/>
      <c r="AO60" s="548"/>
      <c r="AP60" s="487"/>
      <c r="AQ60" s="487"/>
      <c r="AR60" s="487"/>
      <c r="AS60" s="487"/>
      <c r="AT60" s="487"/>
      <c r="AU60" s="487"/>
      <c r="AV60" s="487"/>
      <c r="AW60" s="548"/>
      <c r="AX60" s="548"/>
      <c r="AY60" s="484">
        <f aca="true" t="shared" si="97" ref="AY60:BE60">SUM(AY22:AY31)</f>
        <v>20.688516866380343</v>
      </c>
      <c r="AZ60" s="548">
        <f t="shared" si="97"/>
        <v>18.35175576012611</v>
      </c>
      <c r="BA60" s="548">
        <f t="shared" si="97"/>
        <v>14.249245685497755</v>
      </c>
      <c r="BB60" s="548">
        <f t="shared" si="97"/>
        <v>10.922194235253398</v>
      </c>
      <c r="BC60" s="548">
        <f t="shared" si="97"/>
        <v>6.348618922978038</v>
      </c>
      <c r="BD60" s="548">
        <f t="shared" si="97"/>
        <v>3.0530207489563876</v>
      </c>
      <c r="BE60" s="548">
        <f t="shared" si="97"/>
        <v>1.8926149579673024</v>
      </c>
      <c r="BF60" s="550"/>
      <c r="BG60" s="487"/>
      <c r="BH60" s="487"/>
      <c r="BI60" s="487"/>
      <c r="BJ60" s="487"/>
      <c r="BK60" s="548"/>
      <c r="BL60" s="548"/>
      <c r="BM60" s="548"/>
      <c r="BN60" s="548"/>
      <c r="BO60" s="548"/>
      <c r="BP60" s="548"/>
      <c r="BQ60" s="487"/>
      <c r="BR60" s="487"/>
      <c r="BS60" s="487"/>
      <c r="BT60" s="487"/>
      <c r="BU60" s="487"/>
      <c r="BV60" s="487"/>
      <c r="BW60" s="487"/>
      <c r="BX60" s="487"/>
      <c r="BY60" s="550">
        <f aca="true" t="shared" si="98" ref="BY60:CE60">SUM(BY22:BY31)</f>
        <v>18.456600578895777</v>
      </c>
      <c r="BZ60" s="550">
        <f t="shared" si="98"/>
        <v>15.909421534242508</v>
      </c>
      <c r="CA60" s="550">
        <f t="shared" si="98"/>
        <v>11.712115238352206</v>
      </c>
      <c r="CB60" s="550">
        <f t="shared" si="98"/>
        <v>8.544170769400385</v>
      </c>
      <c r="CC60" s="550">
        <f t="shared" si="98"/>
        <v>4.650301180152137</v>
      </c>
      <c r="CD60" s="550">
        <f t="shared" si="98"/>
        <v>2.348275716496734</v>
      </c>
      <c r="CE60" s="550">
        <f t="shared" si="98"/>
        <v>1.6134861232664957</v>
      </c>
      <c r="CF60" s="487"/>
      <c r="CG60" s="487"/>
      <c r="CH60" s="487"/>
      <c r="CI60" s="487"/>
      <c r="CJ60" s="487"/>
      <c r="CK60" s="487"/>
      <c r="CL60" s="12" t="str">
        <f t="shared" si="56"/>
        <v>2016-25</v>
      </c>
      <c r="CM60" s="550">
        <f>SUM(CM22:CM31)</f>
        <v>6.219121154381447</v>
      </c>
      <c r="CN60" s="12"/>
      <c r="CO60" s="12"/>
    </row>
    <row r="61" spans="1:93" ht="13.5" thickBot="1">
      <c r="A61" s="587" t="s">
        <v>269</v>
      </c>
      <c r="B61" s="8"/>
      <c r="C61" s="588"/>
      <c r="D61" s="589"/>
      <c r="E61" s="589"/>
      <c r="F61" s="589"/>
      <c r="G61" s="589"/>
      <c r="H61" s="548"/>
      <c r="I61" s="548"/>
      <c r="J61" s="555"/>
      <c r="K61" s="555"/>
      <c r="L61" s="555"/>
      <c r="M61" s="555"/>
      <c r="N61" s="555"/>
      <c r="O61" s="556"/>
      <c r="P61" s="543">
        <f>NPV($A53,P12:P31)-NPV($A53,P12:P21)</f>
        <v>9.592596023285429</v>
      </c>
      <c r="Q61" s="558">
        <f aca="true" t="shared" si="99" ref="Q61:AC61">NPV($A53,Q12:Q31)-NPV($A53,Q12:Q21)</f>
        <v>8.458019081868933</v>
      </c>
      <c r="R61" s="558">
        <f t="shared" si="99"/>
        <v>6.578595289892931</v>
      </c>
      <c r="S61" s="558">
        <f t="shared" si="99"/>
        <v>5.054421177222667</v>
      </c>
      <c r="T61" s="558">
        <f t="shared" si="99"/>
        <v>2.959195059572478</v>
      </c>
      <c r="U61" s="558">
        <f t="shared" si="99"/>
        <v>1.449430182856108</v>
      </c>
      <c r="V61" s="558">
        <f t="shared" si="99"/>
        <v>0.917830208143266</v>
      </c>
      <c r="W61" s="484">
        <f t="shared" si="99"/>
        <v>2.9098990886408984</v>
      </c>
      <c r="X61" s="548">
        <f t="shared" si="99"/>
        <v>2.9098990886408984</v>
      </c>
      <c r="Y61" s="548">
        <f t="shared" si="99"/>
        <v>2.9098990886408984</v>
      </c>
      <c r="Z61" s="548">
        <f t="shared" si="99"/>
        <v>2.9098990886408984</v>
      </c>
      <c r="AA61" s="548">
        <f t="shared" si="99"/>
        <v>2.9098990886408984</v>
      </c>
      <c r="AB61" s="548">
        <f t="shared" si="99"/>
        <v>2.9098990886408984</v>
      </c>
      <c r="AC61" s="548">
        <f t="shared" si="99"/>
        <v>2.9098990886408984</v>
      </c>
      <c r="AD61" s="484"/>
      <c r="AE61" s="487"/>
      <c r="AF61" s="487"/>
      <c r="AG61" s="487"/>
      <c r="AH61" s="487"/>
      <c r="AI61" s="487"/>
      <c r="AJ61" s="487"/>
      <c r="AK61" s="487"/>
      <c r="AL61" s="8"/>
      <c r="AM61" s="8"/>
      <c r="AN61" s="8"/>
      <c r="AO61" s="8"/>
      <c r="AP61" s="487"/>
      <c r="AQ61" s="487"/>
      <c r="AR61" s="487"/>
      <c r="AS61" s="487"/>
      <c r="AT61" s="487"/>
      <c r="AU61" s="487"/>
      <c r="AV61" s="487"/>
      <c r="AW61" s="487"/>
      <c r="AX61" s="487"/>
      <c r="AY61" s="484">
        <f aca="true" t="shared" si="100" ref="AY61:BE61">NPV($A53,AY12:AY31)-NPV($A53,AY12:AY21)</f>
        <v>7.847483562841779</v>
      </c>
      <c r="AZ61" s="548">
        <f t="shared" si="100"/>
        <v>6.916807403618218</v>
      </c>
      <c r="BA61" s="548">
        <f t="shared" si="100"/>
        <v>5.380410280893848</v>
      </c>
      <c r="BB61" s="548">
        <f t="shared" si="100"/>
        <v>4.134423755004713</v>
      </c>
      <c r="BC61" s="548">
        <f t="shared" si="100"/>
        <v>2.4216118855592446</v>
      </c>
      <c r="BD61" s="548">
        <f t="shared" si="100"/>
        <v>1.1874046660483377</v>
      </c>
      <c r="BE61" s="548">
        <f t="shared" si="100"/>
        <v>0.7528306891325515</v>
      </c>
      <c r="BF61" s="550"/>
      <c r="BG61" s="487"/>
      <c r="BH61" s="487"/>
      <c r="BI61" s="487"/>
      <c r="BJ61" s="487"/>
      <c r="BK61" s="487"/>
      <c r="BL61" s="487"/>
      <c r="BM61" s="561"/>
      <c r="BN61" s="561"/>
      <c r="BO61" s="561"/>
      <c r="BP61" s="561"/>
      <c r="BQ61" s="487"/>
      <c r="BR61" s="487"/>
      <c r="BS61" s="487"/>
      <c r="BT61" s="487"/>
      <c r="BU61" s="487"/>
      <c r="BV61" s="487"/>
      <c r="BW61" s="487"/>
      <c r="BX61" s="487"/>
      <c r="BY61" s="550">
        <f aca="true" t="shared" si="101" ref="BY61:CE61">NPV($A53,BY12:BY31)-NPV($A53,BY12:BY21)</f>
        <v>6.4637024671497585</v>
      </c>
      <c r="BZ61" s="550">
        <f t="shared" si="101"/>
        <v>5.4591792518121025</v>
      </c>
      <c r="CA61" s="550">
        <f t="shared" si="101"/>
        <v>3.946517541535769</v>
      </c>
      <c r="CB61" s="550">
        <f t="shared" si="101"/>
        <v>2.831894612480042</v>
      </c>
      <c r="CC61" s="550">
        <f t="shared" si="101"/>
        <v>1.518675150581828</v>
      </c>
      <c r="CD61" s="550">
        <f t="shared" si="101"/>
        <v>0.8117529177258671</v>
      </c>
      <c r="CE61" s="550">
        <f t="shared" si="101"/>
        <v>0.5988385890946999</v>
      </c>
      <c r="CF61" s="487"/>
      <c r="CG61" s="487"/>
      <c r="CH61" s="487"/>
      <c r="CI61" s="487"/>
      <c r="CJ61" s="487"/>
      <c r="CK61" s="487"/>
      <c r="CL61" s="12" t="str">
        <f t="shared" si="56"/>
        <v>PV</v>
      </c>
      <c r="CM61" s="550">
        <f>NPV($A53,CM12:CM31)-NPV($A53,CM12:CM21)</f>
        <v>2.083071414107664</v>
      </c>
      <c r="CN61" s="12"/>
      <c r="CO61" s="12"/>
    </row>
    <row r="62" spans="1:93" ht="12.75">
      <c r="A62" s="468"/>
      <c r="B62" s="588"/>
      <c r="C62" s="8"/>
      <c r="D62" s="589"/>
      <c r="E62" s="589"/>
      <c r="F62" s="589"/>
      <c r="G62" s="589"/>
      <c r="H62" s="548"/>
      <c r="I62" s="548"/>
      <c r="J62" s="555"/>
      <c r="K62" s="555"/>
      <c r="L62" s="555"/>
      <c r="M62" s="555"/>
      <c r="N62" s="555"/>
      <c r="O62" s="555"/>
      <c r="P62" s="548"/>
      <c r="Q62" s="558"/>
      <c r="R62" s="558"/>
      <c r="S62" s="558"/>
      <c r="T62" s="558"/>
      <c r="U62" s="558"/>
      <c r="V62" s="558"/>
      <c r="W62" s="548"/>
      <c r="X62" s="548"/>
      <c r="Y62" s="548"/>
      <c r="Z62" s="548"/>
      <c r="AA62" s="548"/>
      <c r="AB62" s="548"/>
      <c r="AC62" s="548"/>
      <c r="AD62" s="548"/>
      <c r="AE62" s="487"/>
      <c r="AF62" s="487"/>
      <c r="AG62" s="487"/>
      <c r="AH62" s="487"/>
      <c r="AI62" s="487"/>
      <c r="AJ62" s="487"/>
      <c r="AK62" s="487"/>
      <c r="AL62" s="8"/>
      <c r="AM62" s="8"/>
      <c r="AN62" s="8"/>
      <c r="AO62" s="8"/>
      <c r="AP62" s="487"/>
      <c r="AQ62" s="487"/>
      <c r="AR62" s="487"/>
      <c r="AS62" s="487"/>
      <c r="AT62" s="487"/>
      <c r="AU62" s="487"/>
      <c r="AV62" s="487"/>
      <c r="AW62" s="487"/>
      <c r="AX62" s="487"/>
      <c r="AY62" s="548"/>
      <c r="AZ62" s="548"/>
      <c r="BA62" s="548"/>
      <c r="BB62" s="548"/>
      <c r="BC62" s="548"/>
      <c r="BD62" s="548"/>
      <c r="BE62" s="548"/>
      <c r="BF62" s="487"/>
      <c r="BG62" s="487"/>
      <c r="BH62" s="487"/>
      <c r="BI62" s="487"/>
      <c r="BJ62" s="487"/>
      <c r="BK62" s="487"/>
      <c r="BL62" s="487"/>
      <c r="BM62" s="561"/>
      <c r="BN62" s="561"/>
      <c r="BO62" s="561"/>
      <c r="BP62" s="561"/>
      <c r="BQ62" s="487"/>
      <c r="BR62" s="487"/>
      <c r="BS62" s="487"/>
      <c r="BT62" s="487"/>
      <c r="BU62" s="487"/>
      <c r="BV62" s="487"/>
      <c r="BW62" s="487"/>
      <c r="BX62" s="487"/>
      <c r="BY62" s="487"/>
      <c r="BZ62" s="487"/>
      <c r="CA62" s="487"/>
      <c r="CB62" s="487"/>
      <c r="CC62" s="487"/>
      <c r="CD62" s="487"/>
      <c r="CE62" s="487"/>
      <c r="CF62" s="487"/>
      <c r="CG62" s="487"/>
      <c r="CH62" s="487"/>
      <c r="CI62" s="487"/>
      <c r="CJ62" s="487"/>
      <c r="CK62" s="487"/>
      <c r="CL62" s="12"/>
      <c r="CM62" s="12"/>
      <c r="CN62" s="12"/>
      <c r="CO62" s="12"/>
    </row>
    <row r="63" spans="2:89" ht="13.5" thickBot="1">
      <c r="B63" s="450" t="s">
        <v>264</v>
      </c>
      <c r="C63" s="449" t="s">
        <v>263</v>
      </c>
      <c r="D63" s="590"/>
      <c r="E63" s="590"/>
      <c r="F63" s="590"/>
      <c r="G63" s="590"/>
      <c r="H63" s="590"/>
      <c r="I63" s="590"/>
      <c r="J63" s="590"/>
      <c r="K63" s="590"/>
      <c r="Q63" s="8"/>
      <c r="R63" s="8"/>
      <c r="S63" s="21"/>
      <c r="T63" s="12"/>
      <c r="W63" s="21"/>
      <c r="X63" s="12"/>
      <c r="Y63" s="12"/>
      <c r="Z63" s="12"/>
      <c r="BY63" s="744" t="s">
        <v>278</v>
      </c>
      <c r="BZ63" s="744"/>
      <c r="CA63" s="744"/>
      <c r="CB63" s="744"/>
      <c r="CC63" s="744"/>
      <c r="CD63" s="744"/>
      <c r="CE63" s="744"/>
      <c r="CF63" s="652"/>
      <c r="CG63" s="652"/>
      <c r="CH63" s="652"/>
      <c r="CI63" s="652"/>
      <c r="CJ63" s="652"/>
      <c r="CK63" s="652"/>
    </row>
    <row r="64" spans="2:93" ht="12.75">
      <c r="B64" s="460">
        <v>5.39714653015137</v>
      </c>
      <c r="C64" s="460">
        <v>5.265508809903777</v>
      </c>
      <c r="D64" s="590"/>
      <c r="E64" s="590"/>
      <c r="F64" s="590"/>
      <c r="G64" s="590"/>
      <c r="H64" s="590"/>
      <c r="I64" s="590"/>
      <c r="J64" s="590"/>
      <c r="K64" s="590"/>
      <c r="Q64" s="8"/>
      <c r="R64" s="8"/>
      <c r="S64" s="21"/>
      <c r="T64" s="12"/>
      <c r="W64" s="21"/>
      <c r="X64" s="12"/>
      <c r="Y64" s="12"/>
      <c r="Z64" s="12"/>
      <c r="BY64" s="595" t="str">
        <f>BY8</f>
        <v>No PT</v>
      </c>
      <c r="BZ64" s="595">
        <f aca="true" t="shared" si="102" ref="BZ64:CE64">BZ8</f>
        <v>9.34</v>
      </c>
      <c r="CA64" s="595">
        <f t="shared" si="102"/>
        <v>7.34</v>
      </c>
      <c r="CB64" s="595">
        <f t="shared" si="102"/>
        <v>6.5</v>
      </c>
      <c r="CC64" s="595">
        <f t="shared" si="102"/>
        <v>5.34</v>
      </c>
      <c r="CD64" s="595">
        <f t="shared" si="102"/>
        <v>4.22</v>
      </c>
      <c r="CE64" s="595">
        <f t="shared" si="102"/>
        <v>3.5</v>
      </c>
      <c r="CF64" s="656"/>
      <c r="CG64" s="656"/>
      <c r="CH64" s="656"/>
      <c r="CI64" s="656"/>
      <c r="CJ64" s="656"/>
      <c r="CK64" s="656"/>
      <c r="CL64" s="594"/>
      <c r="CM64" s="594"/>
      <c r="CN64" s="594"/>
      <c r="CO64" s="594"/>
    </row>
    <row r="65" spans="2:89" ht="12.75">
      <c r="B65" s="460">
        <v>5.809999294281011</v>
      </c>
      <c r="C65" s="460">
        <v>5.668291994420499</v>
      </c>
      <c r="D65" s="590"/>
      <c r="E65" s="590"/>
      <c r="F65" s="590"/>
      <c r="G65" s="590"/>
      <c r="H65" s="590"/>
      <c r="I65" s="590"/>
      <c r="J65" s="590"/>
      <c r="K65" s="590"/>
      <c r="Q65" s="8"/>
      <c r="R65" s="8"/>
      <c r="S65" s="21"/>
      <c r="T65" s="12"/>
      <c r="W65" s="21"/>
      <c r="X65" s="12"/>
      <c r="Y65" s="12"/>
      <c r="Z65" s="12"/>
      <c r="BY65" s="743" t="s">
        <v>271</v>
      </c>
      <c r="BZ65" s="743"/>
      <c r="CA65" s="743"/>
      <c r="CB65" s="743"/>
      <c r="CC65" s="743"/>
      <c r="CD65" s="743"/>
      <c r="CE65" s="743"/>
      <c r="CF65" s="44"/>
      <c r="CG65" s="44"/>
      <c r="CH65" s="44"/>
      <c r="CI65" s="44"/>
      <c r="CJ65" s="44"/>
      <c r="CK65" s="44"/>
    </row>
    <row r="66" spans="2:89" ht="12.75">
      <c r="B66" s="460">
        <v>7.93536979675292</v>
      </c>
      <c r="C66" s="460">
        <v>7.741824191954069</v>
      </c>
      <c r="BX66" s="596" t="s">
        <v>279</v>
      </c>
      <c r="BY66" s="591">
        <f>P54</f>
        <v>30.532309016216345</v>
      </c>
      <c r="BZ66" s="591">
        <f aca="true" t="shared" si="103" ref="BZ66:CE66">Q54</f>
        <v>25.980284499904624</v>
      </c>
      <c r="CA66" s="591">
        <f t="shared" si="103"/>
        <v>20.4159280744392</v>
      </c>
      <c r="CB66" s="591">
        <f t="shared" si="103"/>
        <v>15.903349243856232</v>
      </c>
      <c r="CC66" s="591">
        <f t="shared" si="103"/>
        <v>9.700073026791774</v>
      </c>
      <c r="CD66" s="591">
        <f t="shared" si="103"/>
        <v>5.230155210190014</v>
      </c>
      <c r="CE66" s="591">
        <f t="shared" si="103"/>
        <v>3.656262324668618</v>
      </c>
      <c r="CF66" s="591">
        <f aca="true" t="shared" si="104" ref="CF66:CK67">Q54</f>
        <v>25.980284499904624</v>
      </c>
      <c r="CG66" s="591">
        <f t="shared" si="104"/>
        <v>20.4159280744392</v>
      </c>
      <c r="CH66" s="591">
        <f t="shared" si="104"/>
        <v>15.903349243856232</v>
      </c>
      <c r="CI66" s="591">
        <f t="shared" si="104"/>
        <v>9.700073026791774</v>
      </c>
      <c r="CJ66" s="591">
        <f t="shared" si="104"/>
        <v>5.230155210190014</v>
      </c>
      <c r="CK66" s="591">
        <f t="shared" si="104"/>
        <v>3.656262324668618</v>
      </c>
    </row>
    <row r="67" spans="2:89" ht="12.75">
      <c r="B67" s="460">
        <v>7.16958362579346</v>
      </c>
      <c r="C67" s="460">
        <v>6.994715732481425</v>
      </c>
      <c r="BX67" s="596" t="s">
        <v>269</v>
      </c>
      <c r="BY67" s="591">
        <f>P55</f>
        <v>14.658204722291943</v>
      </c>
      <c r="BZ67" s="591">
        <f aca="true" t="shared" si="105" ref="BZ67:CE67">Q55</f>
        <v>12.290700328250047</v>
      </c>
      <c r="CA67" s="591">
        <f t="shared" si="105"/>
        <v>9.699927481834353</v>
      </c>
      <c r="CB67" s="591">
        <f t="shared" si="105"/>
        <v>7.598863889272211</v>
      </c>
      <c r="CC67" s="591">
        <f t="shared" si="105"/>
        <v>4.710609012493253</v>
      </c>
      <c r="CD67" s="591">
        <f t="shared" si="105"/>
        <v>2.6294084531683883</v>
      </c>
      <c r="CE67" s="591">
        <f t="shared" si="105"/>
        <v>1.8966015229159647</v>
      </c>
      <c r="CF67" s="591">
        <f t="shared" si="104"/>
        <v>12.290700328250047</v>
      </c>
      <c r="CG67" s="591">
        <f t="shared" si="104"/>
        <v>9.699927481834353</v>
      </c>
      <c r="CH67" s="591">
        <f t="shared" si="104"/>
        <v>7.598863889272211</v>
      </c>
      <c r="CI67" s="591">
        <f t="shared" si="104"/>
        <v>4.710609012493253</v>
      </c>
      <c r="CJ67" s="591">
        <f t="shared" si="104"/>
        <v>2.6294084531683883</v>
      </c>
      <c r="CK67" s="591">
        <f t="shared" si="104"/>
        <v>1.8966015229159647</v>
      </c>
    </row>
    <row r="68" spans="2:89" ht="12.75">
      <c r="B68" s="460">
        <v>6.45482761383057</v>
      </c>
      <c r="C68" s="460">
        <v>6.297392793981045</v>
      </c>
      <c r="BY68" s="741" t="s">
        <v>272</v>
      </c>
      <c r="BZ68" s="741"/>
      <c r="CA68" s="741"/>
      <c r="CB68" s="741"/>
      <c r="CC68" s="741"/>
      <c r="CD68" s="741"/>
      <c r="CE68" s="741"/>
      <c r="CF68" s="591"/>
      <c r="CG68" s="591"/>
      <c r="CH68" s="591"/>
      <c r="CI68" s="591"/>
      <c r="CJ68" s="591"/>
      <c r="CK68" s="591"/>
    </row>
    <row r="69" spans="2:89" ht="12.75">
      <c r="B69" s="460">
        <v>6.09526426315308</v>
      </c>
      <c r="C69" s="460">
        <v>5.946599281124957</v>
      </c>
      <c r="BY69" s="591">
        <f>'Incentive effect'!G71</f>
        <v>489.9925422177045</v>
      </c>
      <c r="BZ69" s="591"/>
      <c r="CA69" s="591"/>
      <c r="CB69" s="591"/>
      <c r="CC69" s="591"/>
      <c r="CD69" s="591"/>
      <c r="CE69" s="591"/>
      <c r="CF69" s="591"/>
      <c r="CG69" s="591"/>
      <c r="CH69" s="591"/>
      <c r="CI69" s="591"/>
      <c r="CJ69" s="591"/>
      <c r="CK69" s="591"/>
    </row>
    <row r="70" spans="2:89" ht="12.75">
      <c r="B70" s="460">
        <v>5.66388208389282</v>
      </c>
      <c r="C70" s="460">
        <v>5.52573861843202</v>
      </c>
      <c r="BY70" s="597">
        <f>BY66/$BY$69</f>
        <v>0.06231178311005964</v>
      </c>
      <c r="BZ70" s="597">
        <f aca="true" t="shared" si="106" ref="BZ70:CE70">BZ66/$BY$69</f>
        <v>0.05302179576513134</v>
      </c>
      <c r="CA70" s="597">
        <f t="shared" si="106"/>
        <v>0.04166579348746163</v>
      </c>
      <c r="CB70" s="597">
        <f t="shared" si="106"/>
        <v>0.0324563087672268</v>
      </c>
      <c r="CC70" s="597">
        <f t="shared" si="106"/>
        <v>0.01979636870163223</v>
      </c>
      <c r="CD70" s="597">
        <f t="shared" si="106"/>
        <v>0.010673948600356956</v>
      </c>
      <c r="CE70" s="597">
        <f t="shared" si="106"/>
        <v>0.007461873415706263</v>
      </c>
      <c r="CF70" s="597"/>
      <c r="CG70" s="597"/>
      <c r="CH70" s="597"/>
      <c r="CI70" s="597"/>
      <c r="CJ70" s="597"/>
      <c r="CK70" s="597"/>
    </row>
    <row r="71" spans="2:89" ht="12.75">
      <c r="B71" s="460">
        <v>5.34626657485962</v>
      </c>
      <c r="C71" s="460">
        <v>5.2158698291313375</v>
      </c>
      <c r="BY71" s="741" t="s">
        <v>273</v>
      </c>
      <c r="BZ71" s="741"/>
      <c r="CA71" s="741"/>
      <c r="CB71" s="741"/>
      <c r="CC71" s="741"/>
      <c r="CD71" s="741"/>
      <c r="CE71" s="741"/>
      <c r="CF71" s="591"/>
      <c r="CG71" s="591"/>
      <c r="CH71" s="591"/>
      <c r="CI71" s="591"/>
      <c r="CJ71" s="591"/>
      <c r="CK71" s="591"/>
    </row>
    <row r="72" spans="2:90" ht="15.75">
      <c r="B72" s="460">
        <v>5.101605243682861</v>
      </c>
      <c r="C72" s="460">
        <v>4.977175847495475</v>
      </c>
      <c r="BX72" s="596" t="s">
        <v>279</v>
      </c>
      <c r="BY72" s="593">
        <f>BY54</f>
        <v>-140.2814558882549</v>
      </c>
      <c r="BZ72" s="593">
        <f aca="true" t="shared" si="107" ref="BZ72:CK72">BZ54</f>
        <v>-141.07279170752935</v>
      </c>
      <c r="CA72" s="593">
        <f t="shared" si="107"/>
        <v>-121.67146321810091</v>
      </c>
      <c r="CB72" s="593">
        <f t="shared" si="107"/>
        <v>-99.34760066006186</v>
      </c>
      <c r="CC72" s="593">
        <f t="shared" si="107"/>
        <v>-58.38528827267544</v>
      </c>
      <c r="CD72" s="593">
        <f t="shared" si="107"/>
        <v>-22.356057701818276</v>
      </c>
      <c r="CE72" s="593">
        <f t="shared" si="107"/>
        <v>-8.725234400650168</v>
      </c>
      <c r="CF72" s="593">
        <f t="shared" si="107"/>
        <v>-149.7989982733081</v>
      </c>
      <c r="CG72" s="593">
        <f t="shared" si="107"/>
        <v>-129.1975801138583</v>
      </c>
      <c r="CH72" s="593">
        <f t="shared" si="107"/>
        <v>-105.49285145350684</v>
      </c>
      <c r="CI72" s="593">
        <f t="shared" si="107"/>
        <v>-61.9967719592403</v>
      </c>
      <c r="CJ72" s="593">
        <f t="shared" si="107"/>
        <v>-23.7389152687613</v>
      </c>
      <c r="CK72" s="593">
        <f t="shared" si="107"/>
        <v>-9.264942992174753</v>
      </c>
      <c r="CL72" s="659">
        <f>CF72</f>
        <v>-149.7989982733081</v>
      </c>
    </row>
    <row r="73" spans="2:90" ht="15.75">
      <c r="B73" s="460">
        <v>5.04159004211426</v>
      </c>
      <c r="C73" s="460">
        <v>4.9186244313309855</v>
      </c>
      <c r="BX73" s="596" t="s">
        <v>269</v>
      </c>
      <c r="BY73" s="593">
        <f>BY55</f>
        <v>-105.38472071175711</v>
      </c>
      <c r="BZ73" s="593">
        <f aca="true" t="shared" si="108" ref="BZ73:CK73">BZ55</f>
        <v>-104.93957965296393</v>
      </c>
      <c r="CA73" s="593">
        <f t="shared" si="108"/>
        <v>-89.11641665852505</v>
      </c>
      <c r="CB73" s="593">
        <f t="shared" si="108"/>
        <v>-71.95303155561062</v>
      </c>
      <c r="CC73" s="593">
        <f t="shared" si="108"/>
        <v>-41.844487622102385</v>
      </c>
      <c r="CD73" s="593">
        <f t="shared" si="108"/>
        <v>-16.093522063344224</v>
      </c>
      <c r="CE73" s="593">
        <f t="shared" si="108"/>
        <v>-6.449207324745012</v>
      </c>
      <c r="CF73" s="593">
        <f t="shared" si="108"/>
        <v>-111.43072821459599</v>
      </c>
      <c r="CG73" s="593">
        <f t="shared" si="108"/>
        <v>-94.62880675693968</v>
      </c>
      <c r="CH73" s="593">
        <f t="shared" si="108"/>
        <v>-76.40376233642601</v>
      </c>
      <c r="CI73" s="593">
        <f t="shared" si="108"/>
        <v>-44.43282261008963</v>
      </c>
      <c r="CJ73" s="593">
        <f t="shared" si="108"/>
        <v>-17.089003872386527</v>
      </c>
      <c r="CK73" s="593">
        <f t="shared" si="108"/>
        <v>-6.848129857007163</v>
      </c>
      <c r="CL73" s="659">
        <f>CG72</f>
        <v>-129.1975801138583</v>
      </c>
    </row>
    <row r="74" spans="2:90" ht="15.75">
      <c r="B74" s="460">
        <v>5.11849672317505</v>
      </c>
      <c r="C74" s="460">
        <v>4.993655339682976</v>
      </c>
      <c r="BY74" s="741" t="s">
        <v>274</v>
      </c>
      <c r="BZ74" s="741"/>
      <c r="CA74" s="741"/>
      <c r="CB74" s="741"/>
      <c r="CC74" s="741"/>
      <c r="CD74" s="741"/>
      <c r="CE74" s="741"/>
      <c r="CF74" s="591"/>
      <c r="CG74" s="591"/>
      <c r="CH74" s="591"/>
      <c r="CI74" s="591"/>
      <c r="CJ74" s="591"/>
      <c r="CK74" s="591"/>
      <c r="CL74" s="659">
        <f>CH72</f>
        <v>-105.49285145350684</v>
      </c>
    </row>
    <row r="75" spans="2:90" ht="15.75">
      <c r="B75" s="460">
        <v>5.0262349319458</v>
      </c>
      <c r="C75" s="460">
        <v>4.903643836044684</v>
      </c>
      <c r="BY75" s="593">
        <f>BY69*'Incentive effect'!P69*(1/6)</f>
        <v>431.4258067292965</v>
      </c>
      <c r="BZ75" s="591"/>
      <c r="CA75" s="591"/>
      <c r="CB75" s="591"/>
      <c r="CC75" s="591"/>
      <c r="CD75" s="591"/>
      <c r="CE75" s="591"/>
      <c r="CF75" s="591"/>
      <c r="CG75" s="591"/>
      <c r="CH75" s="591"/>
      <c r="CI75" s="591"/>
      <c r="CJ75" s="591"/>
      <c r="CK75" s="591"/>
      <c r="CL75" s="659">
        <f>CI72</f>
        <v>-61.9967719592403</v>
      </c>
    </row>
    <row r="76" spans="2:90" ht="15.75">
      <c r="B76" s="460">
        <v>4.840802021026611</v>
      </c>
      <c r="C76" s="460">
        <v>4.722733679050353</v>
      </c>
      <c r="BY76" s="592">
        <f>BY72/$BY$75</f>
        <v>-0.3251577761463775</v>
      </c>
      <c r="BZ76" s="592">
        <f aca="true" t="shared" si="109" ref="BZ76:CE76">BZ72/$BY$75</f>
        <v>-0.32699200999825034</v>
      </c>
      <c r="CA76" s="592">
        <f t="shared" si="109"/>
        <v>-0.2820217551205628</v>
      </c>
      <c r="CB76" s="592">
        <f t="shared" si="109"/>
        <v>-0.23027737124311332</v>
      </c>
      <c r="CC76" s="592">
        <f t="shared" si="109"/>
        <v>-0.13533100561439065</v>
      </c>
      <c r="CD76" s="592">
        <f t="shared" si="109"/>
        <v>-0.05181900886111308</v>
      </c>
      <c r="CE76" s="592">
        <f t="shared" si="109"/>
        <v>-0.02022418284802542</v>
      </c>
      <c r="CF76" s="592"/>
      <c r="CG76" s="592"/>
      <c r="CH76" s="592"/>
      <c r="CI76" s="592"/>
      <c r="CJ76" s="592"/>
      <c r="CK76" s="592"/>
      <c r="CL76" s="659">
        <f>CJ72</f>
        <v>-23.7389152687613</v>
      </c>
    </row>
    <row r="77" spans="2:90" ht="15.75">
      <c r="B77" s="460">
        <v>4.7822163772583</v>
      </c>
      <c r="C77" s="460">
        <v>4.6655769534227325</v>
      </c>
      <c r="BY77" s="591"/>
      <c r="BZ77" s="591"/>
      <c r="CA77" s="591"/>
      <c r="CB77" s="591"/>
      <c r="CC77" s="591"/>
      <c r="CD77" s="591"/>
      <c r="CE77" s="591"/>
      <c r="CF77" s="591"/>
      <c r="CG77" s="591"/>
      <c r="CH77" s="591"/>
      <c r="CI77" s="591"/>
      <c r="CJ77" s="591"/>
      <c r="CK77" s="591"/>
      <c r="CL77" s="659">
        <f>CK72</f>
        <v>-9.264942992174753</v>
      </c>
    </row>
    <row r="78" spans="2:90" ht="15.75">
      <c r="B78" s="460">
        <v>4.84901649475098</v>
      </c>
      <c r="C78" s="460">
        <v>4.730747799757054</v>
      </c>
      <c r="BY78" t="s">
        <v>275</v>
      </c>
      <c r="CL78" s="660"/>
    </row>
    <row r="79" spans="2:90" ht="15.75">
      <c r="B79" s="460">
        <v>5.026547260284421</v>
      </c>
      <c r="C79" s="460">
        <v>4.903948546618947</v>
      </c>
      <c r="BX79" s="596" t="s">
        <v>279</v>
      </c>
      <c r="BY79" s="124">
        <f>BY72/BY66</f>
        <v>-4.594524960878278</v>
      </c>
      <c r="BZ79" s="124">
        <f aca="true" t="shared" si="110" ref="BZ79:CE79">BZ72/BZ66</f>
        <v>-5.429994106032489</v>
      </c>
      <c r="CA79" s="124">
        <f t="shared" si="110"/>
        <v>-5.959634202004949</v>
      </c>
      <c r="CB79" s="124">
        <f t="shared" si="110"/>
        <v>-6.246960884572269</v>
      </c>
      <c r="CC79" s="124">
        <f t="shared" si="110"/>
        <v>-6.019056569101514</v>
      </c>
      <c r="CD79" s="124">
        <f t="shared" si="110"/>
        <v>-4.27445396998191</v>
      </c>
      <c r="CE79" s="124">
        <f t="shared" si="110"/>
        <v>-2.386380851773531</v>
      </c>
      <c r="CF79" s="124">
        <f aca="true" t="shared" si="111" ref="CF79:CK79">CF72/CF66</f>
        <v>-5.765872127915228</v>
      </c>
      <c r="CG79" s="124">
        <f t="shared" si="111"/>
        <v>-6.328273671556182</v>
      </c>
      <c r="CH79" s="124">
        <f t="shared" si="111"/>
        <v>-6.633373249616634</v>
      </c>
      <c r="CI79" s="124">
        <f t="shared" si="111"/>
        <v>-6.391371671945573</v>
      </c>
      <c r="CJ79" s="124">
        <f t="shared" si="111"/>
        <v>-4.538854835992306</v>
      </c>
      <c r="CK79" s="124">
        <f t="shared" si="111"/>
        <v>-2.5339929604242695</v>
      </c>
      <c r="CL79" s="661">
        <f>CF79</f>
        <v>-5.765872127915228</v>
      </c>
    </row>
    <row r="80" spans="2:90" ht="15.75">
      <c r="B80" s="460">
        <v>5.16989643096924</v>
      </c>
      <c r="C80" s="460">
        <v>5.043801396067552</v>
      </c>
      <c r="BX80" s="596" t="s">
        <v>269</v>
      </c>
      <c r="BY80" s="124">
        <f>BY73/BY67</f>
        <v>-7.189469836745414</v>
      </c>
      <c r="BZ80" s="124">
        <f aca="true" t="shared" si="112" ref="BZ80:CE80">BZ73/BZ67</f>
        <v>-8.53812857284962</v>
      </c>
      <c r="CA80" s="124">
        <f t="shared" si="112"/>
        <v>-9.187328134712224</v>
      </c>
      <c r="CB80" s="124">
        <f t="shared" si="112"/>
        <v>-9.46891964431567</v>
      </c>
      <c r="CC80" s="124">
        <f t="shared" si="112"/>
        <v>-8.883031368369657</v>
      </c>
      <c r="CD80" s="124">
        <f t="shared" si="112"/>
        <v>-6.1205865691775</v>
      </c>
      <c r="CE80" s="124">
        <f t="shared" si="112"/>
        <v>-3.400401848686465</v>
      </c>
      <c r="CF80" s="124">
        <f aca="true" t="shared" si="113" ref="CF80:CK80">CF73/CF67</f>
        <v>-9.066263535729824</v>
      </c>
      <c r="CG80" s="124">
        <f t="shared" si="113"/>
        <v>-9.755620022330769</v>
      </c>
      <c r="CH80" s="124">
        <f t="shared" si="113"/>
        <v>-10.054629672244815</v>
      </c>
      <c r="CI80" s="124">
        <f t="shared" si="113"/>
        <v>-9.4325006580353</v>
      </c>
      <c r="CJ80" s="124">
        <f t="shared" si="113"/>
        <v>-6.499181917436447</v>
      </c>
      <c r="CK80" s="124">
        <f t="shared" si="113"/>
        <v>-3.6107372973519394</v>
      </c>
      <c r="CL80" s="661">
        <f>CG79</f>
        <v>-6.328273671556182</v>
      </c>
    </row>
    <row r="81" spans="2:90" ht="15.75">
      <c r="B81" s="470">
        <v>5.218754119873051</v>
      </c>
      <c r="C81" s="470">
        <v>5.091467434022489</v>
      </c>
      <c r="CD81" s="742">
        <v>38747</v>
      </c>
      <c r="CE81" s="743"/>
      <c r="CF81" s="44"/>
      <c r="CG81" s="44"/>
      <c r="CH81" s="44"/>
      <c r="CI81" s="44"/>
      <c r="CJ81" s="44"/>
      <c r="CK81" s="44"/>
      <c r="CL81" s="661">
        <f>CH79</f>
        <v>-6.633373249616634</v>
      </c>
    </row>
    <row r="82" spans="2:90" ht="15.75">
      <c r="B82" s="460">
        <v>5.353616065979001</v>
      </c>
      <c r="C82" s="513">
        <v>5.223040064369757</v>
      </c>
      <c r="CL82" s="661">
        <f>CI79</f>
        <v>-6.391371671945573</v>
      </c>
    </row>
    <row r="83" spans="2:90" ht="15.75">
      <c r="B83" s="460">
        <v>5.43650991439819</v>
      </c>
      <c r="C83" s="513">
        <v>5.303912111607991</v>
      </c>
      <c r="CL83" s="661">
        <f>CJ79</f>
        <v>-4.538854835992306</v>
      </c>
    </row>
    <row r="84" spans="2:90" ht="15.75">
      <c r="B84" s="460">
        <v>5.508484668731691</v>
      </c>
      <c r="C84" s="513">
        <v>5.3741313841284795</v>
      </c>
      <c r="CL84" s="661">
        <f>CK79</f>
        <v>-2.5339929604242695</v>
      </c>
    </row>
    <row r="85" spans="2:3" ht="12.75">
      <c r="B85" s="460">
        <v>5.6243699264526406</v>
      </c>
      <c r="C85" s="513">
        <v>5.487190172148918</v>
      </c>
    </row>
    <row r="86" spans="2:3" ht="12.75">
      <c r="B86" s="460">
        <v>5.75312168121338</v>
      </c>
      <c r="C86" s="513">
        <v>5.612801640208176</v>
      </c>
    </row>
    <row r="87" spans="2:3" ht="12.75">
      <c r="B87" s="460">
        <v>5.833718605041501</v>
      </c>
      <c r="C87" s="513">
        <v>5.6914327854063425</v>
      </c>
    </row>
    <row r="88" spans="2:3" ht="12.75">
      <c r="B88" s="460">
        <v>5.93260366439819</v>
      </c>
      <c r="C88" s="513">
        <v>5.7879060140470155</v>
      </c>
    </row>
    <row r="89" spans="2:3" ht="12.75">
      <c r="B89" s="460">
        <v>5.99089939117432</v>
      </c>
      <c r="C89" s="513">
        <v>5.844779893828606</v>
      </c>
    </row>
    <row r="90" spans="2:3" ht="12.75">
      <c r="B90" s="460">
        <v>6.071451492309571</v>
      </c>
      <c r="C90" s="513">
        <v>5.923367309570313</v>
      </c>
    </row>
    <row r="91" spans="2:3" ht="12.75">
      <c r="B91" s="460">
        <v>6.239461727142331</v>
      </c>
      <c r="C91" s="461">
        <v>6.087279733797397</v>
      </c>
    </row>
    <row r="92" spans="2:3" ht="12.75">
      <c r="B92" s="460">
        <v>6.323070514286038</v>
      </c>
      <c r="C92" s="461">
        <v>6.168849282230282</v>
      </c>
    </row>
    <row r="93" spans="2:3" ht="12.75">
      <c r="B93" s="460">
        <v>6.4077996591774715</v>
      </c>
      <c r="C93" s="513">
        <v>6.251511862612168</v>
      </c>
    </row>
    <row r="94" spans="2:3" ht="12.75">
      <c r="B94" s="460">
        <v>6.49366417461045</v>
      </c>
      <c r="C94" s="513">
        <v>6.335282121571172</v>
      </c>
    </row>
    <row r="95" spans="2:3" ht="12.75">
      <c r="B95" s="460">
        <v>6.580679274550231</v>
      </c>
      <c r="C95" s="513">
        <v>6.420174902000226</v>
      </c>
    </row>
    <row r="96" spans="2:3" ht="12.75">
      <c r="B96" s="460">
        <v>6.668860376829205</v>
      </c>
      <c r="C96" s="513">
        <v>6.506205245687029</v>
      </c>
    </row>
    <row r="97" spans="2:3" ht="12.75">
      <c r="B97" s="460">
        <v>6.7582231058787166</v>
      </c>
      <c r="C97" s="513">
        <v>6.593388395979236</v>
      </c>
    </row>
    <row r="98" spans="2:3" ht="12.75">
      <c r="B98" s="460">
        <v>6.848783295497492</v>
      </c>
      <c r="C98" s="513">
        <v>6.681739800485359</v>
      </c>
    </row>
    <row r="99" spans="2:3" ht="12.75">
      <c r="B99" s="460">
        <v>6.940556991657159</v>
      </c>
      <c r="C99" s="513">
        <v>6.771275113811863</v>
      </c>
    </row>
    <row r="100" spans="2:3" ht="12.75">
      <c r="B100" s="460">
        <v>7.0335604553453654</v>
      </c>
      <c r="C100" s="513">
        <v>6.862010200336942</v>
      </c>
    </row>
    <row r="101" spans="2:3" ht="12.75">
      <c r="B101" s="460">
        <v>7.127810165446994</v>
      </c>
      <c r="C101" s="513">
        <v>6.953961137021459</v>
      </c>
    </row>
    <row r="102" spans="2:3" ht="12.75">
      <c r="B102" s="460">
        <v>7.223322821663984</v>
      </c>
      <c r="C102" s="513">
        <v>7.047144216257546</v>
      </c>
    </row>
    <row r="103" spans="2:3" ht="12.75">
      <c r="B103" s="460">
        <v>7.320115347474283</v>
      </c>
      <c r="C103" s="513">
        <v>7.141575948755398</v>
      </c>
    </row>
    <row r="104" spans="2:3" ht="12.75">
      <c r="B104" s="460">
        <v>7.418204893130438</v>
      </c>
      <c r="C104" s="513">
        <v>7.237273066468721</v>
      </c>
    </row>
    <row r="105" spans="2:3" ht="12.75">
      <c r="B105" s="460">
        <v>7.517608838698386</v>
      </c>
      <c r="C105" s="513">
        <v>7.3342525255594015</v>
      </c>
    </row>
    <row r="106" spans="2:3" ht="13.5" thickBot="1">
      <c r="B106" s="519">
        <v>7.618344797136945</v>
      </c>
      <c r="C106" s="518">
        <v>7.432531509401898</v>
      </c>
    </row>
    <row r="107" spans="2:3" ht="13.5" thickTop="1">
      <c r="B107" s="460">
        <f>AVERAGE(B67:B76)</f>
        <v>5.585855312347413</v>
      </c>
      <c r="C107" s="460">
        <f>AVERAGE(C67:C76)</f>
        <v>5.449614938875525</v>
      </c>
    </row>
    <row r="108" spans="2:3" ht="12.75">
      <c r="B108" s="513"/>
      <c r="C108" s="513"/>
    </row>
    <row r="109" spans="2:3" ht="12.75">
      <c r="B109" s="513"/>
      <c r="C109" s="513"/>
    </row>
    <row r="110" spans="2:3" ht="12.75">
      <c r="B110" s="513"/>
      <c r="C110" s="513"/>
    </row>
    <row r="111" spans="2:3" ht="12.75">
      <c r="B111" s="513">
        <f>AVERAGE(B67:B86)</f>
        <v>5.429054303169252</v>
      </c>
      <c r="C111" s="513">
        <f>AVERAGE(C67:C86)</f>
        <v>5.296638344555367</v>
      </c>
    </row>
    <row r="112" spans="2:3" ht="12.75">
      <c r="B112" s="85"/>
      <c r="C112" s="565"/>
    </row>
    <row r="115" spans="2:3" ht="12.75">
      <c r="B115" s="513">
        <f>AVERAGE(B77:B86)</f>
        <v>5.272253293991088</v>
      </c>
      <c r="C115" s="513">
        <f>AVERAGE(C77:C86)</f>
        <v>5.14366175023521</v>
      </c>
    </row>
    <row r="116" spans="2:3" ht="12.75">
      <c r="B116" s="8"/>
      <c r="C116" s="588"/>
    </row>
  </sheetData>
  <mergeCells count="38">
    <mergeCell ref="CW10:CW11"/>
    <mergeCell ref="CP31:CP32"/>
    <mergeCell ref="E2:G2"/>
    <mergeCell ref="H2:O2"/>
    <mergeCell ref="AR7:AX7"/>
    <mergeCell ref="D8:I8"/>
    <mergeCell ref="W7:AC7"/>
    <mergeCell ref="AD7:AJ7"/>
    <mergeCell ref="AK7:AQ7"/>
    <mergeCell ref="CT8:CT11"/>
    <mergeCell ref="B2:D2"/>
    <mergeCell ref="B1:O1"/>
    <mergeCell ref="E3:F4"/>
    <mergeCell ref="E5:F6"/>
    <mergeCell ref="H3:I4"/>
    <mergeCell ref="H5:I6"/>
    <mergeCell ref="B7:C7"/>
    <mergeCell ref="D7:I7"/>
    <mergeCell ref="J7:O7"/>
    <mergeCell ref="P7:V7"/>
    <mergeCell ref="AY7:BE7"/>
    <mergeCell ref="BF7:BL7"/>
    <mergeCell ref="BM7:BR7"/>
    <mergeCell ref="BS7:BX7"/>
    <mergeCell ref="BY71:CE71"/>
    <mergeCell ref="BY74:CE74"/>
    <mergeCell ref="CD81:CE81"/>
    <mergeCell ref="BY7:CE7"/>
    <mergeCell ref="BY68:CE68"/>
    <mergeCell ref="BY63:CE63"/>
    <mergeCell ref="BY65:CE65"/>
    <mergeCell ref="CF7:CK7"/>
    <mergeCell ref="CM6:CM8"/>
    <mergeCell ref="CV9:CV10"/>
    <mergeCell ref="CQ9:CQ11"/>
    <mergeCell ref="CR9:CR11"/>
    <mergeCell ref="CS9:CS11"/>
    <mergeCell ref="CU9:CU11"/>
  </mergeCells>
  <printOptions/>
  <pageMargins left="0.75" right="0.49" top="1" bottom="1" header="0.5" footer="0.5"/>
  <pageSetup horizontalDpi="600" verticalDpi="600" orientation="landscape" scale="60" r:id="rId1"/>
  <headerFooter alignWithMargins="0">
    <oddHeader>&amp;L&amp;20DGEAII slope deep wells.xls&amp;R&amp;20Net forgone royalty  &amp;P</oddHeader>
  </headerFooter>
  <colBreaks count="1" manualBreakCount="1">
    <brk id="22" min="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frasers</dc:creator>
  <cp:keywords/>
  <dc:description/>
  <cp:lastModifiedBy>MMS</cp:lastModifiedBy>
  <cp:lastPrinted>2006-11-28T16:37:24Z</cp:lastPrinted>
  <dcterms:created xsi:type="dcterms:W3CDTF">2003-07-28T17:34:18Z</dcterms:created>
  <dcterms:modified xsi:type="dcterms:W3CDTF">2007-05-24T16:42:33Z</dcterms:modified>
  <cp:category/>
  <cp:version/>
  <cp:contentType/>
  <cp:contentStatus/>
</cp:coreProperties>
</file>