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0395" windowHeight="8640" tabRatio="631" activeTab="1"/>
  </bookViews>
  <sheets>
    <sheet name="User's Guide" sheetId="1" r:id="rId1"/>
    <sheet name="Project Description" sheetId="2" r:id="rId2"/>
    <sheet name="ERR &amp; Sensitivity Analysis" sheetId="3" r:id="rId3"/>
    <sheet name="Land" sheetId="4" r:id="rId4"/>
  </sheets>
  <definedNames>
    <definedName name="CBWorkbookPriority" hidden="1">-1802979258</definedName>
  </definedNames>
  <calcPr fullCalcOnLoad="1"/>
</workbook>
</file>

<file path=xl/comments4.xml><?xml version="1.0" encoding="utf-8"?>
<comments xmlns="http://schemas.openxmlformats.org/spreadsheetml/2006/main">
  <authors>
    <author>Steve Anderson</author>
    <author>Andersonsc</author>
    <author>breitbarthtj</author>
  </authors>
  <commentList>
    <comment ref="C183" authorId="0">
      <text>
        <r>
          <rPr>
            <b/>
            <sz val="8"/>
            <rFont val="Tahoma"/>
            <family val="0"/>
          </rPr>
          <t>MCC:</t>
        </r>
        <r>
          <rPr>
            <sz val="8"/>
            <rFont val="Tahoma"/>
            <family val="0"/>
          </rPr>
          <t xml:space="preserve">
That is, revenue net of costs.</t>
        </r>
      </text>
    </comment>
    <comment ref="X186" authorId="0">
      <text>
        <r>
          <rPr>
            <b/>
            <sz val="8"/>
            <rFont val="Tahoma"/>
            <family val="0"/>
          </rPr>
          <t>MCC:</t>
        </r>
        <r>
          <rPr>
            <sz val="8"/>
            <rFont val="Tahoma"/>
            <family val="0"/>
          </rPr>
          <t xml:space="preserve">
Selling no wood during this time, but intercropping food crops on a fraction of the hectarage is possible.</t>
        </r>
      </text>
    </comment>
    <comment ref="X187" authorId="0">
      <text>
        <r>
          <rPr>
            <b/>
            <sz val="8"/>
            <rFont val="Tahoma"/>
            <family val="0"/>
          </rPr>
          <t>MCC:</t>
        </r>
        <r>
          <rPr>
            <sz val="8"/>
            <rFont val="Tahoma"/>
            <family val="0"/>
          </rPr>
          <t xml:space="preserve">
We use 15y, however consistent with the rest of the land project.</t>
        </r>
      </text>
    </comment>
    <comment ref="C189" authorId="0">
      <text>
        <r>
          <rPr>
            <b/>
            <sz val="8"/>
            <rFont val="Tahoma"/>
            <family val="0"/>
          </rPr>
          <t>MCC:</t>
        </r>
        <r>
          <rPr>
            <sz val="8"/>
            <rFont val="Tahoma"/>
            <family val="0"/>
          </rPr>
          <t xml:space="preserve">
IMF SISA 11/04 (Tab. 12) retail corn price = 128; assume price to farmers is 2/3 of this.</t>
        </r>
      </text>
    </comment>
    <comment ref="F194" authorId="0">
      <text>
        <r>
          <rPr>
            <b/>
            <sz val="8"/>
            <rFont val="Tahoma"/>
            <family val="0"/>
          </rPr>
          <t>MCC:</t>
        </r>
        <r>
          <rPr>
            <sz val="8"/>
            <rFont val="Tahoma"/>
            <family val="0"/>
          </rPr>
          <t xml:space="preserve">
Assume food crop agriculture is the alternative, so subtract this net value.</t>
        </r>
      </text>
    </comment>
    <comment ref="C192" authorId="0">
      <text>
        <r>
          <rPr>
            <b/>
            <sz val="8"/>
            <rFont val="Tahoma"/>
            <family val="0"/>
          </rPr>
          <t>MCC:</t>
        </r>
        <r>
          <rPr>
            <sz val="8"/>
            <rFont val="Tahoma"/>
            <family val="0"/>
          </rPr>
          <t xml:space="preserve">
Without PFR, assumes simple cropping pattern of equal area shares of above crops.</t>
        </r>
      </text>
    </comment>
    <comment ref="H183" authorId="0">
      <text>
        <r>
          <rPr>
            <b/>
            <sz val="8"/>
            <rFont val="Tahoma"/>
            <family val="0"/>
          </rPr>
          <t>MCC:</t>
        </r>
        <r>
          <rPr>
            <sz val="8"/>
            <rFont val="Tahoma"/>
            <family val="0"/>
          </rPr>
          <t xml:space="preserve">
Assuming value-proportional cropping pattern.</t>
        </r>
      </text>
    </comment>
    <comment ref="F175" authorId="0">
      <text>
        <r>
          <rPr>
            <b/>
            <sz val="8"/>
            <rFont val="Tahoma"/>
            <family val="0"/>
          </rPr>
          <t>MCC:</t>
        </r>
        <r>
          <rPr>
            <sz val="8"/>
            <rFont val="Tahoma"/>
            <family val="0"/>
          </rPr>
          <t xml:space="preserve">
Women.</t>
        </r>
      </text>
    </comment>
    <comment ref="B180" authorId="0">
      <text>
        <r>
          <rPr>
            <b/>
            <sz val="8"/>
            <rFont val="Tahoma"/>
            <family val="0"/>
          </rPr>
          <t>MCC:</t>
        </r>
        <r>
          <rPr>
            <sz val="8"/>
            <rFont val="Tahoma"/>
            <family val="0"/>
          </rPr>
          <t xml:space="preserve">
That is, these women belong to households of these sizes.  We add one to the national average because PFRs are exclusively in rural areas.</t>
        </r>
      </text>
    </comment>
    <comment ref="D156" authorId="1">
      <text>
        <r>
          <rPr>
            <b/>
            <sz val="8"/>
            <rFont val="Tahoma"/>
            <family val="0"/>
          </rPr>
          <t>MCC:</t>
        </r>
        <r>
          <rPr>
            <sz val="8"/>
            <rFont val="Tahoma"/>
            <family val="0"/>
          </rPr>
          <t xml:space="preserve">
25% of average of Nicaragua and Honduras studies, 30% and 20%</t>
        </r>
      </text>
    </comment>
    <comment ref="E138" authorId="0">
      <text>
        <r>
          <rPr>
            <b/>
            <sz val="8"/>
            <rFont val="Tahoma"/>
            <family val="0"/>
          </rPr>
          <t>MCC:</t>
        </r>
        <r>
          <rPr>
            <sz val="8"/>
            <rFont val="Tahoma"/>
            <family val="0"/>
          </rPr>
          <t xml:space="preserve">
Assumed const in real terms</t>
        </r>
      </text>
    </comment>
    <comment ref="G175" authorId="0">
      <text>
        <r>
          <rPr>
            <b/>
            <sz val="8"/>
            <rFont val="Tahoma"/>
            <family val="0"/>
          </rPr>
          <t>MCC:</t>
        </r>
        <r>
          <rPr>
            <sz val="8"/>
            <rFont val="Tahoma"/>
            <family val="0"/>
          </rPr>
          <t xml:space="preserve">
From spreadsheet received in Cotonou from Land specialist, Oct. 2005</t>
        </r>
      </text>
    </comment>
    <comment ref="D163" authorId="2">
      <text>
        <r>
          <rPr>
            <b/>
            <sz val="8"/>
            <rFont val="Tahoma"/>
            <family val="0"/>
          </rPr>
          <t>MCC:</t>
        </r>
        <r>
          <rPr>
            <sz val="8"/>
            <rFont val="Tahoma"/>
            <family val="0"/>
          </rPr>
          <t xml:space="preserve">
Rural Land Plan - a process by which rural communities identify the informal land rights that are recognized by the communities and holders themselves</t>
        </r>
      </text>
    </comment>
    <comment ref="M5" authorId="0">
      <text>
        <r>
          <rPr>
            <b/>
            <sz val="8"/>
            <rFont val="Tahoma"/>
            <family val="0"/>
          </rPr>
          <t>MCC:</t>
        </r>
        <r>
          <rPr>
            <sz val="8"/>
            <rFont val="Tahoma"/>
            <family val="0"/>
          </rPr>
          <t xml:space="preserve">
MO = Management Overhead.</t>
        </r>
      </text>
    </comment>
  </commentList>
</comments>
</file>

<file path=xl/sharedStrings.xml><?xml version="1.0" encoding="utf-8"?>
<sst xmlns="http://schemas.openxmlformats.org/spreadsheetml/2006/main" count="426" uniqueCount="276">
  <si>
    <t>CFA</t>
  </si>
  <si>
    <t>to</t>
  </si>
  <si>
    <t>Year</t>
  </si>
  <si>
    <t>Project costs</t>
  </si>
  <si>
    <t>Reduction in cost and time for land registration and delivering land title deeds</t>
  </si>
  <si>
    <t>Project benefits</t>
  </si>
  <si>
    <t>CFA/US$</t>
  </si>
  <si>
    <t>Exchange rate</t>
  </si>
  <si>
    <t>Reduced from</t>
  </si>
  <si>
    <t>Urban areas</t>
  </si>
  <si>
    <t>Rural areas</t>
  </si>
  <si>
    <t>Number of PFRs</t>
  </si>
  <si>
    <t>Land certificates</t>
  </si>
  <si>
    <t>Land titles</t>
  </si>
  <si>
    <t>Total land area covered by titles (urban and rural)</t>
  </si>
  <si>
    <t>SUM</t>
  </si>
  <si>
    <t>total</t>
  </si>
  <si>
    <t>Unit</t>
  </si>
  <si>
    <t>number</t>
  </si>
  <si>
    <t>implies savings of</t>
  </si>
  <si>
    <t>USD</t>
  </si>
  <si>
    <t>(assume prop. to spending, lagged 1 year)</t>
  </si>
  <si>
    <t>Increase in land values</t>
  </si>
  <si>
    <t>Plan Foncier Rurale (PFR)</t>
  </si>
  <si>
    <t xml:space="preserve">Geographic zone </t>
  </si>
  <si>
    <t xml:space="preserve">Nord </t>
  </si>
  <si>
    <t>Centre</t>
  </si>
  <si>
    <t>Sud</t>
  </si>
  <si>
    <t xml:space="preserve">Total </t>
  </si>
  <si>
    <t>Crop</t>
  </si>
  <si>
    <t>Groundnut</t>
  </si>
  <si>
    <t>Cotton</t>
  </si>
  <si>
    <t>Output without PFR</t>
  </si>
  <si>
    <t>Cashew nut</t>
  </si>
  <si>
    <t>Corn</t>
  </si>
  <si>
    <t>Teak</t>
  </si>
  <si>
    <t>Eucalyptus</t>
  </si>
  <si>
    <t>Growing period</t>
  </si>
  <si>
    <t>Size of plantation</t>
  </si>
  <si>
    <t>ha</t>
  </si>
  <si>
    <t>y</t>
  </si>
  <si>
    <t>Investment cost</t>
  </si>
  <si>
    <t>Time horizon</t>
  </si>
  <si>
    <t>Maintenance cost</t>
  </si>
  <si>
    <t>Trees/ha</t>
  </si>
  <si>
    <t>Price per tree</t>
  </si>
  <si>
    <t>CFA/tree</t>
  </si>
  <si>
    <t>Cropping density</t>
  </si>
  <si>
    <t>Net benefit flow</t>
  </si>
  <si>
    <t>ERR</t>
  </si>
  <si>
    <t>NPV @ 4.6%</t>
  </si>
  <si>
    <t>%</t>
  </si>
  <si>
    <t>Revenues from wood</t>
  </si>
  <si>
    <t>CFA/ha</t>
  </si>
  <si>
    <t>Intercropping area percentage</t>
  </si>
  <si>
    <t>Intercropping fraction marketed</t>
  </si>
  <si>
    <t>Black-eyed pea</t>
  </si>
  <si>
    <t>CFA/kg</t>
  </si>
  <si>
    <t>Net value</t>
  </si>
  <si>
    <t>Output with PFR</t>
  </si>
  <si>
    <t>tons/ha</t>
  </si>
  <si>
    <t>Agricultural production</t>
  </si>
  <si>
    <t>Value-proportional cropping pattern</t>
  </si>
  <si>
    <t>Net incr. revenue per ha &amp; by crop due to PFR</t>
  </si>
  <si>
    <t>Expected incr. revenue per ha due to PFR</t>
  </si>
  <si>
    <t>CFA/ft</t>
  </si>
  <si>
    <t>ft/ha</t>
  </si>
  <si>
    <t>Revenues from intercropping</t>
  </si>
  <si>
    <r>
      <t xml:space="preserve">Costs and revenues in CFA/ha, unless otherwise specified.  Counterfactual is that plantation </t>
    </r>
    <r>
      <rPr>
        <i/>
        <sz val="10"/>
        <rFont val="Arial"/>
        <family val="2"/>
      </rPr>
      <t>does not get planted</t>
    </r>
    <r>
      <rPr>
        <sz val="10"/>
        <rFont val="Arial"/>
        <family val="0"/>
      </rPr>
      <t xml:space="preserve"> without PFR</t>
    </r>
  </si>
  <si>
    <t>Net revenue from food crop agriculture =</t>
  </si>
  <si>
    <t>Parcels per village</t>
  </si>
  <si>
    <t>Hectares per parcel</t>
  </si>
  <si>
    <t>Land prices</t>
  </si>
  <si>
    <t>Oueme &amp; Plateau</t>
  </si>
  <si>
    <t>Zou &amp; Plateau</t>
  </si>
  <si>
    <t>Mono &amp; Couffo</t>
  </si>
  <si>
    <t>Atlantique &amp; Littoral</t>
  </si>
  <si>
    <t>Atacora &amp; Donga</t>
  </si>
  <si>
    <t>Localities ↓</t>
  </si>
  <si>
    <t>Number of new PFRs</t>
  </si>
  <si>
    <t>Number of existing PFRs</t>
  </si>
  <si>
    <t>No. of association members</t>
  </si>
  <si>
    <t>Size of extended family</t>
  </si>
  <si>
    <t>PFR hectares per parcel by zone</t>
  </si>
  <si>
    <t>Ag. production</t>
  </si>
  <si>
    <t>Hectares under PFR by zone</t>
  </si>
  <si>
    <t>Year 1</t>
  </si>
  <si>
    <t>Year 2</t>
  </si>
  <si>
    <t>Year 3</t>
  </si>
  <si>
    <t>Percentage</t>
  </si>
  <si>
    <t>Assumed distribution of new village PFRs across zones, by year</t>
  </si>
  <si>
    <t>rural (CFA/ha)</t>
  </si>
  <si>
    <r>
      <t>urban (CFA/m</t>
    </r>
    <r>
      <rPr>
        <vertAlign val="superscript"/>
        <sz val="10"/>
        <rFont val="Arial"/>
        <family val="2"/>
      </rPr>
      <t>2</t>
    </r>
    <r>
      <rPr>
        <sz val="10"/>
        <rFont val="Arial"/>
        <family val="0"/>
      </rPr>
      <t>)</t>
    </r>
  </si>
  <si>
    <t>Average</t>
  </si>
  <si>
    <t>Averages</t>
  </si>
  <si>
    <t>Population (2005) est.</t>
  </si>
  <si>
    <t>Population (1992)</t>
  </si>
  <si>
    <t>Population fraction (1992)</t>
  </si>
  <si>
    <t>Borgou &amp; Alibori &amp; Collines</t>
  </si>
  <si>
    <t>Pop. frac's rur/urb (1992)</t>
  </si>
  <si>
    <t>Total pop'n (2005) (est.)</t>
  </si>
  <si>
    <t>Sum</t>
  </si>
  <si>
    <t>Cotonou</t>
  </si>
  <si>
    <t>Oporto-Novo</t>
  </si>
  <si>
    <t>Parakou</t>
  </si>
  <si>
    <t>Dassa</t>
  </si>
  <si>
    <t>Savalou</t>
  </si>
  <si>
    <t>Savè</t>
  </si>
  <si>
    <t>Djougou</t>
  </si>
  <si>
    <t>Natitingou</t>
  </si>
  <si>
    <t>Nikki</t>
  </si>
  <si>
    <t>Tanguiéta</t>
  </si>
  <si>
    <t>Ouidah</t>
  </si>
  <si>
    <t>Aplahoué</t>
  </si>
  <si>
    <t>Like</t>
  </si>
  <si>
    <t>Dangbo</t>
  </si>
  <si>
    <t>Adja-Ouèrè</t>
  </si>
  <si>
    <t>Sakété</t>
  </si>
  <si>
    <t>Glazoué</t>
  </si>
  <si>
    <t>Bembèrèkè</t>
  </si>
  <si>
    <t>Kandi</t>
  </si>
  <si>
    <t>Bohicon</t>
  </si>
  <si>
    <t>Urban centers</t>
  </si>
  <si>
    <t>Communes</t>
  </si>
  <si>
    <t>both</t>
  </si>
  <si>
    <t>Price (CFA/ha)</t>
  </si>
  <si>
    <t>Rural</t>
  </si>
  <si>
    <t>(not available; set to geom mean)</t>
  </si>
  <si>
    <t>(not used)</t>
  </si>
  <si>
    <r>
      <t>m</t>
    </r>
    <r>
      <rPr>
        <vertAlign val="superscript"/>
        <sz val="10"/>
        <rFont val="Arial"/>
        <family val="2"/>
      </rPr>
      <t>2</t>
    </r>
    <r>
      <rPr>
        <sz val="10"/>
        <rFont val="Arial"/>
        <family val="0"/>
      </rPr>
      <t>/ha</t>
    </r>
  </si>
  <si>
    <t>Average size of plots</t>
  </si>
  <si>
    <t>times larger than urban plots</t>
  </si>
  <si>
    <t>Assume rural plots</t>
  </si>
  <si>
    <t>Urban hectares titled by year</t>
  </si>
  <si>
    <t>Increment in real land value due to titling =</t>
  </si>
  <si>
    <t>Phased in linearly over three years, with one year delay:</t>
  </si>
  <si>
    <t>Urban land values per hectare w/ project, Y1 tranche</t>
  </si>
  <si>
    <t>Urban land values per hectare w/ project, Y2 tranche</t>
  </si>
  <si>
    <t>Urban land values per hectare w/ project, Y3 tranche</t>
  </si>
  <si>
    <t>Urban land values per hectare w/ project, Y4 tranche</t>
  </si>
  <si>
    <t>Urban land values per hectare w/o project</t>
  </si>
  <si>
    <t>Incremental urban land values, Y1 tranche</t>
  </si>
  <si>
    <t>Incremental urban land values, Y2 tranche</t>
  </si>
  <si>
    <t>Incremental urban land values, Y3 tranche</t>
  </si>
  <si>
    <t>Incremental urban land values, Y4 tranche</t>
  </si>
  <si>
    <t>US$</t>
  </si>
  <si>
    <t>Total incremental increase in urban land values, across tranches</t>
  </si>
  <si>
    <t>Product/crop</t>
  </si>
  <si>
    <t>Net benefit flow, US$/ha</t>
  </si>
  <si>
    <t>Incremental agricultural revenue due to PFRs ($US)</t>
  </si>
  <si>
    <t>$US/ha</t>
  </si>
  <si>
    <t>Distribution of new PFR hectares across zones, by year</t>
  </si>
  <si>
    <t>Year 3 PFRs</t>
  </si>
  <si>
    <t>Year 2 PFRs</t>
  </si>
  <si>
    <t>Year 1 PFRs</t>
  </si>
  <si>
    <t>$US</t>
  </si>
  <si>
    <t>TOTAL incremental agricultural revenue from all PFRs</t>
  </si>
  <si>
    <t>TOTAL benefit, Land project</t>
  </si>
  <si>
    <t>TOTAL benefit, Land project, less high costs</t>
  </si>
  <si>
    <t>TOTAL benefit, Land project, less low costs</t>
  </si>
  <si>
    <t>ERR, high costs</t>
  </si>
  <si>
    <t>ERR, low costs</t>
  </si>
  <si>
    <t>P1</t>
  </si>
  <si>
    <t>Q1</t>
  </si>
  <si>
    <t>P2</t>
  </si>
  <si>
    <t>Q2</t>
  </si>
  <si>
    <t>Demand elasticity</t>
  </si>
  <si>
    <t>Urban</t>
  </si>
  <si>
    <r>
      <t xml:space="preserve">ASSUME </t>
    </r>
    <r>
      <rPr>
        <sz val="10"/>
        <rFont val="Arial"/>
        <family val="2"/>
      </rPr>
      <t>ε</t>
    </r>
    <r>
      <rPr>
        <sz val="10"/>
        <rFont val="Arial"/>
        <family val="0"/>
      </rPr>
      <t xml:space="preserve"> = 0.7</t>
    </r>
  </si>
  <si>
    <t>Present worth factor at</t>
  </si>
  <si>
    <t>Discounted TOTAL benefit, Land project</t>
  </si>
  <si>
    <t>Demand elasticity ε</t>
  </si>
  <si>
    <t>Total red'n in transaction costs due to PH--&gt;TF conversion (based on base quantity Q1 only) = (P1 - P2)*Q1:</t>
  </si>
  <si>
    <t>One-time benefit of increase in land values, 5y after titling</t>
  </si>
  <si>
    <t>Project name</t>
  </si>
  <si>
    <t>Spreadsheet version</t>
  </si>
  <si>
    <t>Investment memo, final</t>
  </si>
  <si>
    <t>Date</t>
  </si>
  <si>
    <t>Amount of MCC funds</t>
  </si>
  <si>
    <t>Project description</t>
  </si>
  <si>
    <t>Benefit streams included in ERR</t>
  </si>
  <si>
    <t>Costs included in ERR (other than costs borne by MCC)</t>
  </si>
  <si>
    <t>Estimated ERR and time horizon</t>
  </si>
  <si>
    <t>Worksheets in this file</t>
  </si>
  <si>
    <t>Project Description</t>
  </si>
  <si>
    <t>ERR &amp; Sensitivity Analysis</t>
  </si>
  <si>
    <t>A brief summary of the activity's key parameters and ERR calculations.</t>
  </si>
  <si>
    <t>Benin: Land</t>
  </si>
  <si>
    <t>Access to Land</t>
  </si>
  <si>
    <t>Land</t>
  </si>
  <si>
    <t>ERR and sensitivity analysis</t>
  </si>
  <si>
    <t>Description of key parameters</t>
  </si>
  <si>
    <t>Parameter values</t>
  </si>
  <si>
    <t>Values used in ERR computation</t>
  </si>
  <si>
    <t>Economic rate of return (ERR):</t>
  </si>
  <si>
    <t>Summary</t>
  </si>
  <si>
    <t>Components</t>
  </si>
  <si>
    <t>Economic Rationale</t>
  </si>
  <si>
    <t>Actual costs as a percentage of estimated costs</t>
  </si>
  <si>
    <t>Actual benefits as a percentage of estimated benefits</t>
  </si>
  <si>
    <t>User Input</t>
  </si>
  <si>
    <t>MCC Estimate</t>
  </si>
  <si>
    <t>80 - 120%</t>
  </si>
  <si>
    <t>All summary parameters set to initial values?</t>
  </si>
  <si>
    <t>Parameter type</t>
  </si>
  <si>
    <t>Plausible range</t>
  </si>
  <si>
    <t>Last updated:  11/17/2005</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</si>
  <si>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</si>
  <si>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r>
      <t xml:space="preserve">MCC Estimated ERR </t>
    </r>
    <r>
      <rPr>
        <b/>
        <sz val="8"/>
        <rFont val="Arial"/>
        <family val="2"/>
      </rPr>
      <t>(as of 11/17/2005)</t>
    </r>
    <r>
      <rPr>
        <b/>
        <sz val="10"/>
        <rFont val="Arial"/>
        <family val="2"/>
      </rPr>
      <t>:</t>
    </r>
  </si>
  <si>
    <t xml:space="preserve">Investment climate studies list land access among the top constraints to business development in Benin.  This Project aims to create secure land tenure for the poor and non-poor alike and to create effective, transparent governance of land and property issues. This Project is expected to reduce the time and cost to obtain a title, reduce the number of land disputes, and increase land security.  </t>
  </si>
  <si>
    <t>Increased agricultural revenue</t>
  </si>
  <si>
    <t>Increased costs associated with higher agricultural production</t>
  </si>
  <si>
    <t>Specific</t>
  </si>
  <si>
    <t>Exchange rate CFA franc/$US</t>
  </si>
  <si>
    <t>Incremental benefit streams in green</t>
  </si>
  <si>
    <t>Cost Scenario</t>
  </si>
  <si>
    <t>Benefit Scenario</t>
  </si>
  <si>
    <t>The Land Project is designed to establish secure access to land and efficient land administration services. MCC Funding will support the following Project Activities:</t>
  </si>
  <si>
    <r>
      <t>Policy and Legal Reform</t>
    </r>
    <r>
      <rPr>
        <sz val="10"/>
        <rFont val="Arial"/>
        <family val="0"/>
      </rPr>
      <t>: To enable sustainable, efficient land registration services, gender equity, land dispute resolution and expanded use of land as collateral, MCC Funding will support legal, regulatory, administrative and informational reforms within a national land policy framework encompassing both rural and urban land.</t>
    </r>
  </si>
  <si>
    <r>
      <t>Achieving Formal Property Rights to Land</t>
    </r>
    <r>
      <rPr>
        <sz val="10"/>
        <rFont val="Arial"/>
        <family val="0"/>
      </rPr>
      <t>: To provide citizens with more secure and useful records of their land rights, MCC Funding will support conversion of occupancy permits to land titles in urban areas and formally document land rights to 300 rural villages.</t>
    </r>
  </si>
  <si>
    <r>
      <t>Improve Land Registration Services and Land Information Management</t>
    </r>
    <r>
      <rPr>
        <sz val="10"/>
        <rFont val="Arial"/>
        <family val="0"/>
      </rPr>
      <t>: To reduce time and costs to register land and expand access to land information for public and private uses, MCC Funding will be used to upgrade and decentralize title registration services in twenty four communes and introduce map-based land information systems in twelve of these communes.</t>
    </r>
  </si>
  <si>
    <r>
      <t>Information, Education and Communication</t>
    </r>
    <r>
      <rPr>
        <sz val="10"/>
        <rFont val="Arial"/>
        <family val="0"/>
      </rPr>
      <t>: To create broad awareness of land policy reform, especially among more vulnerable groups, in order to help citizens understand, protect and use their land rights.</t>
    </r>
  </si>
  <si>
    <r>
      <t>Support Land Program Coordination</t>
    </r>
    <r>
      <rPr>
        <sz val="10"/>
        <rFont val="Arial"/>
        <family val="0"/>
      </rPr>
      <t>: To strengthen the capacity to manage the reform process and to encourage active participation of key stakeholder representatives, support policy and program coordination advisors, convene a Project steering group, and establish working groups for particular studies.</t>
    </r>
  </si>
  <si>
    <t>In general, clearer definitions of property rights through improved land titling produces economic benefits through a number of channels:</t>
  </si>
  <si>
    <t>A. increased private returns to investments on land</t>
  </si>
  <si>
    <t>B. improved ability to use land to leverage credit</t>
  </si>
  <si>
    <t>C. reduced costs of land related transactions</t>
  </si>
  <si>
    <t>D. reduced needs for defensive expenditures to protect property rights</t>
  </si>
  <si>
    <t>Throughout Benin, insecure property rights and inefficient property registration services undermine enterprise development, investment, and income growth. While reliable evidence from Benin is scarce, numerous recent studies drawn from other countries indicate that greater security in land tenure can double investment and boost land values by between 30 and 80 percent.</t>
  </si>
  <si>
    <t>Evidence from Uganda, for example, has shown that land conflicts impose high costs in terms of foregone productivity of land users. Legal and institutional innovations that (a) reduce the potential for new land conflicts and (b) make it easier to resolve existing conflicts can have a large payoff, especially among women who are much more likely to be affected. Recent research from Zambia on the effect of land tenure on fixed investment and farm productivity demonstrates that (a) household aggregate fixed investment is $330 higher, on average, when the head of household holds a land title, and (b) by increasing the application of productive inputs (e.g., livestock, fertilizer, and cultivated area), land titles increase labor productivity, measured by output per person. In a number of instance, computerization of land records has been shown to narrow the scope for petty corruption.</t>
  </si>
  <si>
    <t>19.6% over 15 years</t>
  </si>
  <si>
    <t>This sheet compares the annual costs and benefits for the project and computes the resulting ERR over a 15-year time period.</t>
  </si>
  <si>
    <t>cost reduction</t>
  </si>
  <si>
    <t>Reduction in transaction cost for each land title delivered ($US)</t>
  </si>
  <si>
    <t>Number of land titles delivered to urban areas</t>
  </si>
  <si>
    <t>Number of land titles delivered to rural areas</t>
  </si>
  <si>
    <t>Reduction in transaction cost for converting each urban occupancy permit into a formal land title ($US)</t>
  </si>
  <si>
    <t>Increase in real land value due to titling</t>
  </si>
  <si>
    <t>400 - 600</t>
  </si>
  <si>
    <t>0 - 30%</t>
  </si>
  <si>
    <t>$600 - 800</t>
  </si>
  <si>
    <t>10,000 - 40,000</t>
  </si>
  <si>
    <t>30,000 - 70,000</t>
  </si>
  <si>
    <t>Working assumptions are in blue type.</t>
  </si>
  <si>
    <t>One should read this sheet first, as it offers a summary of the project a list of components, and states the economic rationale for the project.</t>
  </si>
  <si>
    <t>$700 - 1,200</t>
  </si>
  <si>
    <t xml:space="preserve">   More Info</t>
  </si>
  <si>
    <r>
      <t xml:space="preserve">   </t>
    </r>
    <r>
      <rPr>
        <u val="single"/>
        <sz val="10"/>
        <color indexed="12"/>
        <rFont val="Arial"/>
        <family val="0"/>
      </rPr>
      <t>Project Description</t>
    </r>
  </si>
  <si>
    <r>
      <t xml:space="preserve">   </t>
    </r>
    <r>
      <rPr>
        <u val="single"/>
        <sz val="10"/>
        <color indexed="12"/>
        <rFont val="Arial"/>
        <family val="0"/>
      </rPr>
      <t>User's Guide</t>
    </r>
  </si>
  <si>
    <t>High Cost</t>
  </si>
  <si>
    <t>Low Cost</t>
  </si>
  <si>
    <t>Assumptions</t>
  </si>
  <si>
    <t>Cost streams in orange - high- and low-cost options</t>
  </si>
  <si>
    <t xml:space="preserve">Departments → </t>
  </si>
  <si>
    <r>
      <t>Price (CFA/m</t>
    </r>
    <r>
      <rPr>
        <b/>
        <vertAlign val="superscript"/>
        <sz val="10"/>
        <rFont val="Arial"/>
        <family val="2"/>
      </rPr>
      <t>2</t>
    </r>
    <r>
      <rPr>
        <b/>
        <sz val="10"/>
        <rFont val="Arial"/>
        <family val="2"/>
      </rPr>
      <t>)</t>
    </r>
  </si>
  <si>
    <t>Project net benefits</t>
  </si>
  <si>
    <t>Transaction costs of converting an administrative certificate to a land title</t>
  </si>
  <si>
    <t>Total reduction in transaction costs due to land title delivery (based on base quantity Q1 only) = (P1 - P2)*Q1</t>
  </si>
  <si>
    <t>Transaction costs of delivering a land title</t>
  </si>
  <si>
    <t>per land title delivered.</t>
  </si>
  <si>
    <t>Number of land titles delivered</t>
  </si>
  <si>
    <t>Administrative</t>
  </si>
  <si>
    <t>Spending on conversion of administrative certificate to land title (million CFA)</t>
  </si>
  <si>
    <t>Administrative certificate converted to land title</t>
  </si>
  <si>
    <t>Existing cost of conversion (CFA)</t>
  </si>
  <si>
    <t>Cost of conversion after project (CFA)</t>
  </si>
  <si>
    <t>Cost savings per conversion (CFA)</t>
  </si>
  <si>
    <t>Cost savings per conversion (US$)</t>
  </si>
  <si>
    <t>Cost of land insecurity in Benin (1998 study by Joseph Comby)</t>
  </si>
  <si>
    <t>Annual management overhead</t>
  </si>
  <si>
    <t>millions US$</t>
  </si>
  <si>
    <t>5-year management overhead costs</t>
  </si>
  <si>
    <t>US$/year</t>
  </si>
  <si>
    <t>CFA/year</t>
  </si>
  <si>
    <t>$36.0 million</t>
  </si>
  <si>
    <t>Although the above distributional figure was not part of the Investment Memorandum (IM) ERR calculation, 
it reflects the best information available on parameters as of the IM (11/17/2005)</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</si>
</sst>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0.0%"/>
    <numFmt numFmtId="168" formatCode="0.0"/>
    <numFmt numFmtId="169" formatCode="#,##0.0"/>
    <numFmt numFmtId="170" formatCode="#,##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quot;$&quot;* #,##0.0_);_(&quot;$&quot;* \(#,##0.0\);_(&quot;$&quot;* &quot;-&quot;??_);_(@_)"/>
    <numFmt numFmtId="177" formatCode="_(&quot;$&quot;* #,##0_);_(&quot;$&quot;* \(#,##0\);_(&quot;$&quot;* &quot;-&quot;??_);_(@_)"/>
    <numFmt numFmtId="178" formatCode="0.0000000"/>
    <numFmt numFmtId="179" formatCode="0.000000"/>
    <numFmt numFmtId="180" formatCode="0.00000"/>
    <numFmt numFmtId="181" formatCode="0.0000"/>
    <numFmt numFmtId="182" formatCode="_(* #,##0.0_);_(* \(#,##0.0\);_(* &quot;-&quot;?_);_(@_)"/>
    <numFmt numFmtId="183" formatCode="_(* #,##0.0000_);_(* \(#,##0.0000\);_(* &quot;-&quot;??_);_(@_)"/>
    <numFmt numFmtId="184" formatCode="_(* #,##0.00000_);_(* \(#,##0.00000\);_(* &quot;-&quot;??_);_(@_)"/>
    <numFmt numFmtId="185" formatCode="_(* #,##0.000_);_(* \(#,##0.000\);_(* &quot;-&quot;???_);_(@_)"/>
    <numFmt numFmtId="186" formatCode="0.0000000%"/>
    <numFmt numFmtId="187" formatCode="0.000000%"/>
    <numFmt numFmtId="188" formatCode="0.00000%"/>
    <numFmt numFmtId="189" formatCode="0.0000%"/>
    <numFmt numFmtId="190" formatCode="0.000%"/>
    <numFmt numFmtId="191" formatCode="0.00%\,"/>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440A]#,##0.00"/>
    <numFmt numFmtId="197" formatCode="[$$-440A]#,##0.00_ ;[Red]\-[$$-440A]#,##0.00\ "/>
    <numFmt numFmtId="198" formatCode="_-[$$-440A]* #,##0.00_ ;_-[$$-440A]* \-#,##0.00\ ;_-[$$-440A]* &quot;-&quot;??_ ;_-@_ "/>
    <numFmt numFmtId="199" formatCode="[$$-440A]#,##0"/>
    <numFmt numFmtId="200" formatCode="&quot;$&quot;#,##0"/>
    <numFmt numFmtId="201" formatCode="&quot;$&quot;#,##0.00"/>
    <numFmt numFmtId="202" formatCode="&quot;$&quot;#,##0.0"/>
    <numFmt numFmtId="203" formatCode="&quot;$&quot;#,##0.000"/>
    <numFmt numFmtId="204" formatCode="[$$-440A]#,##0.00_ ;\-[$$-440A]#,##0.00\ "/>
    <numFmt numFmtId="205" formatCode="_-* #,##0.0\ _€_-;\-* #,##0.0\ _€_-;_-* &quot;-&quot;??\ _€_-;_-@_-"/>
    <numFmt numFmtId="206" formatCode="_-* #,##0\ _€_-;\-* #,##0\ _€_-;_-* &quot;-&quot;??\ _€_-;_-@_-"/>
    <numFmt numFmtId="207" formatCode="&quot;$&quot;#,##0.00000_);\(&quot;$&quot;#,##0.00000\)"/>
    <numFmt numFmtId="208" formatCode="&quot;$&quot;#,##0.00000"/>
    <numFmt numFmtId="209" formatCode="m/d/yy\ h:mm"/>
    <numFmt numFmtId="210" formatCode="####0"/>
  </numFmts>
  <fonts count="25">
    <font>
      <sz val="10"/>
      <name val="Arial"/>
      <family val="0"/>
    </font>
    <font>
      <sz val="8"/>
      <name val="Arial"/>
      <family val="0"/>
    </font>
    <font>
      <u val="single"/>
      <sz val="10"/>
      <name val="Arial"/>
      <family val="0"/>
    </font>
    <font>
      <u val="single"/>
      <sz val="10"/>
      <color indexed="12"/>
      <name val="Arial"/>
      <family val="0"/>
    </font>
    <font>
      <u val="single"/>
      <sz val="10"/>
      <color indexed="36"/>
      <name val="Arial"/>
      <family val="0"/>
    </font>
    <font>
      <b/>
      <sz val="14"/>
      <name val="Arial"/>
      <family val="2"/>
    </font>
    <font>
      <b/>
      <sz val="12"/>
      <name val="Arial"/>
      <family val="2"/>
    </font>
    <font>
      <i/>
      <sz val="10"/>
      <name val="Arial"/>
      <family val="2"/>
    </font>
    <font>
      <b/>
      <sz val="10"/>
      <name val="Arial"/>
      <family val="2"/>
    </font>
    <font>
      <sz val="8"/>
      <name val="Tahoma"/>
      <family val="0"/>
    </font>
    <font>
      <b/>
      <sz val="8"/>
      <name val="Tahoma"/>
      <family val="0"/>
    </font>
    <font>
      <vertAlign val="superscript"/>
      <sz val="10"/>
      <name val="Arial"/>
      <family val="2"/>
    </font>
    <font>
      <sz val="8"/>
      <color indexed="17"/>
      <name val="Arial"/>
      <family val="2"/>
    </font>
    <font>
      <b/>
      <sz val="16"/>
      <name val="Arial"/>
      <family val="2"/>
    </font>
    <font>
      <sz val="10"/>
      <color indexed="63"/>
      <name val="Arial"/>
      <family val="0"/>
    </font>
    <font>
      <b/>
      <sz val="10"/>
      <color indexed="12"/>
      <name val="Arial"/>
      <family val="2"/>
    </font>
    <font>
      <b/>
      <sz val="18"/>
      <color indexed="32"/>
      <name val="Arial"/>
      <family val="2"/>
    </font>
    <font>
      <sz val="14"/>
      <name val="Arial"/>
      <family val="2"/>
    </font>
    <font>
      <sz val="10"/>
      <color indexed="12"/>
      <name val="Arial"/>
      <family val="2"/>
    </font>
    <font>
      <sz val="10"/>
      <color indexed="23"/>
      <name val="Arial"/>
      <family val="2"/>
    </font>
    <font>
      <b/>
      <sz val="10"/>
      <color indexed="55"/>
      <name val="Arial"/>
      <family val="2"/>
    </font>
    <font>
      <sz val="10"/>
      <color indexed="9"/>
      <name val="Arial"/>
      <family val="2"/>
    </font>
    <font>
      <b/>
      <sz val="10"/>
      <color indexed="9"/>
      <name val="Arial"/>
      <family val="2"/>
    </font>
    <font>
      <b/>
      <sz val="8"/>
      <name val="Arial"/>
      <family val="2"/>
    </font>
    <font>
      <b/>
      <vertAlign val="superscript"/>
      <sz val="10"/>
      <name val="Arial"/>
      <family val="2"/>
    </font>
  </fonts>
  <fills count="9">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s>
  <borders count="62">
    <border>
      <left/>
      <right/>
      <top/>
      <bottom/>
      <diagonal/>
    </border>
    <border>
      <left>
        <color indexed="63"/>
      </left>
      <right style="double"/>
      <top>
        <color indexed="63"/>
      </top>
      <bottom>
        <color indexed="63"/>
      </bottom>
    </border>
    <border>
      <left style="double"/>
      <right style="thin"/>
      <top>
        <color indexed="63"/>
      </top>
      <bottom style="double"/>
    </border>
    <border>
      <left>
        <color indexed="63"/>
      </left>
      <right style="double"/>
      <top>
        <color indexed="63"/>
      </top>
      <bottom style="double"/>
    </border>
    <border>
      <left style="double"/>
      <right style="thin"/>
      <top style="double"/>
      <bottom style="double"/>
    </border>
    <border>
      <left>
        <color indexed="63"/>
      </left>
      <right style="double"/>
      <top style="double"/>
      <bottom style="double"/>
    </border>
    <border>
      <left style="double"/>
      <right style="thin"/>
      <top>
        <color indexed="63"/>
      </top>
      <bottom>
        <color indexed="63"/>
      </bottom>
    </border>
    <border>
      <left style="double"/>
      <right style="thin"/>
      <top style="thin"/>
      <bottom style="thin"/>
    </border>
    <border>
      <left>
        <color indexed="63"/>
      </left>
      <right style="double"/>
      <top style="thin"/>
      <bottom style="thin"/>
    </border>
    <border>
      <left style="double"/>
      <right style="thin"/>
      <top>
        <color indexed="63"/>
      </top>
      <bottom style="thin"/>
    </border>
    <border>
      <left>
        <color indexed="63"/>
      </left>
      <right style="double"/>
      <top>
        <color indexed="63"/>
      </top>
      <bottom style="thin"/>
    </border>
    <border>
      <left>
        <color indexed="63"/>
      </left>
      <right style="double"/>
      <top style="thin"/>
      <bottom>
        <color indexed="63"/>
      </bottom>
    </border>
    <border>
      <left style="double"/>
      <right style="thin"/>
      <top style="thin"/>
      <bottom>
        <color indexed="63"/>
      </bottom>
    </border>
    <border>
      <left style="thin"/>
      <right style="double"/>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color indexed="63"/>
      </right>
      <top style="thin"/>
      <bottom style="medium"/>
    </border>
    <border>
      <left>
        <color indexed="63"/>
      </left>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medium"/>
    </border>
    <border>
      <left style="medium"/>
      <right style="medium"/>
      <top style="medium"/>
      <bottom style="medium"/>
    </border>
    <border>
      <left style="thin"/>
      <right>
        <color indexed="63"/>
      </right>
      <top style="medium"/>
      <bottom>
        <color indexed="63"/>
      </bottom>
    </border>
    <border>
      <left style="thin"/>
      <right>
        <color indexed="63"/>
      </right>
      <top style="medium"/>
      <bottom style="thin"/>
    </border>
    <border>
      <left style="medium"/>
      <right>
        <color indexed="63"/>
      </right>
      <top style="medium"/>
      <bottom style="medium"/>
    </border>
    <border>
      <left>
        <color indexed="63"/>
      </left>
      <right style="thin"/>
      <top style="medium"/>
      <bottom>
        <color indexed="63"/>
      </bottom>
    </border>
    <border>
      <left style="double"/>
      <right>
        <color indexed="63"/>
      </right>
      <top style="thin"/>
      <bottom>
        <color indexed="63"/>
      </bottom>
    </border>
    <border>
      <left style="double"/>
      <right>
        <color indexed="63"/>
      </right>
      <top>
        <color indexed="63"/>
      </top>
      <bottom>
        <color indexed="63"/>
      </bottom>
    </border>
    <border>
      <left style="thin"/>
      <right>
        <color indexed="63"/>
      </right>
      <top style="thin"/>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54">
    <xf numFmtId="0" fontId="0" fillId="0" borderId="0" xfId="0" applyAlignment="1">
      <alignment/>
    </xf>
    <xf numFmtId="0" fontId="0" fillId="0" borderId="0" xfId="0" applyBorder="1" applyAlignment="1">
      <alignment/>
    </xf>
    <xf numFmtId="0" fontId="0" fillId="0" borderId="0" xfId="0" applyFont="1" applyAlignment="1">
      <alignment/>
    </xf>
    <xf numFmtId="0" fontId="8" fillId="0" borderId="0" xfId="0" applyFont="1" applyAlignment="1">
      <alignment/>
    </xf>
    <xf numFmtId="4" fontId="0" fillId="0" borderId="0" xfId="15" applyNumberFormat="1" applyFont="1" applyBorder="1" applyAlignment="1">
      <alignment vertical="center" wrapText="1"/>
    </xf>
    <xf numFmtId="0" fontId="3" fillId="0" borderId="1" xfId="2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14" fillId="0" borderId="0" xfId="0" applyFont="1" applyAlignment="1">
      <alignment/>
    </xf>
    <xf numFmtId="0" fontId="12" fillId="0" borderId="0" xfId="0" applyFont="1" applyAlignment="1">
      <alignment horizontal="right"/>
    </xf>
    <xf numFmtId="14" fontId="12" fillId="0" borderId="0" xfId="0" applyNumberFormat="1" applyFont="1" applyAlignment="1">
      <alignment horizontal="left"/>
    </xf>
    <xf numFmtId="0" fontId="0" fillId="0" borderId="4" xfId="0" applyFont="1" applyBorder="1" applyAlignment="1">
      <alignment horizontal="left" vertical="center" wrapText="1"/>
    </xf>
    <xf numFmtId="0" fontId="8" fillId="0" borderId="5" xfId="0" applyFont="1" applyBorder="1" applyAlignment="1">
      <alignment horizontal="center" vertical="center" wrapText="1"/>
    </xf>
    <xf numFmtId="0" fontId="0" fillId="0" borderId="6" xfId="0" applyFont="1" applyBorder="1" applyAlignment="1">
      <alignment horizontal="left"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14" fontId="0" fillId="0" borderId="8" xfId="0" applyNumberFormat="1"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3" fillId="0" borderId="1" xfId="20" applyBorder="1" applyAlignment="1">
      <alignment horizontal="left" vertical="center" wrapText="1"/>
    </xf>
    <xf numFmtId="0" fontId="3" fillId="0" borderId="1" xfId="20" applyFont="1" applyBorder="1" applyAlignment="1">
      <alignment vertical="center" wrapText="1"/>
    </xf>
    <xf numFmtId="0" fontId="0" fillId="0" borderId="1" xfId="0" applyFont="1" applyBorder="1" applyAlignment="1">
      <alignment vertical="center" wrapText="1"/>
    </xf>
    <xf numFmtId="0" fontId="13" fillId="0" borderId="0" xfId="0" applyFont="1" applyAlignment="1">
      <alignment/>
    </xf>
    <xf numFmtId="0" fontId="16" fillId="0" borderId="0" xfId="0" applyFont="1" applyAlignment="1">
      <alignment/>
    </xf>
    <xf numFmtId="0" fontId="17" fillId="0" borderId="0" xfId="0" applyFont="1" applyAlignment="1">
      <alignment/>
    </xf>
    <xf numFmtId="14" fontId="12" fillId="0" borderId="0" xfId="0" applyNumberFormat="1" applyFont="1" applyAlignment="1">
      <alignment horizontal="right"/>
    </xf>
    <xf numFmtId="1" fontId="0" fillId="2" borderId="14" xfId="15" applyNumberFormat="1" applyFont="1" applyFill="1" applyBorder="1" applyAlignment="1">
      <alignment horizontal="center" vertical="center"/>
    </xf>
    <xf numFmtId="1" fontId="0" fillId="0" borderId="14" xfId="0" applyNumberFormat="1" applyFont="1" applyBorder="1" applyAlignment="1">
      <alignment horizontal="center" vertical="center"/>
    </xf>
    <xf numFmtId="0" fontId="0" fillId="0" borderId="0" xfId="0" applyFont="1" applyAlignment="1">
      <alignment vertical="center"/>
    </xf>
    <xf numFmtId="0" fontId="15"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19" fillId="0" borderId="16" xfId="0" applyFont="1" applyBorder="1" applyAlignment="1">
      <alignment horizontal="center" vertical="center" wrapText="1"/>
    </xf>
    <xf numFmtId="0" fontId="0" fillId="0" borderId="15" xfId="0" applyFont="1" applyBorder="1" applyAlignment="1">
      <alignment vertical="center"/>
    </xf>
    <xf numFmtId="0" fontId="0" fillId="0" borderId="16" xfId="0" applyBorder="1" applyAlignment="1">
      <alignment vertical="center" wrapText="1"/>
    </xf>
    <xf numFmtId="9" fontId="15" fillId="3" borderId="15" xfId="0" applyNumberFormat="1" applyFont="1" applyFill="1" applyBorder="1" applyAlignment="1">
      <alignment horizontal="center" vertical="center" wrapText="1"/>
    </xf>
    <xf numFmtId="9" fontId="0" fillId="0" borderId="15" xfId="0" applyNumberFormat="1" applyFont="1" applyBorder="1" applyAlignment="1">
      <alignment horizontal="center" vertical="center" wrapText="1"/>
    </xf>
    <xf numFmtId="9" fontId="0" fillId="2" borderId="17" xfId="0" applyNumberFormat="1" applyFont="1" applyFill="1" applyBorder="1" applyAlignment="1">
      <alignment horizontal="center" vertical="center"/>
    </xf>
    <xf numFmtId="0" fontId="20" fillId="0" borderId="18" xfId="0" applyFont="1" applyFill="1" applyBorder="1" applyAlignment="1">
      <alignment horizontal="center" vertical="center" wrapText="1"/>
    </xf>
    <xf numFmtId="0" fontId="0" fillId="0" borderId="19" xfId="0" applyFont="1" applyFill="1" applyBorder="1" applyAlignment="1">
      <alignment vertical="center"/>
    </xf>
    <xf numFmtId="0" fontId="0" fillId="0" borderId="18" xfId="0" applyBorder="1" applyAlignment="1">
      <alignment vertical="center" wrapText="1"/>
    </xf>
    <xf numFmtId="9" fontId="15" fillId="3" borderId="19" xfId="0" applyNumberFormat="1" applyFont="1" applyFill="1" applyBorder="1" applyAlignment="1">
      <alignment horizontal="center" vertical="center" wrapText="1"/>
    </xf>
    <xf numFmtId="9" fontId="0" fillId="0" borderId="19" xfId="0" applyNumberFormat="1" applyFont="1" applyBorder="1" applyAlignment="1">
      <alignment horizontal="center" vertical="center" wrapText="1"/>
    </xf>
    <xf numFmtId="0" fontId="0" fillId="0" borderId="18" xfId="0" applyFont="1" applyBorder="1" applyAlignment="1">
      <alignment horizontal="center" vertical="center" wrapText="1"/>
    </xf>
    <xf numFmtId="9" fontId="0" fillId="2" borderId="20" xfId="0" applyNumberFormat="1" applyFont="1" applyFill="1" applyBorder="1" applyAlignment="1">
      <alignment horizontal="center" vertical="center"/>
    </xf>
    <xf numFmtId="0" fontId="21" fillId="0" borderId="0" xfId="0" applyFont="1" applyAlignment="1">
      <alignment horizontal="center" vertical="center"/>
    </xf>
    <xf numFmtId="0" fontId="0" fillId="0" borderId="21" xfId="0" applyFont="1" applyBorder="1" applyAlignment="1">
      <alignment vertical="center"/>
    </xf>
    <xf numFmtId="0" fontId="8" fillId="0" borderId="21" xfId="0" applyFont="1" applyBorder="1" applyAlignment="1">
      <alignment horizontal="left" vertical="center"/>
    </xf>
    <xf numFmtId="0" fontId="8" fillId="0" borderId="21"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0" xfId="0" applyFont="1" applyBorder="1" applyAlignment="1">
      <alignment vertical="center"/>
    </xf>
    <xf numFmtId="0" fontId="0" fillId="0" borderId="23" xfId="0" applyFont="1" applyBorder="1" applyAlignment="1">
      <alignment vertical="center"/>
    </xf>
    <xf numFmtId="167" fontId="0" fillId="0" borderId="14" xfId="0" applyNumberFormat="1" applyFont="1" applyBorder="1" applyAlignment="1">
      <alignment horizontal="center" vertical="center"/>
    </xf>
    <xf numFmtId="0" fontId="0" fillId="0" borderId="0" xfId="0" applyFont="1" applyBorder="1" applyAlignment="1">
      <alignment horizontal="center" vertical="center"/>
    </xf>
    <xf numFmtId="0" fontId="0" fillId="0" borderId="14" xfId="0" applyFont="1" applyFill="1" applyBorder="1" applyAlignment="1">
      <alignment vertical="center" wrapText="1"/>
    </xf>
    <xf numFmtId="0" fontId="0" fillId="0" borderId="19" xfId="0" applyFont="1" applyBorder="1" applyAlignment="1">
      <alignment vertical="center"/>
    </xf>
    <xf numFmtId="3" fontId="0" fillId="0" borderId="18" xfId="0" applyNumberFormat="1" applyFont="1" applyBorder="1" applyAlignment="1">
      <alignment horizontal="center" vertical="center"/>
    </xf>
    <xf numFmtId="0" fontId="0" fillId="0" borderId="24" xfId="0" applyFont="1" applyBorder="1" applyAlignment="1">
      <alignment horizontal="center" vertical="center"/>
    </xf>
    <xf numFmtId="3" fontId="0" fillId="2" borderId="18" xfId="15" applyNumberFormat="1" applyFont="1" applyFill="1" applyBorder="1" applyAlignment="1">
      <alignment horizontal="center" vertical="center"/>
    </xf>
    <xf numFmtId="167" fontId="15" fillId="0" borderId="0" xfId="0" applyNumberFormat="1" applyFont="1" applyFill="1" applyBorder="1" applyAlignment="1">
      <alignment horizontal="center" vertical="center"/>
    </xf>
    <xf numFmtId="16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67" fontId="18" fillId="0" borderId="0" xfId="15" applyNumberFormat="1" applyFont="1" applyFill="1" applyBorder="1" applyAlignment="1">
      <alignment horizontal="center" vertical="center"/>
    </xf>
    <xf numFmtId="0" fontId="8" fillId="0" borderId="0" xfId="0" applyFont="1" applyAlignment="1">
      <alignment horizontal="right"/>
    </xf>
    <xf numFmtId="167" fontId="22" fillId="4" borderId="25" xfId="0" applyNumberFormat="1" applyFont="1" applyFill="1" applyBorder="1" applyAlignment="1">
      <alignment horizontal="center"/>
    </xf>
    <xf numFmtId="10" fontId="0" fillId="0" borderId="0" xfId="0" applyNumberFormat="1" applyFont="1" applyAlignment="1">
      <alignment/>
    </xf>
    <xf numFmtId="167" fontId="22" fillId="0" borderId="0" xfId="0" applyNumberFormat="1" applyFont="1" applyFill="1" applyBorder="1" applyAlignment="1">
      <alignment horizontal="center"/>
    </xf>
    <xf numFmtId="167" fontId="0" fillId="0" borderId="25" xfId="0" applyNumberFormat="1" applyFont="1" applyBorder="1" applyAlignment="1">
      <alignment horizontal="center"/>
    </xf>
    <xf numFmtId="0" fontId="8" fillId="0" borderId="0" xfId="0" applyFont="1" applyAlignment="1">
      <alignment vertical="center" wrapText="1"/>
    </xf>
    <xf numFmtId="0" fontId="0" fillId="0" borderId="14"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0" xfId="0" applyAlignment="1">
      <alignment vertical="center" wrapText="1"/>
    </xf>
    <xf numFmtId="0" fontId="7" fillId="0" borderId="0" xfId="0" applyFont="1" applyAlignment="1">
      <alignment vertical="center" wrapText="1"/>
    </xf>
    <xf numFmtId="201" fontId="0" fillId="0" borderId="14" xfId="0" applyNumberFormat="1" applyFont="1" applyBorder="1" applyAlignment="1">
      <alignment horizontal="center" vertical="center"/>
    </xf>
    <xf numFmtId="201" fontId="0" fillId="2" borderId="14" xfId="15" applyNumberFormat="1" applyFont="1" applyFill="1" applyBorder="1" applyAlignment="1">
      <alignment horizontal="center" vertical="center"/>
    </xf>
    <xf numFmtId="3" fontId="15" fillId="3" borderId="0" xfId="0" applyNumberFormat="1" applyFont="1" applyFill="1" applyBorder="1" applyAlignment="1">
      <alignment horizontal="center" vertical="center"/>
    </xf>
    <xf numFmtId="3" fontId="15" fillId="3" borderId="24" xfId="0" applyNumberFormat="1" applyFont="1" applyFill="1" applyBorder="1" applyAlignment="1">
      <alignment horizontal="center" vertical="center"/>
    </xf>
    <xf numFmtId="0" fontId="0" fillId="0" borderId="14" xfId="0" applyFont="1" applyBorder="1" applyAlignment="1">
      <alignment vertical="center" wrapText="1"/>
    </xf>
    <xf numFmtId="0" fontId="0" fillId="0" borderId="18" xfId="0" applyFont="1" applyFill="1" applyBorder="1" applyAlignment="1">
      <alignment vertical="center" wrapText="1"/>
    </xf>
    <xf numFmtId="167" fontId="15" fillId="3" borderId="0" xfId="17" applyNumberFormat="1" applyFont="1" applyFill="1" applyBorder="1" applyAlignment="1">
      <alignment horizontal="center" vertical="center"/>
    </xf>
    <xf numFmtId="1" fontId="15" fillId="3" borderId="0" xfId="17" applyNumberFormat="1" applyFont="1" applyFill="1" applyBorder="1" applyAlignment="1">
      <alignment horizontal="center" vertical="center"/>
    </xf>
    <xf numFmtId="201" fontId="15" fillId="3" borderId="0" xfId="21" applyNumberFormat="1" applyFont="1" applyFill="1" applyBorder="1" applyAlignment="1">
      <alignment horizontal="center" vertical="center"/>
    </xf>
    <xf numFmtId="3" fontId="0" fillId="0" borderId="14" xfId="0" applyNumberFormat="1" applyFont="1" applyBorder="1" applyAlignment="1">
      <alignment horizontal="center" vertical="center"/>
    </xf>
    <xf numFmtId="3" fontId="0" fillId="2" borderId="14" xfId="15" applyNumberFormat="1" applyFont="1" applyFill="1" applyBorder="1" applyAlignment="1">
      <alignment horizontal="center" vertical="center"/>
    </xf>
    <xf numFmtId="167" fontId="0" fillId="2" borderId="16" xfId="15" applyNumberFormat="1" applyFont="1" applyFill="1" applyBorder="1" applyAlignment="1">
      <alignment horizontal="center" vertical="center"/>
    </xf>
    <xf numFmtId="0" fontId="8" fillId="0" borderId="25" xfId="0" applyFont="1" applyBorder="1" applyAlignment="1">
      <alignment vertical="center"/>
    </xf>
    <xf numFmtId="0" fontId="18" fillId="0" borderId="14" xfId="20" applyFont="1" applyBorder="1" applyAlignment="1">
      <alignment vertical="center"/>
    </xf>
    <xf numFmtId="0" fontId="18" fillId="0" borderId="18" xfId="20" applyFont="1" applyBorder="1" applyAlignment="1">
      <alignment vertical="center"/>
    </xf>
    <xf numFmtId="0" fontId="8" fillId="0" borderId="0" xfId="0" applyFont="1" applyFill="1" applyAlignment="1">
      <alignment vertical="center" wrapText="1"/>
    </xf>
    <xf numFmtId="0" fontId="8" fillId="3" borderId="25" xfId="0" applyFont="1" applyFill="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8" fillId="3" borderId="31" xfId="0" applyFont="1" applyFill="1" applyBorder="1" applyAlignment="1">
      <alignment vertical="center"/>
    </xf>
    <xf numFmtId="0" fontId="8" fillId="3" borderId="32" xfId="0" applyFont="1" applyFill="1" applyBorder="1" applyAlignment="1">
      <alignment vertical="center"/>
    </xf>
    <xf numFmtId="0" fontId="0" fillId="3" borderId="32" xfId="0" applyFont="1" applyFill="1" applyBorder="1" applyAlignment="1">
      <alignment vertical="center"/>
    </xf>
    <xf numFmtId="0" fontId="0" fillId="3" borderId="33" xfId="0" applyFont="1" applyFill="1" applyBorder="1" applyAlignment="1">
      <alignment vertical="center"/>
    </xf>
    <xf numFmtId="0" fontId="2" fillId="0" borderId="0" xfId="0" applyFont="1" applyAlignment="1">
      <alignment vertical="center"/>
    </xf>
    <xf numFmtId="166" fontId="0" fillId="0" borderId="0" xfId="15" applyNumberFormat="1" applyAlignment="1">
      <alignment vertical="center"/>
    </xf>
    <xf numFmtId="0" fontId="15" fillId="0" borderId="0" xfId="0" applyFont="1" applyAlignment="1">
      <alignment vertical="center"/>
    </xf>
    <xf numFmtId="0" fontId="2" fillId="0" borderId="34" xfId="0" applyFont="1" applyBorder="1" applyAlignment="1">
      <alignment vertical="center"/>
    </xf>
    <xf numFmtId="167" fontId="5" fillId="0" borderId="0" xfId="0" applyNumberFormat="1" applyFont="1" applyAlignment="1">
      <alignment vertical="center"/>
    </xf>
    <xf numFmtId="9" fontId="15" fillId="0" borderId="35" xfId="0" applyNumberFormat="1" applyFont="1" applyBorder="1" applyAlignment="1">
      <alignment vertical="center"/>
    </xf>
    <xf numFmtId="0" fontId="0" fillId="0" borderId="36" xfId="0" applyBorder="1" applyAlignment="1">
      <alignment vertical="center"/>
    </xf>
    <xf numFmtId="0" fontId="2" fillId="0" borderId="35" xfId="0" applyFont="1" applyBorder="1" applyAlignment="1">
      <alignment vertical="center"/>
    </xf>
    <xf numFmtId="0" fontId="6" fillId="0" borderId="0" xfId="0" applyFont="1" applyAlignment="1">
      <alignment vertical="center"/>
    </xf>
    <xf numFmtId="9" fontId="15" fillId="0" borderId="37" xfId="0" applyNumberFormat="1"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5" borderId="0" xfId="0" applyFill="1" applyAlignment="1">
      <alignment vertical="center"/>
    </xf>
    <xf numFmtId="0" fontId="0" fillId="0" borderId="0" xfId="0" applyFill="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5" xfId="0" applyBorder="1" applyAlignment="1">
      <alignment vertical="center"/>
    </xf>
    <xf numFmtId="0" fontId="0" fillId="0" borderId="0" xfId="0" applyBorder="1" applyAlignment="1">
      <alignment horizontal="center" vertical="center"/>
    </xf>
    <xf numFmtId="3" fontId="0" fillId="0" borderId="0" xfId="17" applyNumberFormat="1" applyBorder="1" applyAlignment="1">
      <alignment horizontal="right" vertical="center"/>
    </xf>
    <xf numFmtId="3" fontId="0" fillId="0" borderId="35" xfId="0" applyNumberFormat="1" applyBorder="1" applyAlignment="1">
      <alignment vertical="center"/>
    </xf>
    <xf numFmtId="3" fontId="0" fillId="5" borderId="0" xfId="17" applyNumberFormat="1" applyFill="1" applyBorder="1" applyAlignment="1">
      <alignment horizontal="right" vertical="center"/>
    </xf>
    <xf numFmtId="3" fontId="0" fillId="5" borderId="0" xfId="0" applyNumberFormat="1" applyFill="1" applyBorder="1" applyAlignment="1">
      <alignment horizontal="right" vertical="center"/>
    </xf>
    <xf numFmtId="177" fontId="0" fillId="0" borderId="0" xfId="17" applyNumberFormat="1" applyBorder="1" applyAlignment="1">
      <alignment horizontal="right" vertical="center"/>
    </xf>
    <xf numFmtId="177" fontId="0" fillId="0" borderId="0" xfId="0" applyNumberFormat="1" applyBorder="1" applyAlignment="1">
      <alignment horizontal="right" vertical="center"/>
    </xf>
    <xf numFmtId="3" fontId="0" fillId="5" borderId="0" xfId="0" applyNumberFormat="1" applyFont="1" applyFill="1" applyBorder="1" applyAlignment="1">
      <alignment horizontal="right" vertical="center" wrapText="1"/>
    </xf>
    <xf numFmtId="0" fontId="0" fillId="0" borderId="37" xfId="0" applyBorder="1" applyAlignment="1">
      <alignment vertical="center"/>
    </xf>
    <xf numFmtId="0" fontId="0" fillId="0" borderId="38" xfId="0" applyBorder="1" applyAlignment="1">
      <alignment horizontal="center" vertical="center"/>
    </xf>
    <xf numFmtId="3" fontId="0" fillId="0" borderId="38" xfId="0" applyNumberFormat="1" applyFont="1" applyFill="1" applyBorder="1" applyAlignment="1">
      <alignment horizontal="right" vertical="center" wrapText="1"/>
    </xf>
    <xf numFmtId="3" fontId="0" fillId="0" borderId="37" xfId="0" applyNumberFormat="1" applyBorder="1" applyAlignment="1">
      <alignment vertical="center"/>
    </xf>
    <xf numFmtId="0" fontId="0" fillId="0" borderId="0" xfId="0" applyAlignment="1">
      <alignment horizontal="center" vertical="center"/>
    </xf>
    <xf numFmtId="3" fontId="0" fillId="0" borderId="0" xfId="0" applyNumberFormat="1" applyFont="1" applyFill="1" applyBorder="1" applyAlignment="1">
      <alignment horizontal="right" vertical="center" wrapText="1"/>
    </xf>
    <xf numFmtId="3" fontId="0" fillId="0" borderId="0" xfId="0" applyNumberFormat="1" applyBorder="1" applyAlignment="1">
      <alignment vertical="center"/>
    </xf>
    <xf numFmtId="0" fontId="0" fillId="0" borderId="0" xfId="0" applyFill="1" applyBorder="1" applyAlignment="1">
      <alignment vertical="center"/>
    </xf>
    <xf numFmtId="0" fontId="0" fillId="2" borderId="0" xfId="0" applyFont="1" applyFill="1" applyAlignment="1">
      <alignment vertical="center"/>
    </xf>
    <xf numFmtId="0" fontId="0" fillId="0" borderId="0" xfId="0" applyFont="1" applyFill="1" applyAlignment="1">
      <alignment vertical="center"/>
    </xf>
    <xf numFmtId="3" fontId="0" fillId="0" borderId="0" xfId="0" applyNumberFormat="1" applyBorder="1" applyAlignment="1">
      <alignment horizontal="center" vertical="center"/>
    </xf>
    <xf numFmtId="0" fontId="0" fillId="0" borderId="0" xfId="0" applyBorder="1" applyAlignment="1">
      <alignment horizontal="right" vertical="center"/>
    </xf>
    <xf numFmtId="44" fontId="15" fillId="0" borderId="0" xfId="17" applyFont="1" applyFill="1" applyBorder="1" applyAlignment="1">
      <alignment horizontal="center" vertical="center"/>
    </xf>
    <xf numFmtId="44" fontId="0" fillId="0" borderId="0" xfId="17" applyFill="1" applyBorder="1" applyAlignment="1">
      <alignment horizontal="center" vertical="center"/>
    </xf>
    <xf numFmtId="44" fontId="0" fillId="0" borderId="0" xfId="0" applyNumberFormat="1" applyBorder="1" applyAlignment="1">
      <alignment vertical="center"/>
    </xf>
    <xf numFmtId="0" fontId="0" fillId="0" borderId="0" xfId="0" applyBorder="1" applyAlignment="1">
      <alignment horizontal="left" vertical="center"/>
    </xf>
    <xf numFmtId="3" fontId="0" fillId="0" borderId="0" xfId="0" applyNumberFormat="1" applyAlignment="1">
      <alignment vertical="center"/>
    </xf>
    <xf numFmtId="3" fontId="0" fillId="0" borderId="0" xfId="0" applyNumberFormat="1" applyBorder="1" applyAlignment="1">
      <alignment horizontal="left" vertical="center"/>
    </xf>
    <xf numFmtId="166" fontId="15" fillId="0" borderId="0" xfId="15"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Alignment="1">
      <alignment vertical="center"/>
    </xf>
    <xf numFmtId="166" fontId="0" fillId="0" borderId="0" xfId="15" applyNumberFormat="1" applyBorder="1" applyAlignment="1">
      <alignment vertical="center"/>
    </xf>
    <xf numFmtId="164" fontId="0" fillId="0" borderId="0" xfId="0" applyNumberFormat="1" applyBorder="1" applyAlignment="1">
      <alignment vertical="center"/>
    </xf>
    <xf numFmtId="3" fontId="0" fillId="0" borderId="0" xfId="0" applyNumberFormat="1" applyBorder="1" applyAlignment="1">
      <alignment horizontal="right" vertical="center"/>
    </xf>
    <xf numFmtId="0" fontId="0" fillId="0" borderId="0" xfId="15" applyNumberFormat="1" applyBorder="1" applyAlignment="1">
      <alignment horizontal="center" vertical="center"/>
    </xf>
    <xf numFmtId="0" fontId="0" fillId="0" borderId="34" xfId="0" applyBorder="1" applyAlignment="1">
      <alignment vertical="center"/>
    </xf>
    <xf numFmtId="3" fontId="0" fillId="0" borderId="29" xfId="0" applyNumberFormat="1" applyBorder="1" applyAlignment="1">
      <alignment horizontal="right" vertical="center"/>
    </xf>
    <xf numFmtId="0" fontId="0" fillId="0" borderId="29" xfId="15" applyNumberFormat="1" applyBorder="1" applyAlignment="1">
      <alignment horizontal="center" vertical="center"/>
    </xf>
    <xf numFmtId="166" fontId="0" fillId="0" borderId="29" xfId="0" applyNumberFormat="1" applyBorder="1" applyAlignment="1">
      <alignment vertical="center"/>
    </xf>
    <xf numFmtId="0" fontId="8" fillId="0" borderId="43" xfId="0" applyFont="1" applyBorder="1" applyAlignment="1">
      <alignment vertical="center"/>
    </xf>
    <xf numFmtId="0" fontId="0" fillId="0" borderId="24" xfId="0" applyBorder="1" applyAlignment="1">
      <alignment vertical="center"/>
    </xf>
    <xf numFmtId="0" fontId="0" fillId="0" borderId="44" xfId="0" applyBorder="1" applyAlignment="1">
      <alignment vertical="center"/>
    </xf>
    <xf numFmtId="168" fontId="0" fillId="0" borderId="0" xfId="0" applyNumberFormat="1" applyBorder="1" applyAlignment="1">
      <alignment horizontal="center" vertical="center"/>
    </xf>
    <xf numFmtId="168" fontId="0" fillId="0" borderId="0" xfId="15" applyNumberFormat="1" applyBorder="1" applyAlignment="1">
      <alignment horizontal="center" vertical="center"/>
    </xf>
    <xf numFmtId="168" fontId="0" fillId="0" borderId="36" xfId="0" applyNumberFormat="1" applyBorder="1" applyAlignment="1">
      <alignment horizontal="center" vertical="center"/>
    </xf>
    <xf numFmtId="3" fontId="0" fillId="0" borderId="36" xfId="0" applyNumberFormat="1" applyBorder="1" applyAlignment="1">
      <alignment horizontal="right" vertical="center"/>
    </xf>
    <xf numFmtId="3" fontId="0" fillId="0" borderId="36" xfId="0" applyNumberFormat="1" applyBorder="1" applyAlignment="1">
      <alignment vertical="center"/>
    </xf>
    <xf numFmtId="166" fontId="0" fillId="0" borderId="36" xfId="0" applyNumberFormat="1" applyBorder="1" applyAlignment="1">
      <alignment vertical="center"/>
    </xf>
    <xf numFmtId="3" fontId="0" fillId="0" borderId="0" xfId="0" applyNumberFormat="1" applyFill="1" applyBorder="1" applyAlignment="1">
      <alignment horizontal="right" vertical="center"/>
    </xf>
    <xf numFmtId="3" fontId="0" fillId="0" borderId="0" xfId="0" applyNumberFormat="1" applyFill="1" applyBorder="1" applyAlignment="1">
      <alignment vertical="center"/>
    </xf>
    <xf numFmtId="3" fontId="0" fillId="0" borderId="0" xfId="15" applyNumberFormat="1" applyFill="1" applyBorder="1" applyAlignment="1">
      <alignment horizontal="right" vertical="center"/>
    </xf>
    <xf numFmtId="3" fontId="0" fillId="0" borderId="36" xfId="0" applyNumberFormat="1" applyFill="1" applyBorder="1" applyAlignment="1">
      <alignment vertical="center"/>
    </xf>
    <xf numFmtId="0" fontId="8" fillId="0" borderId="0" xfId="0" applyFont="1" applyBorder="1" applyAlignment="1">
      <alignment vertical="center"/>
    </xf>
    <xf numFmtId="0" fontId="0" fillId="0" borderId="35" xfId="0" applyBorder="1" applyAlignment="1">
      <alignment horizontal="right" vertical="center"/>
    </xf>
    <xf numFmtId="3" fontId="0" fillId="2" borderId="0" xfId="0" applyNumberFormat="1" applyFill="1" applyBorder="1" applyAlignment="1">
      <alignment horizontal="left" vertical="center"/>
    </xf>
    <xf numFmtId="166" fontId="0" fillId="2" borderId="0" xfId="15" applyNumberFormat="1" applyFill="1" applyBorder="1" applyAlignment="1">
      <alignment vertical="center"/>
    </xf>
    <xf numFmtId="0" fontId="0" fillId="2" borderId="0" xfId="0" applyFill="1" applyBorder="1" applyAlignment="1">
      <alignment vertical="center"/>
    </xf>
    <xf numFmtId="3" fontId="0" fillId="2" borderId="0" xfId="0" applyNumberFormat="1" applyFill="1" applyBorder="1" applyAlignment="1">
      <alignment vertical="center"/>
    </xf>
    <xf numFmtId="3" fontId="0" fillId="2" borderId="0" xfId="17" applyNumberFormat="1" applyFill="1" applyBorder="1" applyAlignment="1">
      <alignment vertical="center"/>
    </xf>
    <xf numFmtId="3" fontId="0" fillId="0" borderId="38" xfId="0" applyNumberFormat="1" applyFill="1" applyBorder="1" applyAlignment="1">
      <alignment horizontal="left" vertical="center"/>
    </xf>
    <xf numFmtId="166" fontId="0" fillId="0" borderId="38" xfId="15" applyNumberFormat="1" applyFill="1" applyBorder="1" applyAlignment="1">
      <alignment vertical="center"/>
    </xf>
    <xf numFmtId="0" fontId="0" fillId="0" borderId="38" xfId="0" applyFill="1" applyBorder="1" applyAlignment="1">
      <alignment vertical="center"/>
    </xf>
    <xf numFmtId="3" fontId="0" fillId="0" borderId="38" xfId="17" applyNumberFormat="1" applyFill="1" applyBorder="1" applyAlignment="1">
      <alignment vertical="center"/>
    </xf>
    <xf numFmtId="0" fontId="0" fillId="0" borderId="0" xfId="0" applyAlignment="1">
      <alignment horizontal="right" vertical="center"/>
    </xf>
    <xf numFmtId="0" fontId="0" fillId="0" borderId="0" xfId="0" applyAlignment="1">
      <alignment horizontal="left" vertical="center"/>
    </xf>
    <xf numFmtId="168" fontId="0" fillId="0" borderId="0" xfId="0" applyNumberFormat="1" applyAlignment="1">
      <alignment horizontal="center" vertical="center"/>
    </xf>
    <xf numFmtId="3" fontId="0" fillId="0" borderId="0" xfId="0" applyNumberFormat="1" applyAlignment="1">
      <alignment horizontal="left" vertical="center"/>
    </xf>
    <xf numFmtId="0" fontId="8" fillId="3" borderId="21" xfId="0" applyFont="1" applyFill="1" applyBorder="1" applyAlignment="1">
      <alignment vertical="center"/>
    </xf>
    <xf numFmtId="0" fontId="0" fillId="3" borderId="45" xfId="0" applyFill="1" applyBorder="1" applyAlignment="1">
      <alignment vertical="center"/>
    </xf>
    <xf numFmtId="166" fontId="0" fillId="0" borderId="0" xfId="15" applyNumberFormat="1" applyFont="1" applyAlignment="1">
      <alignment vertical="center"/>
    </xf>
    <xf numFmtId="167" fontId="0" fillId="0" borderId="0" xfId="21" applyNumberFormat="1" applyBorder="1" applyAlignment="1">
      <alignment horizontal="center" vertical="center"/>
    </xf>
    <xf numFmtId="166" fontId="0" fillId="0" borderId="0" xfId="15" applyNumberFormat="1" applyBorder="1" applyAlignment="1">
      <alignment horizontal="center" vertical="center"/>
    </xf>
    <xf numFmtId="166" fontId="0" fillId="0" borderId="0" xfId="15" applyNumberFormat="1" applyFont="1" applyAlignment="1">
      <alignment vertical="center"/>
    </xf>
    <xf numFmtId="168" fontId="0" fillId="0" borderId="0" xfId="21" applyNumberFormat="1" applyAlignment="1">
      <alignment horizontal="center" vertical="center"/>
    </xf>
    <xf numFmtId="0" fontId="0" fillId="0" borderId="24" xfId="0" applyBorder="1" applyAlignment="1">
      <alignment horizontal="center" vertical="center"/>
    </xf>
    <xf numFmtId="3" fontId="0" fillId="0" borderId="24" xfId="21" applyNumberFormat="1" applyBorder="1" applyAlignment="1">
      <alignment horizontal="center" vertical="center"/>
    </xf>
    <xf numFmtId="0" fontId="0" fillId="0" borderId="24" xfId="0" applyBorder="1" applyAlignment="1">
      <alignment horizontal="right" vertical="center"/>
    </xf>
    <xf numFmtId="43" fontId="0" fillId="0" borderId="24" xfId="15" applyBorder="1" applyAlignment="1">
      <alignment horizontal="center" vertical="center"/>
    </xf>
    <xf numFmtId="3" fontId="0" fillId="0" borderId="24" xfId="0" applyNumberFormat="1" applyBorder="1" applyAlignment="1">
      <alignment vertical="center"/>
    </xf>
    <xf numFmtId="43" fontId="0" fillId="0" borderId="0" xfId="15" applyFont="1" applyAlignment="1">
      <alignment vertical="center"/>
    </xf>
    <xf numFmtId="43" fontId="0" fillId="0" borderId="0" xfId="15" applyAlignment="1">
      <alignment vertical="center"/>
    </xf>
    <xf numFmtId="44" fontId="0" fillId="0" borderId="0" xfId="17" applyAlignment="1">
      <alignment vertical="center"/>
    </xf>
    <xf numFmtId="44" fontId="0" fillId="0" borderId="0" xfId="17" applyBorder="1" applyAlignment="1">
      <alignment vertical="center"/>
    </xf>
    <xf numFmtId="0" fontId="8" fillId="0" borderId="0" xfId="0" applyFont="1" applyAlignment="1">
      <alignment vertical="center"/>
    </xf>
    <xf numFmtId="0" fontId="0" fillId="0" borderId="19" xfId="0" applyBorder="1" applyAlignment="1">
      <alignment vertical="center"/>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23" xfId="0" applyBorder="1" applyAlignment="1">
      <alignment vertical="center"/>
    </xf>
    <xf numFmtId="9" fontId="0" fillId="0" borderId="24" xfId="0" applyNumberFormat="1" applyBorder="1" applyAlignment="1">
      <alignment horizontal="center" vertical="center"/>
    </xf>
    <xf numFmtId="0" fontId="0" fillId="0" borderId="46" xfId="0" applyBorder="1" applyAlignment="1">
      <alignment horizontal="center" vertical="center"/>
    </xf>
    <xf numFmtId="167" fontId="0" fillId="0" borderId="0" xfId="0" applyNumberFormat="1" applyAlignment="1">
      <alignment vertical="center"/>
    </xf>
    <xf numFmtId="2" fontId="0" fillId="0" borderId="0" xfId="0" applyNumberFormat="1" applyBorder="1" applyAlignment="1">
      <alignment vertical="center"/>
    </xf>
    <xf numFmtId="166" fontId="0" fillId="0" borderId="24" xfId="0" applyNumberFormat="1" applyBorder="1" applyAlignment="1">
      <alignment vertical="center"/>
    </xf>
    <xf numFmtId="9" fontId="0" fillId="0" borderId="24" xfId="21" applyBorder="1" applyAlignment="1">
      <alignment horizontal="center" vertical="center"/>
    </xf>
    <xf numFmtId="2" fontId="0" fillId="0" borderId="0" xfId="15" applyNumberFormat="1" applyBorder="1" applyAlignment="1">
      <alignment vertical="center"/>
    </xf>
    <xf numFmtId="9" fontId="0" fillId="0" borderId="0" xfId="15" applyNumberFormat="1" applyBorder="1" applyAlignment="1">
      <alignment vertical="center"/>
    </xf>
    <xf numFmtId="0" fontId="8" fillId="0" borderId="0" xfId="0" applyFont="1" applyAlignment="1">
      <alignment horizontal="left" vertical="center"/>
    </xf>
    <xf numFmtId="3" fontId="0" fillId="0" borderId="0" xfId="17" applyNumberFormat="1" applyBorder="1" applyAlignment="1">
      <alignment vertical="center"/>
    </xf>
    <xf numFmtId="166" fontId="0" fillId="0" borderId="0" xfId="0" applyNumberFormat="1" applyFill="1" applyAlignment="1">
      <alignment vertical="center"/>
    </xf>
    <xf numFmtId="3" fontId="0" fillId="0" borderId="0" xfId="0" applyNumberFormat="1" applyFill="1" applyAlignment="1">
      <alignment vertical="center"/>
    </xf>
    <xf numFmtId="0" fontId="7" fillId="0" borderId="0" xfId="0" applyFont="1" applyFill="1" applyAlignment="1">
      <alignment vertical="center"/>
    </xf>
    <xf numFmtId="2" fontId="0" fillId="0" borderId="0" xfId="0" applyNumberFormat="1" applyFill="1" applyBorder="1" applyAlignment="1">
      <alignment vertical="center"/>
    </xf>
    <xf numFmtId="177" fontId="0" fillId="0" borderId="0" xfId="0" applyNumberFormat="1" applyFont="1" applyFill="1" applyBorder="1" applyAlignment="1">
      <alignment vertical="center"/>
    </xf>
    <xf numFmtId="177" fontId="0" fillId="0" borderId="0" xfId="0" applyNumberFormat="1" applyFill="1" applyBorder="1" applyAlignment="1">
      <alignment vertical="center"/>
    </xf>
    <xf numFmtId="0" fontId="0" fillId="0" borderId="0" xfId="0" applyFill="1" applyAlignment="1">
      <alignment horizontal="right" vertical="center"/>
    </xf>
    <xf numFmtId="43" fontId="0" fillId="0" borderId="0" xfId="15" applyFont="1" applyFill="1" applyAlignment="1">
      <alignment vertical="center"/>
    </xf>
    <xf numFmtId="166" fontId="0" fillId="0" borderId="0" xfId="15" applyNumberFormat="1" applyFill="1" applyAlignment="1">
      <alignment vertical="center"/>
    </xf>
    <xf numFmtId="166" fontId="0" fillId="0" borderId="0" xfId="15" applyNumberFormat="1" applyFill="1" applyBorder="1" applyAlignment="1">
      <alignment vertical="center"/>
    </xf>
    <xf numFmtId="166" fontId="0" fillId="0" borderId="0" xfId="0" applyNumberFormat="1" applyFill="1" applyBorder="1" applyAlignment="1">
      <alignment vertical="center"/>
    </xf>
    <xf numFmtId="0" fontId="0" fillId="0" borderId="23" xfId="0" applyBorder="1" applyAlignment="1">
      <alignment horizontal="center" vertical="center"/>
    </xf>
    <xf numFmtId="0" fontId="0" fillId="0" borderId="47" xfId="0" applyBorder="1" applyAlignment="1">
      <alignment horizontal="center" vertical="center"/>
    </xf>
    <xf numFmtId="166" fontId="0" fillId="0" borderId="47" xfId="15" applyNumberFormat="1" applyBorder="1" applyAlignment="1">
      <alignment vertical="center"/>
    </xf>
    <xf numFmtId="0" fontId="0" fillId="0" borderId="20" xfId="0" applyBorder="1" applyAlignment="1">
      <alignment vertical="center"/>
    </xf>
    <xf numFmtId="166" fontId="0" fillId="0" borderId="20" xfId="0" applyNumberFormat="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166" fontId="0" fillId="0" borderId="22" xfId="0" applyNumberFormat="1" applyBorder="1" applyAlignment="1">
      <alignment vertical="center"/>
    </xf>
    <xf numFmtId="166" fontId="0" fillId="0" borderId="17" xfId="0" applyNumberFormat="1" applyBorder="1" applyAlignment="1">
      <alignment vertical="center"/>
    </xf>
    <xf numFmtId="167" fontId="0" fillId="0" borderId="47" xfId="21" applyNumberFormat="1" applyBorder="1" applyAlignment="1">
      <alignment horizontal="center" vertical="center"/>
    </xf>
    <xf numFmtId="166" fontId="0" fillId="0" borderId="47" xfId="15" applyNumberFormat="1" applyBorder="1" applyAlignment="1">
      <alignment horizontal="center" vertical="center"/>
    </xf>
    <xf numFmtId="168" fontId="0" fillId="0" borderId="0" xfId="21" applyNumberFormat="1" applyBorder="1" applyAlignment="1">
      <alignment horizontal="center" vertical="center"/>
    </xf>
    <xf numFmtId="0" fontId="0" fillId="0" borderId="47" xfId="0" applyBorder="1"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166" fontId="0" fillId="0" borderId="36" xfId="15" applyNumberFormat="1" applyBorder="1" applyAlignment="1">
      <alignment vertical="center"/>
    </xf>
    <xf numFmtId="0" fontId="0" fillId="0" borderId="43" xfId="0" applyBorder="1" applyAlignment="1">
      <alignment horizontal="right" vertical="center"/>
    </xf>
    <xf numFmtId="166" fontId="0" fillId="0" borderId="44" xfId="0" applyNumberFormat="1" applyBorder="1" applyAlignment="1">
      <alignment vertical="center"/>
    </xf>
    <xf numFmtId="0" fontId="0" fillId="0" borderId="48" xfId="0" applyBorder="1" applyAlignment="1">
      <alignment horizontal="right" vertical="center"/>
    </xf>
    <xf numFmtId="166" fontId="0" fillId="0" borderId="49" xfId="0" applyNumberFormat="1" applyBorder="1" applyAlignment="1">
      <alignment vertical="center"/>
    </xf>
    <xf numFmtId="3" fontId="0" fillId="0" borderId="36" xfId="0" applyNumberFormat="1" applyBorder="1" applyAlignment="1">
      <alignment horizontal="center" vertical="center"/>
    </xf>
    <xf numFmtId="167" fontId="0" fillId="0" borderId="36" xfId="21" applyNumberFormat="1" applyBorder="1" applyAlignment="1">
      <alignment horizontal="center" vertical="center"/>
    </xf>
    <xf numFmtId="166" fontId="0" fillId="0" borderId="36" xfId="15" applyNumberFormat="1" applyBorder="1" applyAlignment="1">
      <alignment horizontal="center" vertical="center"/>
    </xf>
    <xf numFmtId="0" fontId="0" fillId="0" borderId="37" xfId="0" applyBorder="1" applyAlignment="1">
      <alignment horizontal="right" vertical="center"/>
    </xf>
    <xf numFmtId="168" fontId="0" fillId="0" borderId="38" xfId="21" applyNumberForma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5" xfId="0" applyNumberFormat="1" applyFont="1" applyBorder="1" applyAlignment="1">
      <alignment vertical="center"/>
    </xf>
    <xf numFmtId="3" fontId="0" fillId="0" borderId="0" xfId="21" applyNumberFormat="1" applyBorder="1" applyAlignment="1">
      <alignment horizontal="center" vertical="center"/>
    </xf>
    <xf numFmtId="0" fontId="0" fillId="0" borderId="35" xfId="15" applyNumberFormat="1" applyFont="1" applyBorder="1" applyAlignment="1">
      <alignment vertical="center"/>
    </xf>
    <xf numFmtId="3" fontId="0" fillId="0" borderId="0" xfId="15" applyNumberFormat="1" applyBorder="1" applyAlignment="1">
      <alignment horizontal="center" vertical="center"/>
    </xf>
    <xf numFmtId="0" fontId="0" fillId="0" borderId="43" xfId="15" applyNumberFormat="1" applyFont="1" applyBorder="1" applyAlignment="1">
      <alignment vertical="center"/>
    </xf>
    <xf numFmtId="3" fontId="0" fillId="0" borderId="44" xfId="0" applyNumberFormat="1" applyBorder="1" applyAlignment="1">
      <alignment horizontal="center" vertical="center"/>
    </xf>
    <xf numFmtId="166" fontId="0" fillId="0" borderId="35" xfId="15" applyNumberFormat="1" applyFont="1" applyBorder="1" applyAlignment="1">
      <alignment vertical="center"/>
    </xf>
    <xf numFmtId="3" fontId="0" fillId="0" borderId="36" xfId="21" applyNumberFormat="1" applyBorder="1" applyAlignment="1">
      <alignment horizontal="center" vertical="center"/>
    </xf>
    <xf numFmtId="166" fontId="0" fillId="0" borderId="37" xfId="15" applyNumberFormat="1" applyFont="1" applyBorder="1" applyAlignment="1">
      <alignment vertical="center"/>
    </xf>
    <xf numFmtId="0" fontId="0" fillId="0" borderId="39" xfId="0" applyBorder="1" applyAlignment="1">
      <alignment horizontal="center" vertical="center"/>
    </xf>
    <xf numFmtId="166" fontId="0" fillId="0" borderId="23" xfId="15" applyNumberFormat="1" applyBorder="1" applyAlignment="1">
      <alignment vertical="center"/>
    </xf>
    <xf numFmtId="166" fontId="0" fillId="0" borderId="47" xfId="15" applyNumberFormat="1" applyBorder="1" applyAlignment="1">
      <alignment horizontal="right" vertical="center"/>
    </xf>
    <xf numFmtId="166" fontId="0" fillId="0" borderId="23" xfId="15" applyNumberFormat="1" applyFont="1" applyBorder="1" applyAlignment="1">
      <alignment vertical="center"/>
    </xf>
    <xf numFmtId="168" fontId="0" fillId="0" borderId="20" xfId="21" applyNumberFormat="1" applyBorder="1" applyAlignment="1">
      <alignment horizontal="center" vertical="center"/>
    </xf>
    <xf numFmtId="166" fontId="0" fillId="0" borderId="19" xfId="0" applyNumberFormat="1" applyBorder="1" applyAlignment="1">
      <alignment vertical="center"/>
    </xf>
    <xf numFmtId="166" fontId="0" fillId="0" borderId="15" xfId="0" applyNumberFormat="1" applyBorder="1" applyAlignment="1">
      <alignment vertical="center"/>
    </xf>
    <xf numFmtId="167" fontId="0" fillId="0" borderId="23" xfId="21" applyNumberFormat="1" applyBorder="1" applyAlignment="1">
      <alignment horizontal="center" vertical="center"/>
    </xf>
    <xf numFmtId="166" fontId="0" fillId="0" borderId="23" xfId="15" applyNumberFormat="1" applyFont="1" applyBorder="1" applyAlignment="1">
      <alignment vertical="center"/>
    </xf>
    <xf numFmtId="168" fontId="0" fillId="0" borderId="47" xfId="21" applyNumberFormat="1" applyBorder="1" applyAlignment="1">
      <alignment horizontal="center" vertical="center"/>
    </xf>
    <xf numFmtId="166" fontId="0" fillId="0" borderId="23" xfId="15" applyNumberFormat="1" applyBorder="1" applyAlignment="1">
      <alignment horizontal="center" vertical="center"/>
    </xf>
    <xf numFmtId="166" fontId="0" fillId="0" borderId="19" xfId="15" applyNumberFormat="1" applyFont="1" applyBorder="1" applyAlignment="1">
      <alignment vertical="center"/>
    </xf>
    <xf numFmtId="166" fontId="0" fillId="0" borderId="20" xfId="15" applyNumberFormat="1" applyFont="1" applyBorder="1" applyAlignment="1">
      <alignment vertical="center"/>
    </xf>
    <xf numFmtId="166" fontId="0" fillId="0" borderId="47" xfId="15" applyNumberFormat="1" applyFont="1" applyBorder="1" applyAlignment="1">
      <alignment vertical="center"/>
    </xf>
    <xf numFmtId="166" fontId="0" fillId="0" borderId="50" xfId="15" applyNumberFormat="1" applyFont="1" applyBorder="1" applyAlignment="1">
      <alignment vertical="center"/>
    </xf>
    <xf numFmtId="168" fontId="0" fillId="0" borderId="51" xfId="21" applyNumberFormat="1" applyBorder="1" applyAlignment="1">
      <alignment horizontal="center" vertical="center"/>
    </xf>
    <xf numFmtId="166" fontId="0" fillId="0" borderId="50" xfId="15" applyNumberFormat="1" applyFont="1" applyBorder="1" applyAlignment="1">
      <alignment vertical="center"/>
    </xf>
    <xf numFmtId="166" fontId="0" fillId="0" borderId="51" xfId="15" applyNumberFormat="1"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8" fillId="0" borderId="40" xfId="0" applyFont="1" applyBorder="1" applyAlignment="1">
      <alignment horizontal="center" vertical="center"/>
    </xf>
    <xf numFmtId="0" fontId="8" fillId="0" borderId="0" xfId="0" applyFont="1" applyAlignment="1">
      <alignment horizontal="center" vertical="center"/>
    </xf>
    <xf numFmtId="166" fontId="8" fillId="0" borderId="34" xfId="15" applyNumberFormat="1" applyFont="1" applyBorder="1" applyAlignment="1">
      <alignment horizontal="center" vertical="center"/>
    </xf>
    <xf numFmtId="1" fontId="8" fillId="0" borderId="29" xfId="21" applyNumberFormat="1"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4" xfId="0" applyFont="1" applyBorder="1" applyAlignment="1">
      <alignment horizontal="center" vertical="center"/>
    </xf>
    <xf numFmtId="0" fontId="8" fillId="0" borderId="44"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166" fontId="8" fillId="0" borderId="37" xfId="15" applyNumberFormat="1" applyFont="1" applyBorder="1" applyAlignment="1">
      <alignment horizontal="left" vertical="center"/>
    </xf>
    <xf numFmtId="0" fontId="0" fillId="0" borderId="34" xfId="0" applyBorder="1" applyAlignment="1">
      <alignment horizontal="right" vertical="center"/>
    </xf>
    <xf numFmtId="166" fontId="0" fillId="0" borderId="29" xfId="15" applyNumberFormat="1" applyFont="1" applyBorder="1" applyAlignment="1">
      <alignment vertical="center"/>
    </xf>
    <xf numFmtId="168" fontId="0" fillId="0" borderId="29" xfId="21" applyNumberFormat="1" applyBorder="1" applyAlignment="1">
      <alignment horizontal="center" vertical="center"/>
    </xf>
    <xf numFmtId="0" fontId="0" fillId="0" borderId="29" xfId="0" applyBorder="1" applyAlignment="1">
      <alignment horizontal="right" vertical="center"/>
    </xf>
    <xf numFmtId="166" fontId="0" fillId="0" borderId="29" xfId="15" applyNumberFormat="1" applyFont="1" applyBorder="1" applyAlignment="1">
      <alignment horizontal="center" vertical="center"/>
    </xf>
    <xf numFmtId="166" fontId="0" fillId="0" borderId="29" xfId="15" applyNumberFormat="1" applyFont="1" applyBorder="1" applyAlignment="1">
      <alignment vertical="center"/>
    </xf>
    <xf numFmtId="3" fontId="0" fillId="0" borderId="44" xfId="0" applyNumberFormat="1" applyBorder="1" applyAlignment="1">
      <alignment vertical="center"/>
    </xf>
    <xf numFmtId="43" fontId="0" fillId="0" borderId="0" xfId="15" applyBorder="1" applyAlignment="1">
      <alignment horizontal="center" vertical="center"/>
    </xf>
    <xf numFmtId="43" fontId="0" fillId="0" borderId="0" xfId="15" applyFont="1" applyBorder="1" applyAlignment="1">
      <alignment horizontal="center" vertical="center"/>
    </xf>
    <xf numFmtId="0" fontId="0" fillId="2" borderId="35" xfId="0" applyFill="1" applyBorder="1" applyAlignment="1">
      <alignment vertical="center"/>
    </xf>
    <xf numFmtId="0" fontId="0" fillId="2" borderId="0" xfId="0" applyFill="1" applyBorder="1" applyAlignment="1">
      <alignment horizontal="right" vertical="center"/>
    </xf>
    <xf numFmtId="43" fontId="0" fillId="0" borderId="0" xfId="15" applyFont="1" applyBorder="1" applyAlignment="1">
      <alignment vertical="center"/>
    </xf>
    <xf numFmtId="0" fontId="0" fillId="2" borderId="38" xfId="0" applyFill="1" applyBorder="1" applyAlignment="1">
      <alignment horizontal="right" vertical="center"/>
    </xf>
    <xf numFmtId="0" fontId="0" fillId="2" borderId="38" xfId="0" applyFill="1" applyBorder="1" applyAlignment="1">
      <alignment vertical="center"/>
    </xf>
    <xf numFmtId="43" fontId="0" fillId="2" borderId="38" xfId="15" applyFont="1" applyFill="1" applyBorder="1" applyAlignment="1">
      <alignment vertical="center"/>
    </xf>
    <xf numFmtId="166" fontId="0" fillId="2" borderId="38" xfId="15" applyNumberFormat="1" applyFill="1" applyBorder="1" applyAlignment="1">
      <alignment vertical="center"/>
    </xf>
    <xf numFmtId="166" fontId="0" fillId="2" borderId="38" xfId="0" applyNumberFormat="1" applyFill="1" applyBorder="1" applyAlignment="1">
      <alignment vertical="center"/>
    </xf>
    <xf numFmtId="0" fontId="0" fillId="0" borderId="41" xfId="0" applyBorder="1" applyAlignment="1">
      <alignment horizontal="center" vertical="center"/>
    </xf>
    <xf numFmtId="0" fontId="0" fillId="0" borderId="41" xfId="0" applyBorder="1" applyAlignment="1">
      <alignment horizontal="center" vertical="center" wrapText="1"/>
    </xf>
    <xf numFmtId="0" fontId="0" fillId="0" borderId="29" xfId="0" applyFill="1" applyBorder="1" applyAlignment="1">
      <alignment horizontal="center" vertical="center" wrapText="1"/>
    </xf>
    <xf numFmtId="0" fontId="0" fillId="0" borderId="42" xfId="0" applyBorder="1" applyAlignment="1">
      <alignment horizontal="center" vertical="center" wrapText="1"/>
    </xf>
    <xf numFmtId="9" fontId="0" fillId="0" borderId="0" xfId="21" applyBorder="1" applyAlignment="1">
      <alignment horizontal="center" vertical="center"/>
    </xf>
    <xf numFmtId="0" fontId="0" fillId="6" borderId="0" xfId="0" applyFill="1" applyBorder="1" applyAlignment="1">
      <alignment vertical="center"/>
    </xf>
    <xf numFmtId="0" fontId="0" fillId="6" borderId="36" xfId="0" applyFill="1" applyBorder="1" applyAlignment="1">
      <alignment vertical="center"/>
    </xf>
    <xf numFmtId="0" fontId="0" fillId="6" borderId="0" xfId="0" applyFill="1" applyBorder="1" applyAlignment="1">
      <alignment horizontal="center" vertical="center"/>
    </xf>
    <xf numFmtId="0" fontId="0" fillId="6" borderId="36" xfId="0" applyFill="1" applyBorder="1" applyAlignment="1">
      <alignment horizontal="center" vertical="center"/>
    </xf>
    <xf numFmtId="1" fontId="0" fillId="0" borderId="0" xfId="0" applyNumberFormat="1" applyBorder="1" applyAlignment="1">
      <alignment horizontal="center" vertical="center"/>
    </xf>
    <xf numFmtId="166" fontId="0" fillId="0" borderId="38" xfId="0" applyNumberFormat="1" applyBorder="1" applyAlignment="1">
      <alignment vertical="center"/>
    </xf>
    <xf numFmtId="9" fontId="0" fillId="0" borderId="38" xfId="21" applyBorder="1" applyAlignment="1">
      <alignment horizontal="center" vertical="center"/>
    </xf>
    <xf numFmtId="166" fontId="0" fillId="0" borderId="38" xfId="15" applyNumberFormat="1" applyBorder="1" applyAlignment="1">
      <alignment vertical="center"/>
    </xf>
    <xf numFmtId="166" fontId="0" fillId="0" borderId="39" xfId="15" applyNumberFormat="1" applyBorder="1" applyAlignment="1">
      <alignment vertical="center"/>
    </xf>
    <xf numFmtId="166" fontId="0" fillId="0" borderId="30" xfId="15" applyNumberFormat="1" applyBorder="1" applyAlignment="1">
      <alignment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52" xfId="0" applyBorder="1" applyAlignment="1">
      <alignment horizontal="center" vertical="center"/>
    </xf>
    <xf numFmtId="166" fontId="0" fillId="0" borderId="39" xfId="0" applyNumberFormat="1" applyBorder="1" applyAlignment="1">
      <alignment vertical="center"/>
    </xf>
    <xf numFmtId="0" fontId="6" fillId="0" borderId="34" xfId="0" applyFont="1" applyBorder="1" applyAlignment="1">
      <alignment vertical="center"/>
    </xf>
    <xf numFmtId="0" fontId="0" fillId="0" borderId="43" xfId="0" applyBorder="1" applyAlignment="1">
      <alignment vertical="center"/>
    </xf>
    <xf numFmtId="3" fontId="0" fillId="0" borderId="0" xfId="15" applyNumberFormat="1" applyBorder="1" applyAlignment="1">
      <alignment vertical="center"/>
    </xf>
    <xf numFmtId="9" fontId="0" fillId="0" borderId="0" xfId="0" applyNumberFormat="1" applyBorder="1" applyAlignment="1">
      <alignment vertical="center"/>
    </xf>
    <xf numFmtId="0" fontId="0" fillId="0" borderId="38" xfId="0" applyBorder="1" applyAlignment="1">
      <alignment horizontal="right" vertical="center"/>
    </xf>
    <xf numFmtId="3" fontId="0" fillId="0" borderId="38" xfId="0" applyNumberFormat="1" applyBorder="1" applyAlignment="1">
      <alignment vertical="center"/>
    </xf>
    <xf numFmtId="9" fontId="0" fillId="0" borderId="36" xfId="0" applyNumberFormat="1" applyBorder="1" applyAlignment="1">
      <alignment vertical="center"/>
    </xf>
    <xf numFmtId="9" fontId="0" fillId="0" borderId="39" xfId="0" applyNumberFormat="1" applyBorder="1" applyAlignment="1">
      <alignment vertical="center"/>
    </xf>
    <xf numFmtId="0" fontId="7" fillId="0" borderId="34" xfId="0" applyFont="1" applyBorder="1" applyAlignment="1">
      <alignment vertical="center"/>
    </xf>
    <xf numFmtId="3" fontId="0" fillId="0" borderId="36" xfId="17" applyNumberFormat="1" applyBorder="1" applyAlignment="1">
      <alignment vertical="center"/>
    </xf>
    <xf numFmtId="0" fontId="0" fillId="0" borderId="36" xfId="0" applyFill="1" applyBorder="1" applyAlignment="1">
      <alignment vertical="center"/>
    </xf>
    <xf numFmtId="0" fontId="0" fillId="0" borderId="35" xfId="0" applyFill="1" applyBorder="1" applyAlignment="1">
      <alignment vertical="center"/>
    </xf>
    <xf numFmtId="0" fontId="7" fillId="0" borderId="35" xfId="0" applyFont="1" applyFill="1" applyBorder="1" applyAlignment="1">
      <alignment vertical="center"/>
    </xf>
    <xf numFmtId="0" fontId="0" fillId="0" borderId="37" xfId="0" applyFill="1" applyBorder="1" applyAlignment="1">
      <alignment vertical="center"/>
    </xf>
    <xf numFmtId="3" fontId="0" fillId="0" borderId="38" xfId="0" applyNumberFormat="1" applyFill="1" applyBorder="1" applyAlignment="1">
      <alignment vertical="center"/>
    </xf>
    <xf numFmtId="3" fontId="0" fillId="0" borderId="39" xfId="0" applyNumberFormat="1" applyFill="1" applyBorder="1" applyAlignment="1">
      <alignment vertical="center"/>
    </xf>
    <xf numFmtId="0" fontId="8" fillId="0" borderId="34" xfId="0" applyFont="1" applyBorder="1" applyAlignment="1">
      <alignment vertical="center"/>
    </xf>
    <xf numFmtId="0" fontId="8" fillId="0" borderId="29" xfId="0" applyFont="1" applyBorder="1" applyAlignment="1">
      <alignment horizontal="center" vertical="center" wrapText="1"/>
    </xf>
    <xf numFmtId="0" fontId="8" fillId="0" borderId="29" xfId="0" applyFont="1" applyBorder="1" applyAlignment="1">
      <alignment vertical="center"/>
    </xf>
    <xf numFmtId="0" fontId="8" fillId="0" borderId="30" xfId="0" applyFont="1" applyBorder="1" applyAlignment="1">
      <alignment vertical="center"/>
    </xf>
    <xf numFmtId="167" fontId="22" fillId="4" borderId="53" xfId="0" applyNumberFormat="1" applyFont="1" applyFill="1" applyBorder="1" applyAlignment="1">
      <alignment vertical="center"/>
    </xf>
    <xf numFmtId="0" fontId="6" fillId="0" borderId="0" xfId="0" applyFont="1" applyFill="1" applyAlignment="1">
      <alignment vertical="center"/>
    </xf>
    <xf numFmtId="0" fontId="0" fillId="0" borderId="0" xfId="0" applyFill="1" applyAlignment="1">
      <alignment horizontal="center" vertical="center"/>
    </xf>
    <xf numFmtId="0" fontId="0" fillId="0" borderId="34" xfId="0" applyFill="1" applyBorder="1" applyAlignment="1">
      <alignment vertical="center"/>
    </xf>
    <xf numFmtId="0" fontId="0" fillId="0" borderId="29" xfId="0" applyFill="1" applyBorder="1" applyAlignment="1">
      <alignment vertical="center"/>
    </xf>
    <xf numFmtId="177" fontId="0" fillId="7" borderId="29" xfId="0" applyNumberFormat="1" applyFill="1" applyBorder="1" applyAlignment="1">
      <alignment vertical="center"/>
    </xf>
    <xf numFmtId="177" fontId="0" fillId="7" borderId="30" xfId="0" applyNumberFormat="1" applyFill="1" applyBorder="1" applyAlignment="1">
      <alignment vertical="center"/>
    </xf>
    <xf numFmtId="9" fontId="0" fillId="0" borderId="0" xfId="0" applyNumberFormat="1" applyFill="1" applyBorder="1" applyAlignment="1">
      <alignment horizontal="center" vertical="center"/>
    </xf>
    <xf numFmtId="2" fontId="0" fillId="0" borderId="36" xfId="0" applyNumberFormat="1" applyFill="1" applyBorder="1" applyAlignment="1">
      <alignment vertical="center"/>
    </xf>
    <xf numFmtId="177" fontId="0" fillId="0" borderId="36" xfId="0" applyNumberFormat="1" applyFont="1" applyFill="1" applyBorder="1" applyAlignment="1">
      <alignment vertical="center"/>
    </xf>
    <xf numFmtId="177" fontId="0" fillId="0" borderId="36" xfId="0" applyNumberFormat="1" applyFill="1" applyBorder="1" applyAlignment="1">
      <alignment vertical="center"/>
    </xf>
    <xf numFmtId="3" fontId="0" fillId="7" borderId="38" xfId="0" applyNumberFormat="1" applyFill="1" applyBorder="1" applyAlignment="1">
      <alignment vertical="center"/>
    </xf>
    <xf numFmtId="3" fontId="0" fillId="7" borderId="39" xfId="0" applyNumberFormat="1" applyFill="1" applyBorder="1" applyAlignment="1">
      <alignment vertical="center"/>
    </xf>
    <xf numFmtId="0" fontId="0" fillId="0" borderId="53" xfId="0" applyBorder="1" applyAlignment="1">
      <alignment vertical="center"/>
    </xf>
    <xf numFmtId="167" fontId="0" fillId="0" borderId="53" xfId="0" applyNumberFormat="1" applyBorder="1" applyAlignment="1">
      <alignment vertical="center"/>
    </xf>
    <xf numFmtId="0" fontId="22" fillId="4" borderId="53" xfId="0" applyFont="1" applyFill="1" applyBorder="1" applyAlignment="1">
      <alignment vertical="center"/>
    </xf>
    <xf numFmtId="0" fontId="8" fillId="0" borderId="54" xfId="0" applyFont="1" applyBorder="1" applyAlignment="1">
      <alignment horizontal="center" vertical="center"/>
    </xf>
    <xf numFmtId="0" fontId="8" fillId="0" borderId="19" xfId="0" applyFont="1" applyBorder="1" applyAlignment="1">
      <alignment horizontal="center" vertical="center"/>
    </xf>
    <xf numFmtId="3" fontId="0" fillId="0" borderId="23" xfId="0" applyNumberFormat="1" applyBorder="1" applyAlignment="1">
      <alignment vertical="center"/>
    </xf>
    <xf numFmtId="3" fontId="0" fillId="0" borderId="23" xfId="17" applyNumberFormat="1" applyBorder="1" applyAlignment="1">
      <alignment vertical="center"/>
    </xf>
    <xf numFmtId="0" fontId="0" fillId="0" borderId="23" xfId="0" applyFill="1" applyBorder="1" applyAlignment="1">
      <alignment vertical="center"/>
    </xf>
    <xf numFmtId="3" fontId="0" fillId="0" borderId="23" xfId="0" applyNumberFormat="1" applyFill="1" applyBorder="1" applyAlignment="1">
      <alignment vertical="center"/>
    </xf>
    <xf numFmtId="3" fontId="0" fillId="0" borderId="50" xfId="0" applyNumberFormat="1" applyFill="1" applyBorder="1" applyAlignment="1">
      <alignment vertical="center"/>
    </xf>
    <xf numFmtId="0" fontId="8" fillId="0" borderId="43" xfId="0" applyFont="1" applyBorder="1" applyAlignment="1">
      <alignment horizontal="center" vertical="center"/>
    </xf>
    <xf numFmtId="0" fontId="8" fillId="0" borderId="24" xfId="0" applyFont="1" applyBorder="1" applyAlignment="1">
      <alignment horizontal="center" vertical="center" wrapText="1"/>
    </xf>
    <xf numFmtId="0" fontId="8" fillId="0" borderId="20" xfId="0" applyFont="1" applyBorder="1" applyAlignment="1">
      <alignment horizontal="center" vertical="center"/>
    </xf>
    <xf numFmtId="0" fontId="8" fillId="0" borderId="35" xfId="0" applyFont="1" applyBorder="1" applyAlignment="1">
      <alignment vertical="center"/>
    </xf>
    <xf numFmtId="0" fontId="0" fillId="0" borderId="35" xfId="0" applyBorder="1" applyAlignment="1">
      <alignment horizontal="left" vertical="center"/>
    </xf>
    <xf numFmtId="0" fontId="0" fillId="0" borderId="37" xfId="0" applyBorder="1" applyAlignment="1">
      <alignment horizontal="left" vertical="center"/>
    </xf>
    <xf numFmtId="3" fontId="0" fillId="0" borderId="39" xfId="0" applyNumberFormat="1" applyBorder="1" applyAlignment="1">
      <alignment vertical="center"/>
    </xf>
    <xf numFmtId="0" fontId="0" fillId="0" borderId="55" xfId="0" applyBorder="1" applyAlignment="1">
      <alignment vertical="center"/>
    </xf>
    <xf numFmtId="9" fontId="0" fillId="0" borderId="0" xfId="0" applyNumberFormat="1" applyBorder="1" applyAlignment="1">
      <alignment horizontal="center" vertical="center"/>
    </xf>
    <xf numFmtId="9" fontId="0" fillId="0" borderId="38" xfId="0" applyNumberFormat="1" applyBorder="1" applyAlignment="1">
      <alignment horizontal="center" vertical="center"/>
    </xf>
    <xf numFmtId="3" fontId="0" fillId="2" borderId="38" xfId="0" applyNumberFormat="1" applyFill="1" applyBorder="1" applyAlignment="1">
      <alignment horizontal="left" vertical="center"/>
    </xf>
    <xf numFmtId="177" fontId="0" fillId="2" borderId="38" xfId="17" applyNumberFormat="1" applyFill="1" applyBorder="1" applyAlignment="1">
      <alignment vertical="center"/>
    </xf>
    <xf numFmtId="0" fontId="8" fillId="0" borderId="40" xfId="0" applyFont="1" applyBorder="1" applyAlignment="1">
      <alignment vertical="center"/>
    </xf>
    <xf numFmtId="0" fontId="8" fillId="0" borderId="50" xfId="0" applyFont="1" applyBorder="1" applyAlignment="1">
      <alignment horizontal="center" vertical="center"/>
    </xf>
    <xf numFmtId="43" fontId="0" fillId="0" borderId="0" xfId="15" applyBorder="1" applyAlignment="1">
      <alignment vertical="center"/>
    </xf>
    <xf numFmtId="167" fontId="15" fillId="0" borderId="29" xfId="0" applyNumberFormat="1" applyFont="1" applyBorder="1" applyAlignment="1">
      <alignment horizontal="center" vertical="center"/>
    </xf>
    <xf numFmtId="43" fontId="0" fillId="0" borderId="29" xfId="15" applyBorder="1" applyAlignment="1">
      <alignment vertical="center"/>
    </xf>
    <xf numFmtId="166" fontId="0" fillId="0" borderId="29" xfId="15" applyNumberFormat="1" applyBorder="1" applyAlignment="1">
      <alignment vertical="center"/>
    </xf>
    <xf numFmtId="167" fontId="0" fillId="0" borderId="37" xfId="21" applyNumberFormat="1" applyBorder="1" applyAlignment="1">
      <alignment vertical="center"/>
    </xf>
    <xf numFmtId="167" fontId="0" fillId="0" borderId="38" xfId="21" applyNumberFormat="1" applyBorder="1" applyAlignment="1">
      <alignment vertical="center"/>
    </xf>
    <xf numFmtId="167" fontId="0" fillId="0" borderId="39" xfId="21" applyNumberFormat="1" applyBorder="1" applyAlignment="1">
      <alignment vertical="center"/>
    </xf>
    <xf numFmtId="0" fontId="0" fillId="3" borderId="32" xfId="0" applyFill="1" applyBorder="1" applyAlignment="1">
      <alignment vertical="center"/>
    </xf>
    <xf numFmtId="0" fontId="0" fillId="3" borderId="33" xfId="0" applyFill="1" applyBorder="1" applyAlignment="1">
      <alignment horizontal="right" vertical="center"/>
    </xf>
    <xf numFmtId="0" fontId="8" fillId="3" borderId="32" xfId="0" applyFont="1" applyFill="1" applyBorder="1" applyAlignment="1">
      <alignment vertical="center"/>
    </xf>
    <xf numFmtId="0" fontId="8" fillId="3" borderId="53" xfId="0" applyFont="1" applyFill="1" applyBorder="1" applyAlignment="1">
      <alignment vertical="center"/>
    </xf>
    <xf numFmtId="0" fontId="8" fillId="2" borderId="56" xfId="0" applyFont="1" applyFill="1" applyBorder="1" applyAlignment="1">
      <alignment vertical="center"/>
    </xf>
    <xf numFmtId="0" fontId="8" fillId="2" borderId="32" xfId="0" applyFont="1" applyFill="1" applyBorder="1" applyAlignment="1">
      <alignment vertical="center"/>
    </xf>
    <xf numFmtId="0" fontId="8" fillId="2" borderId="32" xfId="0" applyFont="1" applyFill="1" applyBorder="1" applyAlignment="1">
      <alignment horizontal="center" vertical="center"/>
    </xf>
    <xf numFmtId="3" fontId="8" fillId="2" borderId="32" xfId="0" applyNumberFormat="1" applyFont="1" applyFill="1" applyBorder="1" applyAlignment="1">
      <alignment vertical="center"/>
    </xf>
    <xf numFmtId="3" fontId="8" fillId="2" borderId="33" xfId="0" applyNumberFormat="1" applyFont="1" applyFill="1" applyBorder="1" applyAlignment="1">
      <alignment vertical="center"/>
    </xf>
    <xf numFmtId="3" fontId="0" fillId="0" borderId="0" xfId="0" applyNumberFormat="1" applyFont="1" applyBorder="1" applyAlignment="1">
      <alignment horizontal="right" vertical="center"/>
    </xf>
    <xf numFmtId="44" fontId="15" fillId="0" borderId="0" xfId="17" applyFont="1" applyFill="1" applyBorder="1" applyAlignment="1">
      <alignment horizontal="right" vertical="center"/>
    </xf>
    <xf numFmtId="0" fontId="0" fillId="0" borderId="35" xfId="0" applyFont="1" applyBorder="1" applyAlignment="1">
      <alignment vertical="center"/>
    </xf>
    <xf numFmtId="3" fontId="8" fillId="2" borderId="35" xfId="0" applyNumberFormat="1" applyFont="1" applyFill="1" applyBorder="1" applyAlignment="1">
      <alignment horizontal="left" vertical="center"/>
    </xf>
    <xf numFmtId="0" fontId="0" fillId="8" borderId="0" xfId="0" applyFill="1" applyBorder="1" applyAlignment="1">
      <alignment vertical="center"/>
    </xf>
    <xf numFmtId="3" fontId="0" fillId="0" borderId="37" xfId="0" applyNumberFormat="1" applyFont="1" applyBorder="1" applyAlignment="1">
      <alignment/>
    </xf>
    <xf numFmtId="0" fontId="0" fillId="0" borderId="34" xfId="0" applyFont="1" applyBorder="1" applyAlignment="1">
      <alignment/>
    </xf>
    <xf numFmtId="1" fontId="15" fillId="0" borderId="35" xfId="0" applyNumberFormat="1" applyFont="1" applyBorder="1" applyAlignment="1">
      <alignment/>
    </xf>
    <xf numFmtId="0" fontId="0" fillId="0" borderId="29" xfId="0" applyFont="1" applyBorder="1" applyAlignment="1">
      <alignment horizontal="left"/>
    </xf>
    <xf numFmtId="0" fontId="0" fillId="0" borderId="57" xfId="0" applyFont="1" applyBorder="1" applyAlignment="1">
      <alignment/>
    </xf>
    <xf numFmtId="0" fontId="0" fillId="0" borderId="47" xfId="0" applyFont="1" applyBorder="1" applyAlignment="1">
      <alignment/>
    </xf>
    <xf numFmtId="166" fontId="0" fillId="0" borderId="35" xfId="15" applyNumberFormat="1" applyFont="1" applyBorder="1" applyAlignment="1">
      <alignment/>
    </xf>
    <xf numFmtId="0" fontId="0" fillId="0" borderId="29" xfId="0" applyFont="1" applyBorder="1" applyAlignment="1">
      <alignment vertical="center"/>
    </xf>
    <xf numFmtId="0" fontId="0" fillId="0" borderId="30" xfId="0" applyFont="1" applyBorder="1" applyAlignment="1">
      <alignment vertical="center"/>
    </xf>
    <xf numFmtId="0" fontId="0" fillId="0" borderId="36" xfId="0" applyFont="1" applyBorder="1" applyAlignment="1">
      <alignment vertical="center"/>
    </xf>
    <xf numFmtId="0" fontId="0" fillId="0" borderId="51" xfId="0" applyFont="1" applyBorder="1" applyAlignment="1">
      <alignment/>
    </xf>
    <xf numFmtId="0" fontId="0" fillId="0" borderId="38" xfId="0" applyFont="1" applyBorder="1" applyAlignment="1">
      <alignment horizontal="left" vertical="center"/>
    </xf>
    <xf numFmtId="0" fontId="0" fillId="0" borderId="39" xfId="0" applyFont="1" applyBorder="1" applyAlignment="1">
      <alignment vertical="center"/>
    </xf>
    <xf numFmtId="0" fontId="13" fillId="0" borderId="0" xfId="0" applyFont="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 xfId="0" applyFont="1" applyBorder="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NumberFormat="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8" fillId="0" borderId="0" xfId="0" applyFont="1" applyFill="1" applyAlignment="1">
      <alignment horizontal="left" vertical="center" wrapText="1"/>
    </xf>
    <xf numFmtId="0" fontId="0" fillId="0" borderId="0" xfId="0" applyAlignment="1">
      <alignment horizontal="left" wrapText="1"/>
    </xf>
    <xf numFmtId="0" fontId="6" fillId="0" borderId="16" xfId="0" applyFont="1" applyBorder="1" applyAlignment="1">
      <alignment horizontal="left" vertical="center"/>
    </xf>
    <xf numFmtId="0" fontId="6" fillId="0" borderId="18" xfId="0" applyFont="1" applyBorder="1" applyAlignment="1">
      <alignment horizontal="left" vertical="center"/>
    </xf>
    <xf numFmtId="0" fontId="6" fillId="0" borderId="60" xfId="0" applyFont="1" applyBorder="1" applyAlignment="1">
      <alignment horizontal="center" vertical="center"/>
    </xf>
    <xf numFmtId="0" fontId="6" fillId="0" borderId="21" xfId="0" applyFont="1" applyBorder="1" applyAlignment="1">
      <alignment horizontal="center" vertical="center"/>
    </xf>
    <xf numFmtId="0" fontId="6" fillId="0" borderId="45" xfId="0" applyFont="1" applyBorder="1" applyAlignment="1">
      <alignment horizontal="center" vertical="center"/>
    </xf>
    <xf numFmtId="167" fontId="0" fillId="0" borderId="0" xfId="21" applyNumberFormat="1" applyBorder="1" applyAlignment="1">
      <alignment horizontal="center" vertical="center"/>
    </xf>
    <xf numFmtId="167" fontId="0" fillId="0" borderId="36" xfId="21" applyNumberFormat="1" applyBorder="1" applyAlignment="1">
      <alignment horizontal="center" vertical="center"/>
    </xf>
    <xf numFmtId="3" fontId="0" fillId="0" borderId="0" xfId="0" applyNumberFormat="1" applyBorder="1" applyAlignment="1">
      <alignment horizontal="center" vertical="center"/>
    </xf>
    <xf numFmtId="3" fontId="0" fillId="0" borderId="23" xfId="0" applyNumberFormat="1" applyBorder="1" applyAlignment="1">
      <alignment horizontal="center" vertical="center"/>
    </xf>
    <xf numFmtId="3" fontId="0" fillId="0" borderId="47" xfId="0" applyNumberFormat="1" applyBorder="1" applyAlignment="1">
      <alignment horizontal="center" vertical="center"/>
    </xf>
    <xf numFmtId="167" fontId="0" fillId="0" borderId="23" xfId="21" applyNumberFormat="1" applyBorder="1" applyAlignment="1">
      <alignment horizontal="center" vertical="center"/>
    </xf>
    <xf numFmtId="167" fontId="0" fillId="0" borderId="47" xfId="21" applyNumberFormat="1" applyBorder="1" applyAlignment="1">
      <alignment horizontal="center" vertical="center"/>
    </xf>
    <xf numFmtId="3" fontId="0" fillId="0" borderId="36" xfId="0" applyNumberForma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55" xfId="0" applyFont="1" applyBorder="1" applyAlignment="1">
      <alignment horizontal="center" vertical="center"/>
    </xf>
    <xf numFmtId="0" fontId="8" fillId="0" borderId="61" xfId="0" applyFont="1" applyBorder="1" applyAlignment="1">
      <alignment horizontal="center" vertical="center"/>
    </xf>
    <xf numFmtId="0" fontId="0" fillId="0" borderId="23" xfId="0" applyFont="1" applyBorder="1" applyAlignment="1">
      <alignment horizontal="left"/>
    </xf>
    <xf numFmtId="0" fontId="0" fillId="0" borderId="0" xfId="0" applyFont="1" applyBorder="1" applyAlignment="1">
      <alignment horizontal="left"/>
    </xf>
    <xf numFmtId="0" fontId="8" fillId="0" borderId="0" xfId="0" applyFont="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Undiscounted annual net benefits of Land Project</a:t>
            </a:r>
          </a:p>
        </c:rich>
      </c:tx>
      <c:layout/>
      <c:spPr>
        <a:noFill/>
        <a:ln>
          <a:noFill/>
        </a:ln>
      </c:spPr>
    </c:title>
    <c:plotArea>
      <c:layout/>
      <c:areaChart>
        <c:grouping val="standard"/>
        <c:varyColors val="0"/>
        <c:ser>
          <c:idx val="0"/>
          <c:order val="0"/>
          <c:spPr>
            <a:solidFill>
              <a:srgbClr val="0066CC"/>
            </a:solidFill>
          </c:spPr>
          <c:extLst>
            <c:ext xmlns:c14="http://schemas.microsoft.com/office/drawing/2007/8/2/chart" uri="{6F2FDCE9-48DA-4B69-8628-5D25D57E5C99}">
              <c14:invertSolidFillFmt>
                <c14:spPr>
                  <a:solidFill>
                    <a:srgbClr val="FFFFFF"/>
                  </a:solidFill>
                </c14:spPr>
              </c14:invertSolidFillFmt>
            </c:ext>
          </c:extLst>
          <c:val>
            <c:numRef>
              <c:f>Land!$G$232:$U$232</c:f>
              <c:numCache>
                <c:ptCount val="15"/>
                <c:pt idx="0">
                  <c:v>-5791546.465673207</c:v>
                </c:pt>
                <c:pt idx="1">
                  <c:v>-10939637.54952982</c:v>
                </c:pt>
                <c:pt idx="2">
                  <c:v>-7864039.349065627</c:v>
                </c:pt>
                <c:pt idx="3">
                  <c:v>-5886229.868621727</c:v>
                </c:pt>
                <c:pt idx="4">
                  <c:v>-1980219.4262253176</c:v>
                </c:pt>
                <c:pt idx="5">
                  <c:v>7194952.042190958</c:v>
                </c:pt>
                <c:pt idx="6">
                  <c:v>20915682.769037116</c:v>
                </c:pt>
                <c:pt idx="7">
                  <c:v>28993692.99216254</c:v>
                </c:pt>
                <c:pt idx="8">
                  <c:v>20959966.380042907</c:v>
                </c:pt>
                <c:pt idx="9">
                  <c:v>2575600.089399221</c:v>
                </c:pt>
                <c:pt idx="10">
                  <c:v>3856439.505457615</c:v>
                </c:pt>
                <c:pt idx="11">
                  <c:v>2831767.9726108997</c:v>
                </c:pt>
                <c:pt idx="12">
                  <c:v>526257.0237057903</c:v>
                </c:pt>
                <c:pt idx="13">
                  <c:v>575527.0966984909</c:v>
                </c:pt>
                <c:pt idx="14">
                  <c:v>2655663.9580123597</c:v>
                </c:pt>
              </c:numCache>
            </c:numRef>
          </c:val>
        </c:ser>
        <c:axId val="23623003"/>
        <c:axId val="4333892"/>
      </c:areaChart>
      <c:catAx>
        <c:axId val="23623003"/>
        <c:scaling>
          <c:orientation val="minMax"/>
        </c:scaling>
        <c:axPos val="b"/>
        <c:title>
          <c:tx>
            <c:rich>
              <a:bodyPr vert="horz" rot="0" anchor="ctr"/>
              <a:lstStyle/>
              <a:p>
                <a:pPr algn="ctr">
                  <a:defRPr/>
                </a:pPr>
                <a:r>
                  <a:rPr lang="en-US" cap="none" sz="1000"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4333892"/>
        <c:crosses val="autoZero"/>
        <c:auto val="1"/>
        <c:lblOffset val="100"/>
        <c:noMultiLvlLbl val="0"/>
      </c:catAx>
      <c:valAx>
        <c:axId val="4333892"/>
        <c:scaling>
          <c:orientation val="minMax"/>
        </c:scaling>
        <c:axPos val="l"/>
        <c:title>
          <c:tx>
            <c:rich>
              <a:bodyPr vert="horz" rot="-5400000" anchor="ctr"/>
              <a:lstStyle/>
              <a:p>
                <a:pPr algn="ctr">
                  <a:defRPr/>
                </a:pPr>
                <a:r>
                  <a:rPr lang="en-US" cap="none" sz="1000" b="1" i="0" u="none" baseline="0">
                    <a:latin typeface="Arial"/>
                    <a:ea typeface="Arial"/>
                    <a:cs typeface="Arial"/>
                  </a:rPr>
                  <a:t>$US</a:t>
                </a:r>
              </a:p>
            </c:rich>
          </c:tx>
          <c:layout/>
          <c:overlay val="0"/>
          <c:spPr>
            <a:noFill/>
            <a:ln>
              <a:noFill/>
            </a:ln>
          </c:spPr>
        </c:title>
        <c:majorGridlines/>
        <c:delete val="0"/>
        <c:numFmt formatCode="General" sourceLinked="1"/>
        <c:majorTickMark val="out"/>
        <c:minorTickMark val="none"/>
        <c:tickLblPos val="nextTo"/>
        <c:crossAx val="23623003"/>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Distribution of ERR Given Uncertainty in Key Parameters (as of 11/17/2005)</a:t>
            </a:r>
          </a:p>
        </c:rich>
      </c:tx>
      <c:layout/>
      <c:spPr>
        <a:noFill/>
        <a:ln>
          <a:noFill/>
        </a:ln>
      </c:spPr>
    </c:title>
    <c:plotArea>
      <c:layout>
        <c:manualLayout>
          <c:xMode val="edge"/>
          <c:yMode val="edge"/>
          <c:x val="0.0415"/>
          <c:y val="0.148"/>
          <c:w val="0.9455"/>
          <c:h val="0.819"/>
        </c:manualLayout>
      </c:layout>
      <c:barChart>
        <c:barDir val="col"/>
        <c:grouping val="stack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-0.039032892961412706</c:v>
              </c:pt>
              <c:pt idx="10">
                <c:v>0.11474668405163917</c:v>
              </c:pt>
              <c:pt idx="20">
                <c:v>0.268526261064691</c:v>
              </c:pt>
              <c:pt idx="30">
                <c:v>0.4223058380777429</c:v>
              </c:pt>
              <c:pt idx="40">
                <c:v>0.5760854150907948</c:v>
              </c:pt>
              <c:pt idx="49">
                <c:v>0.7144870344025415</c:v>
              </c:pt>
            </c:strLit>
          </c:cat>
          <c:val>
            <c:numLit>
              <c:ptCount val="50"/>
              <c:pt idx="0">
                <c:v>8</c:v>
              </c:pt>
              <c:pt idx="1">
                <c:v>12</c:v>
              </c:pt>
              <c:pt idx="2">
                <c:v>21</c:v>
              </c:pt>
              <c:pt idx="3">
                <c:v>41</c:v>
              </c:pt>
              <c:pt idx="4">
                <c:v>41</c:v>
              </c:pt>
              <c:pt idx="5">
                <c:v>38</c:v>
              </c:pt>
              <c:pt idx="6">
                <c:v>71</c:v>
              </c:pt>
              <c:pt idx="7">
                <c:v>73</c:v>
              </c:pt>
              <c:pt idx="8">
                <c:v>79</c:v>
              </c:pt>
              <c:pt idx="9">
                <c:v>121</c:v>
              </c:pt>
              <c:pt idx="10">
                <c:v>160</c:v>
              </c:pt>
              <c:pt idx="11">
                <c:v>161</c:v>
              </c:pt>
              <c:pt idx="12">
                <c:v>175</c:v>
              </c:pt>
              <c:pt idx="13">
                <c:v>220</c:v>
              </c:pt>
              <c:pt idx="14">
                <c:v>237</c:v>
              </c:pt>
              <c:pt idx="15">
                <c:v>269</c:v>
              </c:pt>
              <c:pt idx="16">
                <c:v>302</c:v>
              </c:pt>
              <c:pt idx="17">
                <c:v>278</c:v>
              </c:pt>
              <c:pt idx="18">
                <c:v>327</c:v>
              </c:pt>
              <c:pt idx="19">
                <c:v>310</c:v>
              </c:pt>
              <c:pt idx="20">
                <c:v>340</c:v>
              </c:pt>
              <c:pt idx="21">
                <c:v>353</c:v>
              </c:pt>
              <c:pt idx="22">
                <c:v>360</c:v>
              </c:pt>
              <c:pt idx="23">
                <c:v>345</c:v>
              </c:pt>
              <c:pt idx="24">
                <c:v>386</c:v>
              </c:pt>
              <c:pt idx="25">
                <c:v>374</c:v>
              </c:pt>
              <c:pt idx="26">
                <c:v>384</c:v>
              </c:pt>
              <c:pt idx="27">
                <c:v>401</c:v>
              </c:pt>
              <c:pt idx="28">
                <c:v>367</c:v>
              </c:pt>
              <c:pt idx="29">
                <c:v>358</c:v>
              </c:pt>
              <c:pt idx="30">
                <c:v>350</c:v>
              </c:pt>
              <c:pt idx="31">
                <c:v>393</c:v>
              </c:pt>
              <c:pt idx="32">
                <c:v>377</c:v>
              </c:pt>
              <c:pt idx="33">
                <c:v>343</c:v>
              </c:pt>
              <c:pt idx="34">
                <c:v>349</c:v>
              </c:pt>
              <c:pt idx="35">
                <c:v>299</c:v>
              </c:pt>
              <c:pt idx="36">
                <c:v>258</c:v>
              </c:pt>
              <c:pt idx="37">
                <c:v>212</c:v>
              </c:pt>
              <c:pt idx="38">
                <c:v>218</c:v>
              </c:pt>
              <c:pt idx="39">
                <c:v>194</c:v>
              </c:pt>
              <c:pt idx="40">
                <c:v>128</c:v>
              </c:pt>
              <c:pt idx="41">
                <c:v>101</c:v>
              </c:pt>
              <c:pt idx="42">
                <c:v>74</c:v>
              </c:pt>
              <c:pt idx="43">
                <c:v>36</c:v>
              </c:pt>
              <c:pt idx="44">
                <c:v>37</c:v>
              </c:pt>
              <c:pt idx="45">
                <c:v>9</c:v>
              </c:pt>
              <c:pt idx="46">
                <c:v>5</c:v>
              </c:pt>
              <c:pt idx="47">
                <c:v>3</c:v>
              </c:pt>
              <c:pt idx="48">
                <c:v>1</c:v>
              </c:pt>
              <c:pt idx="49">
                <c:v>1</c:v>
              </c:pt>
            </c:numLit>
          </c:val>
        </c:ser>
        <c:overlap val="100"/>
        <c:gapWidth val="10"/>
        <c:axId val="45705253"/>
        <c:axId val="55062590"/>
      </c:barChart>
      <c:catAx>
        <c:axId val="45705253"/>
        <c:scaling>
          <c:orientation val="minMax"/>
        </c:scaling>
        <c:axPos val="b"/>
        <c:delete val="0"/>
        <c:numFmt formatCode="General" sourceLinked="1"/>
        <c:majorTickMark val="out"/>
        <c:minorTickMark val="none"/>
        <c:tickLblPos val="nextTo"/>
        <c:crossAx val="55062590"/>
        <c:crosses val="autoZero"/>
        <c:auto val="0"/>
        <c:lblOffset val="100"/>
        <c:tickLblSkip val="1"/>
        <c:tickMarkSkip val="5"/>
        <c:noMultiLvlLbl val="0"/>
      </c:catAx>
      <c:valAx>
        <c:axId val="55062590"/>
        <c:scaling>
          <c:orientation val="minMax"/>
          <c:min val="0"/>
        </c:scaling>
        <c:axPos val="l"/>
        <c:title>
          <c:tx>
            <c:rich>
              <a:bodyPr vert="horz" rot="-5400000" anchor="ctr"/>
              <a:lstStyle/>
              <a:p>
                <a:pPr algn="ctr">
                  <a:defRPr/>
                </a:pPr>
                <a:r>
                  <a:rPr lang="en-US" cap="none" sz="800" b="1" i="0" u="none" baseline="0">
                    <a:latin typeface="Arial"/>
                    <a:ea typeface="Arial"/>
                    <a:cs typeface="Arial"/>
                  </a:rPr>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45705253"/>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1"/>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29</xdr:row>
      <xdr:rowOff>19050</xdr:rowOff>
    </xdr:from>
    <xdr:to>
      <xdr:col>2</xdr:col>
      <xdr:colOff>1990725</xdr:colOff>
      <xdr:row>30</xdr:row>
      <xdr:rowOff>9525</xdr:rowOff>
    </xdr:to>
    <xdr:pic>
      <xdr:nvPicPr>
        <xdr:cNvPr id="1" name="Picture 1"/>
        <xdr:cNvPicPr preferRelativeResize="1">
          <a:picLocks noChangeAspect="1"/>
        </xdr:cNvPicPr>
      </xdr:nvPicPr>
      <xdr:blipFill>
        <a:blip r:embed="rId1"/>
        <a:stretch>
          <a:fillRect/>
        </a:stretch>
      </xdr:blipFill>
      <xdr:spPr>
        <a:xfrm>
          <a:off x="419100" y="8991600"/>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714375</xdr:colOff>
      <xdr:row>1</xdr:row>
      <xdr:rowOff>133350</xdr:rowOff>
    </xdr:from>
    <xdr:to>
      <xdr:col>6</xdr:col>
      <xdr:colOff>981075</xdr:colOff>
      <xdr:row>1</xdr:row>
      <xdr:rowOff>285750</xdr:rowOff>
    </xdr:to>
    <xdr:pic>
      <xdr:nvPicPr>
        <xdr:cNvPr id="1" name="Picture 2"/>
        <xdr:cNvPicPr preferRelativeResize="1">
          <a:picLocks noChangeAspect="1"/>
        </xdr:cNvPicPr>
      </xdr:nvPicPr>
      <xdr:blipFill>
        <a:blip r:embed="rId1"/>
        <a:stretch>
          <a:fillRect/>
        </a:stretch>
      </xdr:blipFill>
      <xdr:spPr>
        <a:xfrm>
          <a:off x="7905750" y="295275"/>
          <a:ext cx="2162175" cy="152400"/>
        </a:xfrm>
        <a:prstGeom prst="rect">
          <a:avLst/>
        </a:prstGeom>
        <a:noFill/>
        <a:ln w="9525" cmpd="sng">
          <a:noFill/>
        </a:ln>
      </xdr:spPr>
    </xdr:pic>
    <xdr:clientData/>
  </xdr:twoCellAnchor>
  <xdr:twoCellAnchor>
    <xdr:from>
      <xdr:col>2</xdr:col>
      <xdr:colOff>9525</xdr:colOff>
      <xdr:row>25</xdr:row>
      <xdr:rowOff>152400</xdr:rowOff>
    </xdr:from>
    <xdr:to>
      <xdr:col>5</xdr:col>
      <xdr:colOff>962025</xdr:colOff>
      <xdr:row>49</xdr:row>
      <xdr:rowOff>38100</xdr:rowOff>
    </xdr:to>
    <xdr:graphicFrame>
      <xdr:nvGraphicFramePr>
        <xdr:cNvPr id="2" name="Chart 4"/>
        <xdr:cNvGraphicFramePr/>
      </xdr:nvGraphicFramePr>
      <xdr:xfrm>
        <a:off x="1647825" y="7172325"/>
        <a:ext cx="7419975" cy="377190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51</xdr:row>
      <xdr:rowOff>0</xdr:rowOff>
    </xdr:from>
    <xdr:to>
      <xdr:col>5</xdr:col>
      <xdr:colOff>971550</xdr:colOff>
      <xdr:row>69</xdr:row>
      <xdr:rowOff>66675</xdr:rowOff>
    </xdr:to>
    <xdr:graphicFrame>
      <xdr:nvGraphicFramePr>
        <xdr:cNvPr id="3" name="Chart 5"/>
        <xdr:cNvGraphicFramePr/>
      </xdr:nvGraphicFramePr>
      <xdr:xfrm>
        <a:off x="1638300" y="11229975"/>
        <a:ext cx="7439025" cy="29813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29"/>
  <sheetViews>
    <sheetView showGridLines="0" workbookViewId="0" topLeftCell="A1">
      <selection activeCell="A8" sqref="A8"/>
    </sheetView>
  </sheetViews>
  <sheetFormatPr defaultColWidth="9.140625" defaultRowHeight="12.75"/>
  <cols>
    <col min="1" max="1" width="39.57421875" style="0" customWidth="1"/>
    <col min="2" max="2" width="106.421875" style="0" customWidth="1"/>
  </cols>
  <sheetData>
    <row r="1" spans="2:3" ht="12.75">
      <c r="B1" s="28" t="s">
        <v>206</v>
      </c>
      <c r="C1" s="10"/>
    </row>
    <row r="2" ht="20.25" customHeight="1">
      <c r="B2" s="422" t="s">
        <v>187</v>
      </c>
    </row>
    <row r="3" ht="12.75">
      <c r="B3" s="422"/>
    </row>
    <row r="4" ht="12.75">
      <c r="B4" s="422"/>
    </row>
    <row r="5" ht="12.75">
      <c r="B5" s="422"/>
    </row>
    <row r="6" ht="12.75">
      <c r="B6" s="422"/>
    </row>
    <row r="7" ht="13.5" thickBot="1"/>
    <row r="8" spans="1:2" ht="18" customHeight="1" thickBot="1" thickTop="1">
      <c r="A8" s="11" t="s">
        <v>174</v>
      </c>
      <c r="B8" s="12" t="s">
        <v>188</v>
      </c>
    </row>
    <row r="9" spans="1:2" ht="18" customHeight="1" thickTop="1">
      <c r="A9" s="13" t="s">
        <v>175</v>
      </c>
      <c r="B9" s="14" t="s">
        <v>176</v>
      </c>
    </row>
    <row r="10" spans="1:2" ht="18" customHeight="1">
      <c r="A10" s="15" t="s">
        <v>177</v>
      </c>
      <c r="B10" s="16">
        <v>38673</v>
      </c>
    </row>
    <row r="11" spans="1:2" ht="18" customHeight="1">
      <c r="A11" s="17" t="s">
        <v>178</v>
      </c>
      <c r="B11" s="18" t="s">
        <v>274</v>
      </c>
    </row>
    <row r="12" spans="1:2" ht="70.5" customHeight="1">
      <c r="A12" s="15" t="s">
        <v>179</v>
      </c>
      <c r="B12" s="19" t="s">
        <v>209</v>
      </c>
    </row>
    <row r="13" spans="1:2" ht="20.25" customHeight="1">
      <c r="A13" s="423" t="s">
        <v>180</v>
      </c>
      <c r="B13" s="73" t="s">
        <v>4</v>
      </c>
    </row>
    <row r="14" spans="1:2" ht="16.5" customHeight="1">
      <c r="A14" s="424"/>
      <c r="B14" s="74" t="s">
        <v>22</v>
      </c>
    </row>
    <row r="15" spans="1:2" ht="20.25" customHeight="1">
      <c r="A15" s="424"/>
      <c r="B15" s="75" t="s">
        <v>210</v>
      </c>
    </row>
    <row r="16" spans="1:2" ht="33" customHeight="1">
      <c r="A16" s="15" t="s">
        <v>181</v>
      </c>
      <c r="B16" s="18" t="s">
        <v>211</v>
      </c>
    </row>
    <row r="17" spans="1:2" ht="18" customHeight="1">
      <c r="A17" s="20" t="s">
        <v>182</v>
      </c>
      <c r="B17" s="21" t="s">
        <v>230</v>
      </c>
    </row>
    <row r="18" spans="1:2" ht="6.75" customHeight="1">
      <c r="A18" s="20"/>
      <c r="B18" s="14"/>
    </row>
    <row r="19" spans="1:2" ht="12.75">
      <c r="A19" s="425" t="s">
        <v>183</v>
      </c>
      <c r="B19" s="22" t="s">
        <v>184</v>
      </c>
    </row>
    <row r="20" spans="1:2" ht="25.5">
      <c r="A20" s="425"/>
      <c r="B20" s="14" t="s">
        <v>244</v>
      </c>
    </row>
    <row r="21" spans="1:2" ht="12.75">
      <c r="A21" s="425"/>
      <c r="B21" s="14"/>
    </row>
    <row r="22" spans="1:2" ht="15.75" customHeight="1">
      <c r="A22" s="425"/>
      <c r="B22" s="23" t="s">
        <v>185</v>
      </c>
    </row>
    <row r="23" spans="1:2" ht="12.75">
      <c r="A23" s="425"/>
      <c r="B23" s="24" t="s">
        <v>186</v>
      </c>
    </row>
    <row r="24" spans="1:2" ht="12.75">
      <c r="A24" s="425"/>
      <c r="B24" s="24"/>
    </row>
    <row r="25" spans="1:2" ht="12.75">
      <c r="A25" s="425"/>
      <c r="B25" s="5" t="s">
        <v>189</v>
      </c>
    </row>
    <row r="26" spans="1:2" ht="15" customHeight="1">
      <c r="A26" s="425"/>
      <c r="B26" s="24" t="s">
        <v>231</v>
      </c>
    </row>
    <row r="27" spans="1:2" ht="6.75" customHeight="1" thickBot="1">
      <c r="A27" s="6"/>
      <c r="B27" s="7"/>
    </row>
    <row r="28" spans="1:2" ht="13.5" thickTop="1">
      <c r="A28" s="1"/>
      <c r="B28" s="1"/>
    </row>
    <row r="29" ht="12.75">
      <c r="B29" s="8"/>
    </row>
  </sheetData>
  <mergeCells count="3">
    <mergeCell ref="B2:B6"/>
    <mergeCell ref="A13:A15"/>
    <mergeCell ref="A19:A26"/>
  </mergeCells>
  <hyperlinks>
    <hyperlink ref="B22" location="'ERR &amp; Sensitivity Analysis'!A1" display="ERR &amp; Sensitivity Analysis"/>
    <hyperlink ref="B25" location="Land!A1" display="Land"/>
    <hyperlink ref="B19" location="'Project Description'!A1" display="Project Description"/>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B2:C30"/>
  <sheetViews>
    <sheetView showGridLines="0" tabSelected="1" workbookViewId="0" topLeftCell="A1">
      <selection activeCell="A1" sqref="A1"/>
    </sheetView>
  </sheetViews>
  <sheetFormatPr defaultColWidth="9.140625" defaultRowHeight="12.75"/>
  <cols>
    <col min="1" max="1" width="5.7109375" style="76" customWidth="1"/>
    <col min="2" max="2" width="3.140625" style="76" customWidth="1"/>
    <col min="3" max="3" width="106.421875" style="76" customWidth="1"/>
    <col min="4" max="16384" width="9.140625" style="76" customWidth="1"/>
  </cols>
  <sheetData>
    <row r="2" spans="2:3" ht="20.25">
      <c r="B2" s="426" t="s">
        <v>187</v>
      </c>
      <c r="C2" s="426"/>
    </row>
    <row r="4" spans="2:3" ht="18">
      <c r="B4" s="427" t="s">
        <v>184</v>
      </c>
      <c r="C4" s="427"/>
    </row>
    <row r="6" spans="2:3" ht="12.75">
      <c r="B6" s="428" t="s">
        <v>195</v>
      </c>
      <c r="C6" s="428"/>
    </row>
    <row r="7" ht="6.75" customHeight="1"/>
    <row r="8" spans="2:3" ht="53.25" customHeight="1">
      <c r="B8" s="429" t="s">
        <v>209</v>
      </c>
      <c r="C8" s="429"/>
    </row>
    <row r="9" spans="2:3" ht="12.75">
      <c r="B9" s="430"/>
      <c r="C9" s="430"/>
    </row>
    <row r="10" spans="2:3" ht="12.75">
      <c r="B10" s="428" t="s">
        <v>196</v>
      </c>
      <c r="C10" s="428"/>
    </row>
    <row r="11" spans="2:3" ht="6.75" customHeight="1">
      <c r="B11" s="431"/>
      <c r="C11" s="431"/>
    </row>
    <row r="12" spans="2:3" ht="28.5" customHeight="1">
      <c r="B12" s="430" t="s">
        <v>217</v>
      </c>
      <c r="C12" s="430"/>
    </row>
    <row r="13" ht="45" customHeight="1">
      <c r="C13" s="77" t="s">
        <v>218</v>
      </c>
    </row>
    <row r="14" ht="40.5" customHeight="1">
      <c r="C14" s="77" t="s">
        <v>219</v>
      </c>
    </row>
    <row r="15" ht="48" customHeight="1">
      <c r="C15" s="77" t="s">
        <v>220</v>
      </c>
    </row>
    <row r="16" ht="30.75" customHeight="1">
      <c r="C16" s="77" t="s">
        <v>221</v>
      </c>
    </row>
    <row r="17" ht="45" customHeight="1">
      <c r="C17" s="77" t="s">
        <v>222</v>
      </c>
    </row>
    <row r="18" spans="2:3" ht="12.75">
      <c r="B18" s="430"/>
      <c r="C18" s="430"/>
    </row>
    <row r="19" spans="2:3" ht="12.75">
      <c r="B19" s="428" t="s">
        <v>197</v>
      </c>
      <c r="C19" s="428"/>
    </row>
    <row r="20" spans="2:3" ht="6.75" customHeight="1">
      <c r="B20" s="430"/>
      <c r="C20" s="430"/>
    </row>
    <row r="21" spans="2:3" ht="29.25" customHeight="1">
      <c r="B21" s="430" t="s">
        <v>223</v>
      </c>
      <c r="C21" s="430"/>
    </row>
    <row r="22" ht="15" customHeight="1">
      <c r="C22" s="76" t="s">
        <v>224</v>
      </c>
    </row>
    <row r="23" ht="15" customHeight="1">
      <c r="C23" s="76" t="s">
        <v>225</v>
      </c>
    </row>
    <row r="24" ht="15" customHeight="1">
      <c r="C24" s="76" t="s">
        <v>226</v>
      </c>
    </row>
    <row r="25" ht="16.5" customHeight="1">
      <c r="C25" s="76" t="s">
        <v>227</v>
      </c>
    </row>
    <row r="26" spans="2:3" ht="45.75" customHeight="1">
      <c r="B26" s="430" t="s">
        <v>228</v>
      </c>
      <c r="C26" s="430"/>
    </row>
    <row r="27" spans="2:3" ht="93" customHeight="1">
      <c r="B27" s="430" t="s">
        <v>229</v>
      </c>
      <c r="C27" s="430"/>
    </row>
    <row r="30" ht="12.75">
      <c r="C30" s="28" t="s">
        <v>206</v>
      </c>
    </row>
  </sheetData>
  <mergeCells count="14">
    <mergeCell ref="B27:C27"/>
    <mergeCell ref="B18:C18"/>
    <mergeCell ref="B9:C9"/>
    <mergeCell ref="B11:C11"/>
    <mergeCell ref="B21:C21"/>
    <mergeCell ref="B26:C26"/>
    <mergeCell ref="B12:C12"/>
    <mergeCell ref="B10:C10"/>
    <mergeCell ref="B19:C19"/>
    <mergeCell ref="B20:C20"/>
    <mergeCell ref="B2:C2"/>
    <mergeCell ref="B4:C4"/>
    <mergeCell ref="B6:C6"/>
    <mergeCell ref="B8:C8"/>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B2:I75"/>
  <sheetViews>
    <sheetView showGridLines="0" workbookViewId="0" topLeftCell="A1">
      <selection activeCell="A1" sqref="A1"/>
    </sheetView>
  </sheetViews>
  <sheetFormatPr defaultColWidth="9.140625" defaultRowHeight="12.75"/>
  <cols>
    <col min="1" max="1" width="5.7109375" style="2" customWidth="1"/>
    <col min="2" max="2" width="18.8515625" style="2" customWidth="1"/>
    <col min="3" max="3" width="68.57421875" style="2" bestFit="1" customWidth="1"/>
    <col min="4" max="4" width="14.7109375" style="2" customWidth="1"/>
    <col min="5" max="5" width="13.7109375" style="2" customWidth="1"/>
    <col min="6" max="6" width="14.7109375" style="2" customWidth="1"/>
    <col min="7" max="7" width="15.57421875" style="2" customWidth="1"/>
    <col min="8" max="8" width="5.7109375" style="2" customWidth="1"/>
    <col min="9" max="9" width="18.7109375" style="2" bestFit="1" customWidth="1"/>
    <col min="10" max="16384" width="9.140625" style="2" customWidth="1"/>
  </cols>
  <sheetData>
    <row r="2" spans="2:4" ht="23.25">
      <c r="B2" s="25" t="s">
        <v>187</v>
      </c>
      <c r="D2" s="26"/>
    </row>
    <row r="3" ht="12.75">
      <c r="F3" s="9"/>
    </row>
    <row r="4" spans="2:7" ht="18">
      <c r="B4" s="27" t="s">
        <v>190</v>
      </c>
      <c r="G4" s="28" t="s">
        <v>206</v>
      </c>
    </row>
    <row r="6" spans="2:7" ht="42" customHeight="1">
      <c r="B6" s="433" t="s">
        <v>207</v>
      </c>
      <c r="C6" s="433"/>
      <c r="D6" s="433"/>
      <c r="E6" s="433"/>
      <c r="F6" s="433"/>
      <c r="G6" s="433"/>
    </row>
    <row r="8" spans="2:7" s="31" customFormat="1" ht="15.75">
      <c r="B8" s="434" t="s">
        <v>204</v>
      </c>
      <c r="C8" s="434" t="s">
        <v>191</v>
      </c>
      <c r="D8" s="436" t="s">
        <v>192</v>
      </c>
      <c r="E8" s="437"/>
      <c r="F8" s="437"/>
      <c r="G8" s="438"/>
    </row>
    <row r="9" spans="2:9" s="31" customFormat="1" ht="38.25">
      <c r="B9" s="435"/>
      <c r="C9" s="435"/>
      <c r="D9" s="32" t="s">
        <v>200</v>
      </c>
      <c r="E9" s="33" t="s">
        <v>201</v>
      </c>
      <c r="F9" s="34" t="s">
        <v>205</v>
      </c>
      <c r="G9" s="33" t="s">
        <v>193</v>
      </c>
      <c r="I9" s="35" t="s">
        <v>203</v>
      </c>
    </row>
    <row r="10" spans="2:9" s="31" customFormat="1" ht="33" customHeight="1">
      <c r="B10" s="36" t="s">
        <v>195</v>
      </c>
      <c r="C10" s="37" t="s">
        <v>198</v>
      </c>
      <c r="D10" s="38">
        <v>1</v>
      </c>
      <c r="E10" s="39">
        <v>1</v>
      </c>
      <c r="F10" s="33" t="s">
        <v>202</v>
      </c>
      <c r="G10" s="40">
        <f>D10</f>
        <v>1</v>
      </c>
      <c r="I10" s="41" t="str">
        <f>IF(D10=E10,IF(D11=E11,"Y","N"),"N")</f>
        <v>Y</v>
      </c>
    </row>
    <row r="11" spans="2:9" s="31" customFormat="1" ht="33" customHeight="1">
      <c r="B11" s="42" t="s">
        <v>195</v>
      </c>
      <c r="C11" s="43" t="s">
        <v>199</v>
      </c>
      <c r="D11" s="44">
        <v>1</v>
      </c>
      <c r="E11" s="45">
        <v>1</v>
      </c>
      <c r="F11" s="46" t="s">
        <v>202</v>
      </c>
      <c r="G11" s="47">
        <f>D11</f>
        <v>1</v>
      </c>
      <c r="I11" s="48" t="str">
        <f>IF(D13=E13,IF(D14=E14,IF(D15=E15,IF(D16=E16,IF(D17=E17,IF(D18=E18,"Y","N"),"N"),"N"),"N"),"N"),"N")</f>
        <v>Y</v>
      </c>
    </row>
    <row r="12" spans="2:7" s="53" customFormat="1" ht="6.75" customHeight="1">
      <c r="B12" s="49"/>
      <c r="C12" s="50"/>
      <c r="D12" s="51"/>
      <c r="E12" s="51"/>
      <c r="F12" s="51"/>
      <c r="G12" s="52"/>
    </row>
    <row r="13" spans="2:9" s="31" customFormat="1" ht="33" customHeight="1">
      <c r="B13" s="54" t="s">
        <v>212</v>
      </c>
      <c r="C13" s="57" t="s">
        <v>237</v>
      </c>
      <c r="D13" s="84">
        <v>0.05</v>
      </c>
      <c r="E13" s="55">
        <v>0.05</v>
      </c>
      <c r="F13" s="56" t="s">
        <v>239</v>
      </c>
      <c r="G13" s="89">
        <f aca="true" t="shared" si="0" ref="G13:G18">IF($I$10="Y",D13,E13)</f>
        <v>0.05</v>
      </c>
      <c r="I13" s="90" t="s">
        <v>246</v>
      </c>
    </row>
    <row r="14" spans="2:9" s="31" customFormat="1" ht="33" customHeight="1">
      <c r="B14" s="54" t="s">
        <v>212</v>
      </c>
      <c r="C14" s="72" t="s">
        <v>213</v>
      </c>
      <c r="D14" s="85">
        <v>548</v>
      </c>
      <c r="E14" s="30">
        <v>548</v>
      </c>
      <c r="F14" s="56" t="s">
        <v>238</v>
      </c>
      <c r="G14" s="29">
        <f t="shared" si="0"/>
        <v>548</v>
      </c>
      <c r="I14" s="91" t="s">
        <v>247</v>
      </c>
    </row>
    <row r="15" spans="2:9" s="31" customFormat="1" ht="33" customHeight="1">
      <c r="B15" s="54" t="s">
        <v>212</v>
      </c>
      <c r="C15" s="57" t="s">
        <v>233</v>
      </c>
      <c r="D15" s="86">
        <v>1120</v>
      </c>
      <c r="E15" s="78">
        <v>1120</v>
      </c>
      <c r="F15" s="56" t="s">
        <v>245</v>
      </c>
      <c r="G15" s="79">
        <f t="shared" si="0"/>
        <v>1120</v>
      </c>
      <c r="I15" s="92" t="s">
        <v>248</v>
      </c>
    </row>
    <row r="16" spans="2:7" s="31" customFormat="1" ht="33" customHeight="1">
      <c r="B16" s="54" t="s">
        <v>212</v>
      </c>
      <c r="C16" s="82" t="s">
        <v>236</v>
      </c>
      <c r="D16" s="86">
        <f>(516750-100000)/548</f>
        <v>760.492700729927</v>
      </c>
      <c r="E16" s="78">
        <f>(516750-100000)/548</f>
        <v>760.492700729927</v>
      </c>
      <c r="F16" s="56" t="s">
        <v>240</v>
      </c>
      <c r="G16" s="79">
        <f t="shared" si="0"/>
        <v>760.492700729927</v>
      </c>
    </row>
    <row r="17" spans="2:7" s="31" customFormat="1" ht="33" customHeight="1">
      <c r="B17" s="54" t="s">
        <v>212</v>
      </c>
      <c r="C17" s="57" t="s">
        <v>234</v>
      </c>
      <c r="D17" s="80">
        <v>30000</v>
      </c>
      <c r="E17" s="87">
        <v>30000</v>
      </c>
      <c r="F17" s="56" t="s">
        <v>241</v>
      </c>
      <c r="G17" s="88">
        <f t="shared" si="0"/>
        <v>30000</v>
      </c>
    </row>
    <row r="18" spans="2:7" s="31" customFormat="1" ht="33" customHeight="1">
      <c r="B18" s="58" t="s">
        <v>212</v>
      </c>
      <c r="C18" s="83" t="s">
        <v>235</v>
      </c>
      <c r="D18" s="81">
        <v>50000</v>
      </c>
      <c r="E18" s="59">
        <v>50000</v>
      </c>
      <c r="F18" s="60" t="s">
        <v>242</v>
      </c>
      <c r="G18" s="61">
        <f t="shared" si="0"/>
        <v>50000</v>
      </c>
    </row>
    <row r="19" spans="2:7" s="31" customFormat="1" ht="6.75" customHeight="1">
      <c r="B19"/>
      <c r="C19" s="53"/>
      <c r="D19" s="62"/>
      <c r="E19" s="63"/>
      <c r="F19" s="64"/>
      <c r="G19" s="65"/>
    </row>
    <row r="20" spans="2:7" s="31" customFormat="1" ht="26.25" customHeight="1">
      <c r="B20" s="432">
        <f>IF(I10="N",IF(I11="N","Reminder: Please reset all summary parameters to original values before changing specific parameters.  Specific parameters will only be used in ERR computation when all summary parameters are set to initial values.",0),0)</f>
        <v>0</v>
      </c>
      <c r="C20" s="432"/>
      <c r="D20" s="432"/>
      <c r="E20" s="432"/>
      <c r="F20" s="432"/>
      <c r="G20" s="432"/>
    </row>
    <row r="21" ht="9.75" customHeight="1">
      <c r="D21" s="3"/>
    </row>
    <row r="22" spans="3:5" ht="12.75">
      <c r="C22" s="66" t="s">
        <v>194</v>
      </c>
      <c r="D22" s="67">
        <f>Land!C236</f>
        <v>0.1996047434115718</v>
      </c>
      <c r="E22" s="68"/>
    </row>
    <row r="23" spans="3:5" ht="12.75">
      <c r="C23" s="66"/>
      <c r="D23" s="69"/>
      <c r="E23" s="68"/>
    </row>
    <row r="24" spans="3:4" ht="12.75">
      <c r="C24" s="66" t="s">
        <v>208</v>
      </c>
      <c r="D24" s="70">
        <v>0.2</v>
      </c>
    </row>
    <row r="71" spans="3:5" ht="12.75">
      <c r="C71" s="71"/>
      <c r="D71" s="71"/>
      <c r="E71" s="71"/>
    </row>
    <row r="72" spans="3:6" ht="27.75" customHeight="1">
      <c r="C72" s="453" t="s">
        <v>275</v>
      </c>
      <c r="D72" s="453"/>
      <c r="E72" s="453"/>
      <c r="F72" s="453"/>
    </row>
    <row r="75" spans="6:7" ht="12.75">
      <c r="F75" s="71"/>
      <c r="G75" s="71"/>
    </row>
  </sheetData>
  <mergeCells count="6">
    <mergeCell ref="C72:F72"/>
    <mergeCell ref="B20:G20"/>
    <mergeCell ref="B6:G6"/>
    <mergeCell ref="B8:B9"/>
    <mergeCell ref="C8:C9"/>
    <mergeCell ref="D8:G8"/>
  </mergeCells>
  <conditionalFormatting sqref="B20">
    <cfRule type="cellIs" priority="1" dxfId="0" operator="equal" stopIfTrue="1">
      <formula>0</formula>
    </cfRule>
    <cfRule type="cellIs" priority="2" dxfId="1" operator="notEqual" stopIfTrue="1">
      <formula>0</formula>
    </cfRule>
  </conditionalFormatting>
  <hyperlinks>
    <hyperlink ref="I14" location="'Project Description'!A1" display="Project Description"/>
    <hyperlink ref="I15" location="'User''s Guide'!A1" display="User's Guide"/>
  </hyperlinks>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R305"/>
  <sheetViews>
    <sheetView zoomScale="85" zoomScaleNormal="85" zoomScaleSheetLayoutView="85" workbookViewId="0" topLeftCell="A1">
      <selection activeCell="A1" sqref="A1"/>
    </sheetView>
  </sheetViews>
  <sheetFormatPr defaultColWidth="9.140625" defaultRowHeight="12.75"/>
  <cols>
    <col min="1" max="1" width="3.7109375" style="95" customWidth="1"/>
    <col min="2" max="2" width="22.421875" style="95" customWidth="1"/>
    <col min="3" max="3" width="15.00390625" style="95" customWidth="1"/>
    <col min="4" max="4" width="14.00390625" style="95" customWidth="1"/>
    <col min="5" max="5" width="13.7109375" style="95" customWidth="1"/>
    <col min="6" max="6" width="16.140625" style="95" customWidth="1"/>
    <col min="7" max="7" width="17.28125" style="95" customWidth="1"/>
    <col min="8" max="9" width="15.00390625" style="95" customWidth="1"/>
    <col min="10" max="10" width="14.00390625" style="95" customWidth="1"/>
    <col min="11" max="13" width="15.00390625" style="95" customWidth="1"/>
    <col min="14" max="14" width="17.00390625" style="95" customWidth="1"/>
    <col min="15" max="15" width="15.00390625" style="95" customWidth="1"/>
    <col min="16" max="16" width="15.00390625" style="95" bestFit="1" customWidth="1"/>
    <col min="17" max="18" width="12.28125" style="95" bestFit="1" customWidth="1"/>
    <col min="19" max="19" width="12.28125" style="95" customWidth="1"/>
    <col min="20" max="20" width="12.28125" style="95" bestFit="1" customWidth="1"/>
    <col min="21" max="21" width="12.28125" style="95" customWidth="1"/>
    <col min="22" max="22" width="12.28125" style="95" bestFit="1" customWidth="1"/>
    <col min="23" max="23" width="9.140625" style="95" customWidth="1"/>
    <col min="24" max="24" width="26.140625" style="95" customWidth="1"/>
    <col min="25" max="27" width="9.140625" style="95" customWidth="1"/>
    <col min="28" max="28" width="24.421875" style="95" customWidth="1"/>
    <col min="29" max="29" width="11.421875" style="95" bestFit="1" customWidth="1"/>
    <col min="30" max="34" width="9.140625" style="95" customWidth="1"/>
    <col min="35" max="35" width="11.28125" style="95" bestFit="1" customWidth="1"/>
    <col min="36" max="42" width="9.140625" style="95" customWidth="1"/>
    <col min="43" max="43" width="11.28125" style="95" bestFit="1" customWidth="1"/>
    <col min="44" max="16384" width="9.140625" style="95" customWidth="1"/>
  </cols>
  <sheetData>
    <row r="1" spans="7:16" ht="12.75">
      <c r="G1" s="93"/>
      <c r="H1" s="93"/>
      <c r="I1" s="93"/>
      <c r="J1" s="93"/>
      <c r="K1" s="93"/>
      <c r="L1" s="93"/>
      <c r="M1" s="93"/>
      <c r="N1" s="93"/>
      <c r="P1" s="103"/>
    </row>
    <row r="2" spans="2:14" ht="12.75">
      <c r="B2" s="432">
        <f>IF('ERR &amp; Sensitivity Analysis'!$I$10="N","Note: Current calculations are based on user input and are not the original MCC estimates.",IF('ERR &amp; Sensitivity Analysis'!$I$11="N","Note: Current calculations are based on user input and are not the original MCC estimates.",0))</f>
        <v>0</v>
      </c>
      <c r="C2" s="432"/>
      <c r="D2" s="432"/>
      <c r="E2" s="432"/>
      <c r="F2" s="432"/>
      <c r="G2" s="432"/>
      <c r="H2" s="432"/>
      <c r="I2" s="432"/>
      <c r="J2" s="432"/>
      <c r="K2" s="432"/>
      <c r="N2" s="104"/>
    </row>
    <row r="3" ht="19.5" customHeight="1" thickBot="1">
      <c r="B3" s="105" t="s">
        <v>243</v>
      </c>
    </row>
    <row r="4" spans="6:16" ht="12.75">
      <c r="F4" s="106" t="s">
        <v>215</v>
      </c>
      <c r="G4" s="97"/>
      <c r="H4" s="97"/>
      <c r="I4" s="98"/>
      <c r="K4" s="410">
        <f>Land!F5*4.47546675413434</f>
        <v>4.47546675413434</v>
      </c>
      <c r="L4" s="413" t="s">
        <v>270</v>
      </c>
      <c r="M4" s="412" t="s">
        <v>271</v>
      </c>
      <c r="N4" s="416"/>
      <c r="O4" s="416"/>
      <c r="P4" s="417"/>
    </row>
    <row r="5" spans="2:16" ht="18">
      <c r="B5" s="107"/>
      <c r="F5" s="108">
        <f>'ERR &amp; Sensitivity Analysis'!G10</f>
        <v>1</v>
      </c>
      <c r="G5" s="96" t="s">
        <v>198</v>
      </c>
      <c r="H5" s="96"/>
      <c r="I5" s="109"/>
      <c r="K5" s="415">
        <f>K4/5*1000000</f>
        <v>895093.350826868</v>
      </c>
      <c r="L5" s="414" t="s">
        <v>272</v>
      </c>
      <c r="M5" s="451" t="s">
        <v>269</v>
      </c>
      <c r="N5" s="452"/>
      <c r="O5" s="53"/>
      <c r="P5" s="418"/>
    </row>
    <row r="6" spans="6:16" ht="12.75">
      <c r="F6" s="110" t="s">
        <v>216</v>
      </c>
      <c r="G6" s="96"/>
      <c r="H6" s="96"/>
      <c r="I6" s="109"/>
      <c r="K6" s="411">
        <f>'ERR &amp; Sensitivity Analysis'!G14</f>
        <v>548</v>
      </c>
      <c r="L6" s="414" t="s">
        <v>6</v>
      </c>
      <c r="M6" s="451" t="s">
        <v>7</v>
      </c>
      <c r="N6" s="452"/>
      <c r="O6" s="53"/>
      <c r="P6" s="418"/>
    </row>
    <row r="7" spans="2:16" ht="16.5" thickBot="1">
      <c r="B7" s="111" t="s">
        <v>3</v>
      </c>
      <c r="F7" s="112">
        <f>'ERR &amp; Sensitivity Analysis'!G11</f>
        <v>1</v>
      </c>
      <c r="G7" s="113" t="s">
        <v>199</v>
      </c>
      <c r="H7" s="113"/>
      <c r="I7" s="114"/>
      <c r="K7" s="409">
        <v>2500000</v>
      </c>
      <c r="L7" s="419" t="s">
        <v>273</v>
      </c>
      <c r="M7" s="420" t="s">
        <v>268</v>
      </c>
      <c r="N7" s="420"/>
      <c r="O7" s="420"/>
      <c r="P7" s="421"/>
    </row>
    <row r="8" spans="2:4" ht="13.5" customHeight="1">
      <c r="B8" s="115" t="s">
        <v>252</v>
      </c>
      <c r="C8" s="115"/>
      <c r="D8" s="115"/>
    </row>
    <row r="9" spans="2:4" ht="13.5" thickBot="1">
      <c r="B9" s="116"/>
      <c r="C9" s="116"/>
      <c r="D9" s="116"/>
    </row>
    <row r="10" spans="2:19" ht="12.75">
      <c r="B10" s="117"/>
      <c r="C10" s="118" t="s">
        <v>2</v>
      </c>
      <c r="D10" s="118">
        <v>1</v>
      </c>
      <c r="E10" s="118">
        <v>2</v>
      </c>
      <c r="F10" s="118">
        <v>3</v>
      </c>
      <c r="G10" s="118">
        <v>4</v>
      </c>
      <c r="H10" s="118">
        <v>5</v>
      </c>
      <c r="I10" s="117">
        <v>6</v>
      </c>
      <c r="J10" s="118">
        <v>7</v>
      </c>
      <c r="K10" s="118">
        <v>8</v>
      </c>
      <c r="L10" s="118">
        <v>9</v>
      </c>
      <c r="M10" s="118">
        <v>10</v>
      </c>
      <c r="N10" s="118">
        <v>11</v>
      </c>
      <c r="O10" s="118">
        <v>12</v>
      </c>
      <c r="P10" s="118">
        <v>13</v>
      </c>
      <c r="Q10" s="118">
        <v>14</v>
      </c>
      <c r="R10" s="118">
        <v>15</v>
      </c>
      <c r="S10" s="119" t="s">
        <v>15</v>
      </c>
    </row>
    <row r="11" spans="2:19" ht="12.75">
      <c r="B11" s="120"/>
      <c r="C11" s="121" t="s">
        <v>17</v>
      </c>
      <c r="D11" s="96"/>
      <c r="E11" s="96"/>
      <c r="F11" s="96"/>
      <c r="G11" s="96"/>
      <c r="H11" s="96"/>
      <c r="I11" s="120"/>
      <c r="J11" s="96"/>
      <c r="K11" s="96"/>
      <c r="L11" s="96"/>
      <c r="M11" s="96"/>
      <c r="N11" s="96"/>
      <c r="O11" s="96"/>
      <c r="P11" s="96"/>
      <c r="Q11" s="96"/>
      <c r="R11" s="96"/>
      <c r="S11" s="109"/>
    </row>
    <row r="12" spans="2:19" ht="12.75">
      <c r="B12" s="120"/>
      <c r="C12" s="96"/>
      <c r="D12" s="96"/>
      <c r="E12" s="96"/>
      <c r="F12" s="96"/>
      <c r="G12" s="96"/>
      <c r="H12" s="96"/>
      <c r="I12" s="120"/>
      <c r="J12" s="96"/>
      <c r="K12" s="96"/>
      <c r="L12" s="96"/>
      <c r="M12" s="96"/>
      <c r="N12" s="96"/>
      <c r="O12" s="96"/>
      <c r="P12" s="96"/>
      <c r="Q12" s="96"/>
      <c r="R12" s="96"/>
      <c r="S12" s="109"/>
    </row>
    <row r="13" spans="2:19" ht="12.75">
      <c r="B13" s="120" t="s">
        <v>249</v>
      </c>
      <c r="C13" s="121" t="s">
        <v>0</v>
      </c>
      <c r="D13" s="122">
        <f>D14*Land!$K$6</f>
        <v>4658000000</v>
      </c>
      <c r="E13" s="122">
        <f>E14*Land!$K$6</f>
        <v>10401040000</v>
      </c>
      <c r="F13" s="122">
        <f>F14*Land!$K$6</f>
        <v>8768000000</v>
      </c>
      <c r="G13" s="122">
        <f>G14*Land!$K$6</f>
        <v>7672000000</v>
      </c>
      <c r="H13" s="122">
        <f>H14*Land!$K$6</f>
        <v>5359440000</v>
      </c>
      <c r="I13" s="123">
        <f>SUM(D13:H13)</f>
        <v>36858480000</v>
      </c>
      <c r="J13" s="96"/>
      <c r="K13" s="96"/>
      <c r="L13" s="96"/>
      <c r="M13" s="96"/>
      <c r="N13" s="96"/>
      <c r="O13" s="96"/>
      <c r="P13" s="96"/>
      <c r="Q13" s="96"/>
      <c r="R13" s="96"/>
      <c r="S13" s="109"/>
    </row>
    <row r="14" spans="2:19" ht="12.75">
      <c r="B14" s="120"/>
      <c r="C14" s="121" t="s">
        <v>20</v>
      </c>
      <c r="D14" s="124">
        <f>8500000*F5</f>
        <v>8500000</v>
      </c>
      <c r="E14" s="124">
        <f>18980000*F5</f>
        <v>18980000</v>
      </c>
      <c r="F14" s="124">
        <f>16000000*F5</f>
        <v>16000000</v>
      </c>
      <c r="G14" s="124">
        <f>14000000*F5</f>
        <v>14000000</v>
      </c>
      <c r="H14" s="125">
        <f>9780000*F5</f>
        <v>9780000</v>
      </c>
      <c r="I14" s="123">
        <f>SUM(D14:H14)</f>
        <v>67260000</v>
      </c>
      <c r="J14" s="96"/>
      <c r="K14" s="96"/>
      <c r="L14" s="96"/>
      <c r="M14" s="96"/>
      <c r="N14" s="96"/>
      <c r="O14" s="96"/>
      <c r="P14" s="96"/>
      <c r="Q14" s="96"/>
      <c r="R14" s="96"/>
      <c r="S14" s="109"/>
    </row>
    <row r="15" spans="2:19" ht="12.75">
      <c r="B15" s="120"/>
      <c r="C15" s="121"/>
      <c r="D15" s="126"/>
      <c r="E15" s="126"/>
      <c r="F15" s="126"/>
      <c r="G15" s="126"/>
      <c r="H15" s="127"/>
      <c r="I15" s="123">
        <f>SUM(D15:H15)</f>
        <v>0</v>
      </c>
      <c r="J15" s="96"/>
      <c r="K15" s="96"/>
      <c r="L15" s="96"/>
      <c r="M15" s="96"/>
      <c r="N15" s="96"/>
      <c r="O15" s="96"/>
      <c r="P15" s="96"/>
      <c r="Q15" s="96"/>
      <c r="R15" s="96"/>
      <c r="S15" s="109"/>
    </row>
    <row r="16" spans="2:19" ht="12.75">
      <c r="B16" s="120" t="s">
        <v>250</v>
      </c>
      <c r="C16" s="121" t="s">
        <v>0</v>
      </c>
      <c r="D16" s="122">
        <f>D17*Land!$K$6</f>
        <v>3230511156.2531238</v>
      </c>
      <c r="E16" s="122">
        <f>E17*Land!$K$6</f>
        <v>6902111156.253124</v>
      </c>
      <c r="F16" s="122">
        <f>F17*Land!$K$6</f>
        <v>5970511156.253124</v>
      </c>
      <c r="G16" s="122">
        <f>G17*Land!$K$6</f>
        <v>5093711156.253124</v>
      </c>
      <c r="H16" s="122">
        <f>H17*Land!$K$6</f>
        <v>3449711156.2531238</v>
      </c>
      <c r="I16" s="123">
        <f>SUM(D16:H16)</f>
        <v>24646555781.26562</v>
      </c>
      <c r="J16" s="96"/>
      <c r="K16" s="96"/>
      <c r="L16" s="96"/>
      <c r="M16" s="96"/>
      <c r="N16" s="96"/>
      <c r="O16" s="96"/>
      <c r="P16" s="96"/>
      <c r="Q16" s="96"/>
      <c r="R16" s="96"/>
      <c r="S16" s="109"/>
    </row>
    <row r="17" spans="2:19" ht="12.75">
      <c r="B17" s="120"/>
      <c r="C17" s="121" t="s">
        <v>20</v>
      </c>
      <c r="D17" s="128">
        <f>F5*5000000+Land!K5</f>
        <v>5895093.350826868</v>
      </c>
      <c r="E17" s="128">
        <f>F5*11700000+Land!K5</f>
        <v>12595093.350826869</v>
      </c>
      <c r="F17" s="128">
        <f>F5*10000000+Land!K5</f>
        <v>10895093.350826869</v>
      </c>
      <c r="G17" s="128">
        <f>F5*8400000+Land!K5</f>
        <v>9295093.350826869</v>
      </c>
      <c r="H17" s="128">
        <f>F5*5400000+Land!K5</f>
        <v>6295093.350826868</v>
      </c>
      <c r="I17" s="123">
        <f>SUM(D17:H17)</f>
        <v>44975466.75413434</v>
      </c>
      <c r="J17" s="96"/>
      <c r="K17" s="96"/>
      <c r="L17" s="96"/>
      <c r="M17" s="96"/>
      <c r="N17" s="96"/>
      <c r="O17" s="96"/>
      <c r="P17" s="96"/>
      <c r="Q17" s="96"/>
      <c r="R17" s="96"/>
      <c r="S17" s="109"/>
    </row>
    <row r="18" spans="2:19" ht="13.5" thickBot="1">
      <c r="B18" s="129"/>
      <c r="C18" s="130"/>
      <c r="D18" s="131"/>
      <c r="E18" s="131"/>
      <c r="F18" s="131"/>
      <c r="G18" s="131"/>
      <c r="H18" s="131"/>
      <c r="I18" s="132"/>
      <c r="J18" s="113"/>
      <c r="K18" s="113"/>
      <c r="L18" s="113"/>
      <c r="M18" s="113"/>
      <c r="N18" s="113"/>
      <c r="O18" s="113"/>
      <c r="P18" s="113"/>
      <c r="Q18" s="113"/>
      <c r="R18" s="113"/>
      <c r="S18" s="114"/>
    </row>
    <row r="19" spans="6:12" ht="12.75">
      <c r="F19" s="133"/>
      <c r="G19" s="134"/>
      <c r="H19" s="134"/>
      <c r="I19" s="134"/>
      <c r="J19" s="134"/>
      <c r="K19" s="134"/>
      <c r="L19" s="135"/>
    </row>
    <row r="20" spans="6:12" ht="12.75">
      <c r="F20" s="133"/>
      <c r="G20" s="134"/>
      <c r="H20" s="134"/>
      <c r="I20" s="134"/>
      <c r="J20" s="134"/>
      <c r="K20" s="134"/>
      <c r="L20" s="135"/>
    </row>
    <row r="21" spans="2:12" ht="15.75">
      <c r="B21" s="111" t="s">
        <v>5</v>
      </c>
      <c r="G21" s="136"/>
      <c r="H21" s="136"/>
      <c r="I21" s="136"/>
      <c r="J21" s="136"/>
      <c r="K21" s="136"/>
      <c r="L21" s="96"/>
    </row>
    <row r="22" spans="2:3" ht="12.75">
      <c r="B22" s="137" t="s">
        <v>214</v>
      </c>
      <c r="C22" s="137"/>
    </row>
    <row r="23" ht="13.5" thickBot="1">
      <c r="C23" s="138"/>
    </row>
    <row r="24" spans="2:15" ht="17.25" customHeight="1" thickBot="1">
      <c r="B24" s="99">
        <v>1</v>
      </c>
      <c r="C24" s="100" t="s">
        <v>4</v>
      </c>
      <c r="D24" s="101"/>
      <c r="E24" s="101"/>
      <c r="F24" s="101"/>
      <c r="G24" s="102"/>
      <c r="H24" s="97"/>
      <c r="I24" s="97"/>
      <c r="J24" s="97"/>
      <c r="K24" s="97"/>
      <c r="L24" s="97"/>
      <c r="M24" s="97"/>
      <c r="N24" s="97"/>
      <c r="O24" s="98"/>
    </row>
    <row r="25" spans="2:15" ht="12.75">
      <c r="B25" s="120"/>
      <c r="C25" s="96" t="s">
        <v>258</v>
      </c>
      <c r="D25" s="96"/>
      <c r="E25" s="96"/>
      <c r="F25" s="96"/>
      <c r="G25" s="96"/>
      <c r="H25" s="96"/>
      <c r="I25" s="96"/>
      <c r="J25" s="96"/>
      <c r="K25" s="96"/>
      <c r="L25" s="96"/>
      <c r="M25" s="96"/>
      <c r="N25" s="96"/>
      <c r="O25" s="109"/>
    </row>
    <row r="26" spans="2:15" ht="12.75">
      <c r="B26" s="120"/>
      <c r="C26" s="96" t="s">
        <v>8</v>
      </c>
      <c r="D26" s="139">
        <v>712400</v>
      </c>
      <c r="E26" s="121" t="s">
        <v>1</v>
      </c>
      <c r="F26" s="139">
        <f>D26-H26</f>
        <v>98640</v>
      </c>
      <c r="G26" s="96" t="s">
        <v>0</v>
      </c>
      <c r="H26" s="135">
        <f>D27*Land!K6</f>
        <v>613760</v>
      </c>
      <c r="I26" s="96" t="s">
        <v>232</v>
      </c>
      <c r="J26" s="96"/>
      <c r="K26" s="96"/>
      <c r="L26" s="96"/>
      <c r="M26" s="96"/>
      <c r="N26" s="96"/>
      <c r="O26" s="109"/>
    </row>
    <row r="27" spans="2:15" ht="12.75">
      <c r="B27" s="120"/>
      <c r="C27" s="140" t="s">
        <v>19</v>
      </c>
      <c r="D27" s="141">
        <f>'ERR &amp; Sensitivity Analysis'!G15</f>
        <v>1120</v>
      </c>
      <c r="E27" s="96" t="s">
        <v>259</v>
      </c>
      <c r="F27" s="142"/>
      <c r="G27" s="143"/>
      <c r="H27" s="135"/>
      <c r="I27" s="96"/>
      <c r="J27" s="96"/>
      <c r="K27" s="96"/>
      <c r="L27" s="96"/>
      <c r="M27" s="96"/>
      <c r="N27" s="96"/>
      <c r="O27" s="109"/>
    </row>
    <row r="28" spans="2:15" ht="12.75">
      <c r="B28" s="120"/>
      <c r="C28" s="96"/>
      <c r="D28" s="139"/>
      <c r="E28" s="96"/>
      <c r="F28" s="139"/>
      <c r="G28" s="96"/>
      <c r="H28" s="96"/>
      <c r="I28" s="96"/>
      <c r="J28" s="96"/>
      <c r="K28" s="96"/>
      <c r="L28" s="96"/>
      <c r="M28" s="96"/>
      <c r="N28" s="96"/>
      <c r="O28" s="109"/>
    </row>
    <row r="29" spans="2:23" ht="12.75">
      <c r="B29" s="120">
        <f>1300*Land!K6</f>
        <v>712400</v>
      </c>
      <c r="C29" s="144" t="s">
        <v>14</v>
      </c>
      <c r="D29" s="96"/>
      <c r="E29" s="96"/>
      <c r="F29" s="96"/>
      <c r="G29" s="96" t="s">
        <v>39</v>
      </c>
      <c r="H29" s="96"/>
      <c r="I29" s="135">
        <v>5000</v>
      </c>
      <c r="J29" s="135">
        <v>27010</v>
      </c>
      <c r="K29" s="135">
        <v>42515</v>
      </c>
      <c r="L29" s="135">
        <v>30520</v>
      </c>
      <c r="M29" s="96"/>
      <c r="N29" s="96"/>
      <c r="O29" s="109"/>
      <c r="W29" s="145">
        <f>SUM(I29:L29)</f>
        <v>105045</v>
      </c>
    </row>
    <row r="30" spans="2:15" ht="12.75">
      <c r="B30" s="120"/>
      <c r="C30" s="96" t="s">
        <v>260</v>
      </c>
      <c r="D30" s="139"/>
      <c r="E30" s="96"/>
      <c r="F30" s="96"/>
      <c r="G30" s="96"/>
      <c r="H30" s="96"/>
      <c r="I30" s="96"/>
      <c r="J30" s="96"/>
      <c r="K30" s="96"/>
      <c r="L30" s="96"/>
      <c r="M30" s="96"/>
      <c r="N30" s="96"/>
      <c r="O30" s="109"/>
    </row>
    <row r="31" spans="2:23" ht="12.75">
      <c r="B31" s="120"/>
      <c r="C31" s="96"/>
      <c r="D31" s="146" t="s">
        <v>9</v>
      </c>
      <c r="E31" s="147">
        <f>'ERR &amp; Sensitivity Analysis'!G17</f>
        <v>30000</v>
      </c>
      <c r="F31" s="96" t="s">
        <v>16</v>
      </c>
      <c r="G31" s="96" t="s">
        <v>18</v>
      </c>
      <c r="H31" s="96"/>
      <c r="I31" s="148">
        <f>(I29/$W$29)*$E$31</f>
        <v>1427.959445951735</v>
      </c>
      <c r="J31" s="148">
        <f>(J29/$W$29)*$E$31</f>
        <v>7713.836927031273</v>
      </c>
      <c r="K31" s="148">
        <f>(K29/$W$29)*$E$31</f>
        <v>12141.939168927602</v>
      </c>
      <c r="L31" s="148">
        <f>(L29/$W$29)*$E$31</f>
        <v>8716.26445808939</v>
      </c>
      <c r="M31" s="96"/>
      <c r="N31" s="96"/>
      <c r="O31" s="109"/>
      <c r="W31" s="149"/>
    </row>
    <row r="32" spans="2:15" ht="12.75">
      <c r="B32" s="120"/>
      <c r="C32" s="96"/>
      <c r="D32" s="146" t="s">
        <v>10</v>
      </c>
      <c r="E32" s="147">
        <f>'ERR &amp; Sensitivity Analysis'!G18</f>
        <v>50000</v>
      </c>
      <c r="F32" s="96" t="s">
        <v>16</v>
      </c>
      <c r="G32" s="96" t="s">
        <v>18</v>
      </c>
      <c r="H32" s="96"/>
      <c r="I32" s="148">
        <f>(I29/$W$29)*$E$32</f>
        <v>2379.9324099195583</v>
      </c>
      <c r="J32" s="148">
        <f>(J29/$W$29)*$E$32</f>
        <v>12856.394878385454</v>
      </c>
      <c r="K32" s="148">
        <f>(K29/$W$29)*$E$32</f>
        <v>20236.565281546005</v>
      </c>
      <c r="L32" s="148">
        <f>(L29/$W$29)*$E$32</f>
        <v>14527.107430148983</v>
      </c>
      <c r="M32" s="96"/>
      <c r="N32" s="96"/>
      <c r="O32" s="109"/>
    </row>
    <row r="33" spans="2:15" ht="12.75">
      <c r="B33" s="120"/>
      <c r="C33" s="96" t="s">
        <v>130</v>
      </c>
      <c r="D33" s="146"/>
      <c r="E33" s="150"/>
      <c r="F33" s="96"/>
      <c r="G33" s="96"/>
      <c r="H33" s="96"/>
      <c r="I33" s="148"/>
      <c r="J33" s="148"/>
      <c r="K33" s="148"/>
      <c r="L33" s="148"/>
      <c r="M33" s="96"/>
      <c r="N33" s="96"/>
      <c r="O33" s="109"/>
    </row>
    <row r="34" spans="2:15" ht="12.75">
      <c r="B34" s="120"/>
      <c r="C34" s="96"/>
      <c r="D34" s="146" t="s">
        <v>9</v>
      </c>
      <c r="E34" s="150"/>
      <c r="F34" s="96"/>
      <c r="G34" s="96" t="s">
        <v>39</v>
      </c>
      <c r="H34" s="96"/>
      <c r="I34" s="151">
        <f>I35/3</f>
        <v>0.25010714285714286</v>
      </c>
      <c r="J34" s="151">
        <f>J35/3</f>
        <v>0.2501071428571428</v>
      </c>
      <c r="K34" s="151">
        <f>K35/3</f>
        <v>0.25010714285714286</v>
      </c>
      <c r="L34" s="151">
        <f>L35/3</f>
        <v>0.2501071428571429</v>
      </c>
      <c r="M34" s="96"/>
      <c r="N34" s="96"/>
      <c r="O34" s="109"/>
    </row>
    <row r="35" spans="2:15" ht="12.75">
      <c r="B35" s="120"/>
      <c r="C35" s="96"/>
      <c r="D35" s="146" t="s">
        <v>10</v>
      </c>
      <c r="E35" s="150"/>
      <c r="F35" s="96"/>
      <c r="G35" s="96" t="s">
        <v>39</v>
      </c>
      <c r="H35" s="96"/>
      <c r="I35" s="151">
        <f>I29/(I31*$E$36+I32)</f>
        <v>0.7503214285714286</v>
      </c>
      <c r="J35" s="151">
        <f>J29/(J31*$E$36+J32)</f>
        <v>0.7503214285714284</v>
      </c>
      <c r="K35" s="151">
        <f>K29/(K31*$E$36+K32)</f>
        <v>0.7503214285714286</v>
      </c>
      <c r="L35" s="151">
        <f>L29/(L31*$E$36+L32)</f>
        <v>0.7503214285714287</v>
      </c>
      <c r="M35" s="96"/>
      <c r="N35" s="96"/>
      <c r="O35" s="109"/>
    </row>
    <row r="36" spans="2:15" ht="12.75">
      <c r="B36" s="120"/>
      <c r="C36" s="96"/>
      <c r="D36" s="152" t="s">
        <v>132</v>
      </c>
      <c r="E36" s="153">
        <v>3</v>
      </c>
      <c r="F36" s="96" t="s">
        <v>131</v>
      </c>
      <c r="G36" s="96"/>
      <c r="H36" s="148"/>
      <c r="I36" s="148"/>
      <c r="J36" s="148"/>
      <c r="K36" s="148"/>
      <c r="L36" s="96"/>
      <c r="M36" s="96"/>
      <c r="N36" s="96"/>
      <c r="O36" s="109"/>
    </row>
    <row r="37" spans="2:15" ht="13.5" thickBot="1">
      <c r="B37" s="120"/>
      <c r="C37" s="96"/>
      <c r="D37" s="152"/>
      <c r="E37" s="153"/>
      <c r="F37" s="96"/>
      <c r="G37" s="96"/>
      <c r="H37" s="148"/>
      <c r="I37" s="148"/>
      <c r="J37" s="148"/>
      <c r="K37" s="148"/>
      <c r="L37" s="96"/>
      <c r="M37" s="96"/>
      <c r="N37" s="96"/>
      <c r="O37" s="109"/>
    </row>
    <row r="38" spans="2:15" ht="12.75">
      <c r="B38" s="154"/>
      <c r="C38" s="97"/>
      <c r="D38" s="155"/>
      <c r="E38" s="156"/>
      <c r="F38" s="97"/>
      <c r="G38" s="97"/>
      <c r="H38" s="157"/>
      <c r="I38" s="157"/>
      <c r="J38" s="157"/>
      <c r="K38" s="157"/>
      <c r="L38" s="97"/>
      <c r="M38" s="97"/>
      <c r="N38" s="97"/>
      <c r="O38" s="98"/>
    </row>
    <row r="39" spans="2:15" ht="12.75">
      <c r="B39" s="158" t="s">
        <v>167</v>
      </c>
      <c r="C39" s="159" t="s">
        <v>2</v>
      </c>
      <c r="D39" s="159">
        <v>2</v>
      </c>
      <c r="E39" s="159">
        <v>3</v>
      </c>
      <c r="F39" s="159">
        <v>4</v>
      </c>
      <c r="G39" s="159">
        <v>5</v>
      </c>
      <c r="H39" s="159">
        <v>2</v>
      </c>
      <c r="I39" s="159">
        <v>3</v>
      </c>
      <c r="J39" s="159">
        <v>4</v>
      </c>
      <c r="K39" s="159">
        <v>5</v>
      </c>
      <c r="L39" s="159">
        <v>2</v>
      </c>
      <c r="M39" s="159">
        <v>3</v>
      </c>
      <c r="N39" s="159">
        <v>4</v>
      </c>
      <c r="O39" s="160">
        <v>5</v>
      </c>
    </row>
    <row r="40" spans="2:15" ht="12.75">
      <c r="B40" s="120"/>
      <c r="C40" s="152" t="s">
        <v>171</v>
      </c>
      <c r="D40" s="161">
        <v>0.3</v>
      </c>
      <c r="E40" s="161">
        <v>0.3</v>
      </c>
      <c r="F40" s="161">
        <v>0.3</v>
      </c>
      <c r="G40" s="161">
        <v>0.3</v>
      </c>
      <c r="H40" s="162">
        <v>0.7</v>
      </c>
      <c r="I40" s="162">
        <v>0.7</v>
      </c>
      <c r="J40" s="162">
        <v>0.7</v>
      </c>
      <c r="K40" s="162">
        <v>0.7</v>
      </c>
      <c r="L40" s="161">
        <v>1.2</v>
      </c>
      <c r="M40" s="161">
        <v>1.2</v>
      </c>
      <c r="N40" s="161">
        <v>1.2</v>
      </c>
      <c r="O40" s="163">
        <v>1.2</v>
      </c>
    </row>
    <row r="41" spans="2:15" ht="12.75">
      <c r="B41" s="120"/>
      <c r="C41" s="96" t="s">
        <v>162</v>
      </c>
      <c r="D41" s="152">
        <f>$D$26</f>
        <v>712400</v>
      </c>
      <c r="E41" s="152">
        <f aca="true" t="shared" si="0" ref="E41:O41">$D$26</f>
        <v>712400</v>
      </c>
      <c r="F41" s="152">
        <f t="shared" si="0"/>
        <v>712400</v>
      </c>
      <c r="G41" s="152">
        <f t="shared" si="0"/>
        <v>712400</v>
      </c>
      <c r="H41" s="152">
        <f>$D$26</f>
        <v>712400</v>
      </c>
      <c r="I41" s="152">
        <f t="shared" si="0"/>
        <v>712400</v>
      </c>
      <c r="J41" s="152">
        <f t="shared" si="0"/>
        <v>712400</v>
      </c>
      <c r="K41" s="152">
        <f t="shared" si="0"/>
        <v>712400</v>
      </c>
      <c r="L41" s="152">
        <f t="shared" si="0"/>
        <v>712400</v>
      </c>
      <c r="M41" s="152">
        <f t="shared" si="0"/>
        <v>712400</v>
      </c>
      <c r="N41" s="152">
        <f t="shared" si="0"/>
        <v>712400</v>
      </c>
      <c r="O41" s="164">
        <f t="shared" si="0"/>
        <v>712400</v>
      </c>
    </row>
    <row r="42" spans="2:15" ht="12.75">
      <c r="B42" s="120"/>
      <c r="C42" s="96" t="s">
        <v>163</v>
      </c>
      <c r="D42" s="152">
        <v>494</v>
      </c>
      <c r="E42" s="135">
        <f>D42</f>
        <v>494</v>
      </c>
      <c r="F42" s="135">
        <f aca="true" t="shared" si="1" ref="F42:O42">E42</f>
        <v>494</v>
      </c>
      <c r="G42" s="135">
        <f t="shared" si="1"/>
        <v>494</v>
      </c>
      <c r="H42" s="135">
        <f>G42</f>
        <v>494</v>
      </c>
      <c r="I42" s="135">
        <f t="shared" si="1"/>
        <v>494</v>
      </c>
      <c r="J42" s="135">
        <f t="shared" si="1"/>
        <v>494</v>
      </c>
      <c r="K42" s="135">
        <f t="shared" si="1"/>
        <v>494</v>
      </c>
      <c r="L42" s="135">
        <f t="shared" si="1"/>
        <v>494</v>
      </c>
      <c r="M42" s="135">
        <f t="shared" si="1"/>
        <v>494</v>
      </c>
      <c r="N42" s="135">
        <f t="shared" si="1"/>
        <v>494</v>
      </c>
      <c r="O42" s="165">
        <f t="shared" si="1"/>
        <v>494</v>
      </c>
    </row>
    <row r="43" spans="2:15" ht="12.75">
      <c r="B43" s="120"/>
      <c r="C43" s="96" t="s">
        <v>164</v>
      </c>
      <c r="D43" s="152">
        <f>$F$26</f>
        <v>98640</v>
      </c>
      <c r="E43" s="152">
        <f aca="true" t="shared" si="2" ref="E43:O43">$F$26</f>
        <v>98640</v>
      </c>
      <c r="F43" s="152">
        <f t="shared" si="2"/>
        <v>98640</v>
      </c>
      <c r="G43" s="152">
        <f t="shared" si="2"/>
        <v>98640</v>
      </c>
      <c r="H43" s="152">
        <f>$F$26</f>
        <v>98640</v>
      </c>
      <c r="I43" s="152">
        <f t="shared" si="2"/>
        <v>98640</v>
      </c>
      <c r="J43" s="152">
        <f t="shared" si="2"/>
        <v>98640</v>
      </c>
      <c r="K43" s="152">
        <f t="shared" si="2"/>
        <v>98640</v>
      </c>
      <c r="L43" s="152">
        <f t="shared" si="2"/>
        <v>98640</v>
      </c>
      <c r="M43" s="152">
        <f t="shared" si="2"/>
        <v>98640</v>
      </c>
      <c r="N43" s="152">
        <f t="shared" si="2"/>
        <v>98640</v>
      </c>
      <c r="O43" s="164">
        <f t="shared" si="2"/>
        <v>98640</v>
      </c>
    </row>
    <row r="44" spans="2:15" ht="12.75">
      <c r="B44" s="120"/>
      <c r="C44" s="96" t="s">
        <v>165</v>
      </c>
      <c r="D44" s="148">
        <f>I31</f>
        <v>1427.959445951735</v>
      </c>
      <c r="E44" s="148">
        <f>J31</f>
        <v>7713.836927031273</v>
      </c>
      <c r="F44" s="148">
        <f>K31</f>
        <v>12141.939168927602</v>
      </c>
      <c r="G44" s="148">
        <f>L31</f>
        <v>8716.26445808939</v>
      </c>
      <c r="H44" s="148">
        <f>I31</f>
        <v>1427.959445951735</v>
      </c>
      <c r="I44" s="148">
        <f>J31</f>
        <v>7713.836927031273</v>
      </c>
      <c r="J44" s="148">
        <f>K31</f>
        <v>12141.939168927602</v>
      </c>
      <c r="K44" s="148">
        <f>L31</f>
        <v>8716.26445808939</v>
      </c>
      <c r="L44" s="148">
        <f>I31</f>
        <v>1427.959445951735</v>
      </c>
      <c r="M44" s="148">
        <f>J31</f>
        <v>7713.836927031273</v>
      </c>
      <c r="N44" s="148">
        <f>K31</f>
        <v>12141.939168927602</v>
      </c>
      <c r="O44" s="166">
        <f>L31</f>
        <v>8716.26445808939</v>
      </c>
    </row>
    <row r="45" spans="2:15" ht="12.75">
      <c r="B45" s="120"/>
      <c r="C45" s="96"/>
      <c r="D45" s="148"/>
      <c r="E45" s="148"/>
      <c r="F45" s="148"/>
      <c r="G45" s="148"/>
      <c r="H45" s="148"/>
      <c r="I45" s="148"/>
      <c r="J45" s="148"/>
      <c r="K45" s="148"/>
      <c r="L45" s="148"/>
      <c r="M45" s="148"/>
      <c r="N45" s="148"/>
      <c r="O45" s="166"/>
    </row>
    <row r="46" spans="2:15" ht="12.75">
      <c r="B46" s="120"/>
      <c r="C46" s="96"/>
      <c r="D46" s="152"/>
      <c r="E46" s="96"/>
      <c r="F46" s="96"/>
      <c r="G46" s="96"/>
      <c r="H46" s="153"/>
      <c r="I46" s="96"/>
      <c r="J46" s="148"/>
      <c r="K46" s="148"/>
      <c r="L46" s="96"/>
      <c r="M46" s="96"/>
      <c r="N46" s="96"/>
      <c r="O46" s="109"/>
    </row>
    <row r="47" spans="2:15" ht="12.75">
      <c r="B47" s="158" t="s">
        <v>126</v>
      </c>
      <c r="C47" s="159" t="s">
        <v>2</v>
      </c>
      <c r="D47" s="159">
        <v>2</v>
      </c>
      <c r="E47" s="159">
        <v>3</v>
      </c>
      <c r="F47" s="159">
        <v>4</v>
      </c>
      <c r="G47" s="159">
        <v>5</v>
      </c>
      <c r="H47" s="159">
        <v>2</v>
      </c>
      <c r="I47" s="159">
        <v>3</v>
      </c>
      <c r="J47" s="159">
        <v>4</v>
      </c>
      <c r="K47" s="159">
        <v>5</v>
      </c>
      <c r="L47" s="159">
        <v>2</v>
      </c>
      <c r="M47" s="159">
        <v>3</v>
      </c>
      <c r="N47" s="159">
        <v>4</v>
      </c>
      <c r="O47" s="160">
        <v>5</v>
      </c>
    </row>
    <row r="48" spans="2:15" ht="12.75">
      <c r="B48" s="120"/>
      <c r="C48" s="152" t="s">
        <v>171</v>
      </c>
      <c r="D48" s="161">
        <v>0.3</v>
      </c>
      <c r="E48" s="161">
        <v>0.3</v>
      </c>
      <c r="F48" s="161">
        <v>0.3</v>
      </c>
      <c r="G48" s="161">
        <v>0.3</v>
      </c>
      <c r="H48" s="162">
        <v>0.7</v>
      </c>
      <c r="I48" s="162">
        <v>0.7</v>
      </c>
      <c r="J48" s="162">
        <v>0.7</v>
      </c>
      <c r="K48" s="162">
        <v>0.7</v>
      </c>
      <c r="L48" s="161">
        <v>1.2</v>
      </c>
      <c r="M48" s="161">
        <v>1.2</v>
      </c>
      <c r="N48" s="161">
        <v>1.2</v>
      </c>
      <c r="O48" s="163">
        <v>1.2</v>
      </c>
    </row>
    <row r="49" spans="2:15" ht="12.75">
      <c r="B49" s="120"/>
      <c r="C49" s="96" t="s">
        <v>162</v>
      </c>
      <c r="D49" s="152">
        <f>$D$26</f>
        <v>712400</v>
      </c>
      <c r="E49" s="152">
        <f aca="true" t="shared" si="3" ref="E49:O49">$D$26</f>
        <v>712400</v>
      </c>
      <c r="F49" s="152">
        <f t="shared" si="3"/>
        <v>712400</v>
      </c>
      <c r="G49" s="152">
        <f t="shared" si="3"/>
        <v>712400</v>
      </c>
      <c r="H49" s="152">
        <f t="shared" si="3"/>
        <v>712400</v>
      </c>
      <c r="I49" s="152">
        <f t="shared" si="3"/>
        <v>712400</v>
      </c>
      <c r="J49" s="152">
        <f t="shared" si="3"/>
        <v>712400</v>
      </c>
      <c r="K49" s="152">
        <f t="shared" si="3"/>
        <v>712400</v>
      </c>
      <c r="L49" s="152">
        <f t="shared" si="3"/>
        <v>712400</v>
      </c>
      <c r="M49" s="152">
        <f t="shared" si="3"/>
        <v>712400</v>
      </c>
      <c r="N49" s="152">
        <f t="shared" si="3"/>
        <v>712400</v>
      </c>
      <c r="O49" s="164">
        <f t="shared" si="3"/>
        <v>712400</v>
      </c>
    </row>
    <row r="50" spans="2:15" ht="12.75">
      <c r="B50" s="120"/>
      <c r="C50" s="96" t="s">
        <v>163</v>
      </c>
      <c r="D50" s="167">
        <v>321.26849721597</v>
      </c>
      <c r="E50" s="168">
        <v>1735.3898320203834</v>
      </c>
      <c r="F50" s="168">
        <v>2731.727133680499</v>
      </c>
      <c r="G50" s="168">
        <v>1960.952713889243</v>
      </c>
      <c r="H50" s="169">
        <v>173.4863977287086</v>
      </c>
      <c r="I50" s="168">
        <v>937.1181215127218</v>
      </c>
      <c r="J50" s="168">
        <v>1475.14463480499</v>
      </c>
      <c r="K50" s="168">
        <v>1058.9230671449368</v>
      </c>
      <c r="L50" s="168">
        <v>80.30859702718669</v>
      </c>
      <c r="M50" s="168">
        <v>433.80139637878665</v>
      </c>
      <c r="N50" s="168">
        <v>682.8592764870492</v>
      </c>
      <c r="O50" s="170">
        <v>490.1861298377904</v>
      </c>
    </row>
    <row r="51" spans="2:15" ht="12.75">
      <c r="B51" s="120"/>
      <c r="C51" s="96" t="s">
        <v>164</v>
      </c>
      <c r="D51" s="152">
        <f>$F$26</f>
        <v>98640</v>
      </c>
      <c r="E51" s="152">
        <f aca="true" t="shared" si="4" ref="E51:O51">$F$26</f>
        <v>98640</v>
      </c>
      <c r="F51" s="152">
        <f t="shared" si="4"/>
        <v>98640</v>
      </c>
      <c r="G51" s="152">
        <f t="shared" si="4"/>
        <v>98640</v>
      </c>
      <c r="H51" s="152">
        <f t="shared" si="4"/>
        <v>98640</v>
      </c>
      <c r="I51" s="152">
        <f t="shared" si="4"/>
        <v>98640</v>
      </c>
      <c r="J51" s="152">
        <f t="shared" si="4"/>
        <v>98640</v>
      </c>
      <c r="K51" s="152">
        <f t="shared" si="4"/>
        <v>98640</v>
      </c>
      <c r="L51" s="152">
        <f t="shared" si="4"/>
        <v>98640</v>
      </c>
      <c r="M51" s="152">
        <f t="shared" si="4"/>
        <v>98640</v>
      </c>
      <c r="N51" s="152">
        <f t="shared" si="4"/>
        <v>98640</v>
      </c>
      <c r="O51" s="164">
        <f t="shared" si="4"/>
        <v>98640</v>
      </c>
    </row>
    <row r="52" spans="2:15" ht="12.75">
      <c r="B52" s="120"/>
      <c r="C52" s="96" t="s">
        <v>165</v>
      </c>
      <c r="D52" s="152">
        <f>I32</f>
        <v>2379.9324099195583</v>
      </c>
      <c r="E52" s="152">
        <f>J32</f>
        <v>12856.394878385454</v>
      </c>
      <c r="F52" s="152">
        <f>K32</f>
        <v>20236.565281546005</v>
      </c>
      <c r="G52" s="152">
        <f>L32</f>
        <v>14527.107430148983</v>
      </c>
      <c r="H52" s="152">
        <f>I32</f>
        <v>2379.9324099195583</v>
      </c>
      <c r="I52" s="152">
        <f>J32</f>
        <v>12856.394878385454</v>
      </c>
      <c r="J52" s="152">
        <f>K32</f>
        <v>20236.565281546005</v>
      </c>
      <c r="K52" s="152">
        <f>L32</f>
        <v>14527.107430148983</v>
      </c>
      <c r="L52" s="152">
        <f>I32</f>
        <v>2379.9324099195583</v>
      </c>
      <c r="M52" s="152">
        <f>J32</f>
        <v>12856.394878385454</v>
      </c>
      <c r="N52" s="152">
        <f>K32</f>
        <v>20236.565281546005</v>
      </c>
      <c r="O52" s="164">
        <f>L32</f>
        <v>14527.107430148983</v>
      </c>
    </row>
    <row r="53" spans="2:15" ht="12.75">
      <c r="B53" s="120"/>
      <c r="C53" s="96"/>
      <c r="D53" s="146"/>
      <c r="E53" s="153"/>
      <c r="F53" s="96"/>
      <c r="G53" s="96"/>
      <c r="H53" s="148"/>
      <c r="I53" s="148"/>
      <c r="J53" s="148"/>
      <c r="K53" s="148"/>
      <c r="L53" s="96"/>
      <c r="M53" s="96"/>
      <c r="N53" s="96"/>
      <c r="O53" s="109"/>
    </row>
    <row r="54" spans="2:15" ht="12.75">
      <c r="B54" s="120"/>
      <c r="C54" s="171" t="s">
        <v>257</v>
      </c>
      <c r="D54" s="146"/>
      <c r="E54" s="150"/>
      <c r="F54" s="96"/>
      <c r="G54" s="96"/>
      <c r="H54" s="148"/>
      <c r="I54" s="148"/>
      <c r="J54" s="148"/>
      <c r="K54" s="148"/>
      <c r="L54" s="96"/>
      <c r="M54" s="96"/>
      <c r="N54" s="96"/>
      <c r="O54" s="109"/>
    </row>
    <row r="55" spans="2:15" ht="12.75">
      <c r="B55" s="172" t="s">
        <v>168</v>
      </c>
      <c r="C55" s="96"/>
      <c r="D55" s="173" t="s">
        <v>9</v>
      </c>
      <c r="E55" s="174"/>
      <c r="F55" s="175"/>
      <c r="G55" s="175"/>
      <c r="H55" s="175"/>
      <c r="I55" s="176">
        <f>((H41-H43)*H42/Land!$K$6)*$F$7</f>
        <v>553280</v>
      </c>
      <c r="J55" s="176">
        <f>((I41-I43)*I42/Land!$K$6)*$F$7</f>
        <v>553280</v>
      </c>
      <c r="K55" s="176">
        <f>((J41-J43)*J42/Land!$K$6)*$F$7</f>
        <v>553280</v>
      </c>
      <c r="L55" s="176">
        <f>((K41-K43)*K42/Land!$K$6)*$F$7</f>
        <v>553280</v>
      </c>
      <c r="M55" s="96"/>
      <c r="N55" s="96"/>
      <c r="O55" s="109"/>
    </row>
    <row r="56" spans="2:15" ht="12.75">
      <c r="B56" s="120"/>
      <c r="C56" s="96"/>
      <c r="D56" s="173" t="s">
        <v>10</v>
      </c>
      <c r="E56" s="174"/>
      <c r="F56" s="175"/>
      <c r="G56" s="175"/>
      <c r="H56" s="175"/>
      <c r="I56" s="177">
        <f>((H49-H51)*H50/Land!$K$6)*$F$7</f>
        <v>194304.76545615363</v>
      </c>
      <c r="J56" s="177">
        <f>((I49-I51)*I50/Land!$K$6)*$F$7</f>
        <v>1049572.2960942483</v>
      </c>
      <c r="K56" s="177">
        <f>((J49-J51)*J50/Land!$K$6)*$F$7</f>
        <v>1652161.9909815886</v>
      </c>
      <c r="L56" s="177">
        <f>((K49-K51)*K50/Land!$K$6)*$F$7</f>
        <v>1185993.835202329</v>
      </c>
      <c r="M56" s="96"/>
      <c r="N56" s="96"/>
      <c r="O56" s="109"/>
    </row>
    <row r="57" spans="2:15" ht="13.5" thickBot="1">
      <c r="B57" s="129"/>
      <c r="C57" s="113"/>
      <c r="D57" s="178"/>
      <c r="E57" s="179"/>
      <c r="F57" s="180"/>
      <c r="G57" s="180"/>
      <c r="H57" s="180"/>
      <c r="I57" s="181"/>
      <c r="J57" s="181"/>
      <c r="K57" s="181"/>
      <c r="L57" s="181"/>
      <c r="M57" s="113"/>
      <c r="N57" s="113"/>
      <c r="O57" s="114"/>
    </row>
    <row r="58" spans="2:14" ht="12.75">
      <c r="B58" s="432">
        <f>IF('ERR &amp; Sensitivity Analysis'!$I$10="N","Note: Current calculations are based on user input and are not the original MCC estimates.",IF('ERR &amp; Sensitivity Analysis'!$I$11="N","Note: Current calculations are based on user input and are not the original MCC estimates.",0))</f>
        <v>0</v>
      </c>
      <c r="C58" s="432"/>
      <c r="D58" s="432"/>
      <c r="E58" s="432"/>
      <c r="F58" s="432"/>
      <c r="G58" s="432"/>
      <c r="H58" s="432"/>
      <c r="I58" s="432"/>
      <c r="J58" s="432"/>
      <c r="K58" s="149"/>
      <c r="L58" s="96"/>
      <c r="M58" s="96"/>
      <c r="N58" s="96"/>
    </row>
    <row r="59" spans="11:14" ht="13.5" thickBot="1">
      <c r="K59" s="96"/>
      <c r="L59" s="96"/>
      <c r="M59" s="96"/>
      <c r="N59" s="96"/>
    </row>
    <row r="60" spans="2:14" ht="12.75">
      <c r="B60" s="347" t="s">
        <v>256</v>
      </c>
      <c r="C60" s="97"/>
      <c r="D60" s="97"/>
      <c r="E60" s="97"/>
      <c r="F60" s="97"/>
      <c r="G60" s="97"/>
      <c r="H60" s="97"/>
      <c r="I60" s="97"/>
      <c r="J60" s="98"/>
      <c r="K60" s="96"/>
      <c r="L60" s="96"/>
      <c r="M60" s="96"/>
      <c r="N60" s="96"/>
    </row>
    <row r="61" spans="2:14" ht="12.75">
      <c r="B61" s="120" t="s">
        <v>264</v>
      </c>
      <c r="C61" s="96"/>
      <c r="D61" s="404">
        <v>516750</v>
      </c>
      <c r="E61" s="96"/>
      <c r="F61" s="96"/>
      <c r="G61" s="96"/>
      <c r="H61" s="96"/>
      <c r="I61" s="96"/>
      <c r="J61" s="109"/>
      <c r="K61" s="96"/>
      <c r="L61" s="96"/>
      <c r="M61" s="96"/>
      <c r="N61" s="96"/>
    </row>
    <row r="62" spans="2:14" ht="12.75">
      <c r="B62" s="120" t="s">
        <v>265</v>
      </c>
      <c r="C62" s="96"/>
      <c r="D62" s="404">
        <f>D61-D63</f>
        <v>100000</v>
      </c>
      <c r="E62" s="96"/>
      <c r="F62" s="139"/>
      <c r="G62" s="96"/>
      <c r="H62" s="135"/>
      <c r="I62" s="96"/>
      <c r="J62" s="109"/>
      <c r="K62" s="96"/>
      <c r="L62" s="96"/>
      <c r="M62" s="96"/>
      <c r="N62" s="96"/>
    </row>
    <row r="63" spans="2:14" ht="12.75">
      <c r="B63" s="120" t="s">
        <v>266</v>
      </c>
      <c r="C63" s="96"/>
      <c r="D63" s="404">
        <f>D64*Land!K6</f>
        <v>416750</v>
      </c>
      <c r="E63" s="96"/>
      <c r="F63" s="139"/>
      <c r="G63" s="96"/>
      <c r="H63" s="135"/>
      <c r="I63" s="96"/>
      <c r="J63" s="109"/>
      <c r="K63" s="96"/>
      <c r="L63" s="96"/>
      <c r="M63" s="96"/>
      <c r="N63" s="96"/>
    </row>
    <row r="64" spans="2:14" ht="12.75">
      <c r="B64" s="120" t="s">
        <v>267</v>
      </c>
      <c r="C64" s="140"/>
      <c r="D64" s="405">
        <f>'ERR &amp; Sensitivity Analysis'!G16</f>
        <v>760.492700729927</v>
      </c>
      <c r="E64" s="96"/>
      <c r="F64" s="139"/>
      <c r="G64" s="96"/>
      <c r="H64" s="96"/>
      <c r="I64" s="96"/>
      <c r="J64" s="109"/>
      <c r="K64" s="96"/>
      <c r="L64" s="96"/>
      <c r="M64" s="96"/>
      <c r="N64" s="96"/>
    </row>
    <row r="65" spans="2:14" ht="12.75">
      <c r="B65" s="120"/>
      <c r="C65" s="96"/>
      <c r="D65" s="139"/>
      <c r="E65" s="96"/>
      <c r="F65" s="96"/>
      <c r="G65" s="96"/>
      <c r="H65" s="96"/>
      <c r="I65" s="96"/>
      <c r="J65" s="109"/>
      <c r="K65" s="96"/>
      <c r="L65" s="96"/>
      <c r="M65" s="96"/>
      <c r="N65" s="96"/>
    </row>
    <row r="66" spans="2:14" ht="12.75">
      <c r="B66" s="406" t="s">
        <v>11</v>
      </c>
      <c r="C66" s="96"/>
      <c r="D66" s="96"/>
      <c r="E66" s="96"/>
      <c r="F66" s="96"/>
      <c r="G66" s="96">
        <v>80</v>
      </c>
      <c r="H66" s="96">
        <v>130</v>
      </c>
      <c r="I66" s="96">
        <v>90</v>
      </c>
      <c r="J66" s="109">
        <v>0</v>
      </c>
      <c r="L66" s="96"/>
      <c r="M66" s="96"/>
      <c r="N66" s="96"/>
    </row>
    <row r="67" spans="2:14" ht="12.75">
      <c r="B67" s="378" t="s">
        <v>261</v>
      </c>
      <c r="C67" s="96"/>
      <c r="D67" s="96"/>
      <c r="E67" s="96"/>
      <c r="F67" s="96" t="s">
        <v>18</v>
      </c>
      <c r="G67" s="96"/>
      <c r="H67" s="135">
        <v>20000</v>
      </c>
      <c r="I67" s="135">
        <v>32500</v>
      </c>
      <c r="J67" s="165">
        <v>22500</v>
      </c>
      <c r="L67" s="96"/>
      <c r="M67" s="96"/>
      <c r="N67" s="96"/>
    </row>
    <row r="68" spans="2:14" ht="12.75">
      <c r="B68" s="378" t="s">
        <v>13</v>
      </c>
      <c r="C68" s="96"/>
      <c r="D68" s="96"/>
      <c r="E68" s="96"/>
      <c r="F68" s="96" t="s">
        <v>18</v>
      </c>
      <c r="G68" s="96"/>
      <c r="H68" s="135">
        <v>20000</v>
      </c>
      <c r="I68" s="135">
        <v>32500</v>
      </c>
      <c r="J68" s="165">
        <v>22500</v>
      </c>
      <c r="L68" s="96"/>
      <c r="M68" s="96"/>
      <c r="N68" s="96"/>
    </row>
    <row r="69" spans="2:14" ht="12.75">
      <c r="B69" s="120"/>
      <c r="C69" s="144"/>
      <c r="D69" s="96"/>
      <c r="E69" s="96"/>
      <c r="F69" s="96"/>
      <c r="G69" s="96"/>
      <c r="H69" s="96"/>
      <c r="I69" s="135"/>
      <c r="J69" s="165"/>
      <c r="K69" s="135"/>
      <c r="L69" s="96"/>
      <c r="M69" s="96"/>
      <c r="N69" s="96"/>
    </row>
    <row r="70" spans="2:14" ht="12.75">
      <c r="B70" s="407" t="s">
        <v>262</v>
      </c>
      <c r="C70" s="175"/>
      <c r="D70" s="174"/>
      <c r="E70" s="175"/>
      <c r="F70" s="408"/>
      <c r="G70" s="4">
        <f>0.75+22.25</f>
        <v>23</v>
      </c>
      <c r="H70" s="4">
        <f>15.4+3.85+1.5+((1.5/18)*6)+((19.25/18)*6)</f>
        <v>27.666666666666664</v>
      </c>
      <c r="I70" s="4">
        <f>((1.5/18)*12)+((19.25/18)*12)</f>
        <v>13.833333333333332</v>
      </c>
      <c r="J70" s="109"/>
      <c r="K70" s="96"/>
      <c r="L70" s="96"/>
      <c r="M70" s="96"/>
      <c r="N70" s="96"/>
    </row>
    <row r="71" spans="2:14" ht="12.75">
      <c r="B71" s="123">
        <v>30000</v>
      </c>
      <c r="C71" s="144" t="s">
        <v>263</v>
      </c>
      <c r="D71" s="96"/>
      <c r="E71" s="96"/>
      <c r="F71" s="144" t="s">
        <v>18</v>
      </c>
      <c r="G71" s="135"/>
      <c r="H71" s="135">
        <f>(G70/SUM($G$70:$I$70))*$B$71</f>
        <v>10697.674418604653</v>
      </c>
      <c r="I71" s="135">
        <f>(H70/SUM($G$70:$I$70))*$B$71</f>
        <v>12868.217054263565</v>
      </c>
      <c r="J71" s="165">
        <f>(I70/SUM($G$70:$I$70))*$B$71</f>
        <v>6434.1085271317825</v>
      </c>
      <c r="L71" s="96"/>
      <c r="M71" s="96"/>
      <c r="N71" s="96"/>
    </row>
    <row r="72" spans="2:14" ht="13.5" thickBot="1">
      <c r="B72" s="129"/>
      <c r="C72" s="113" t="s">
        <v>21</v>
      </c>
      <c r="D72" s="113"/>
      <c r="E72" s="113"/>
      <c r="F72" s="113"/>
      <c r="G72" s="113"/>
      <c r="H72" s="113"/>
      <c r="I72" s="113"/>
      <c r="J72" s="114"/>
      <c r="L72" s="96"/>
      <c r="M72" s="96"/>
      <c r="N72" s="96"/>
    </row>
    <row r="73" spans="10:14" ht="12.75">
      <c r="J73" s="96"/>
      <c r="L73" s="96"/>
      <c r="M73" s="96"/>
      <c r="N73" s="96"/>
    </row>
    <row r="74" spans="11:14" ht="13.5" thickBot="1">
      <c r="K74" s="96"/>
      <c r="L74" s="96"/>
      <c r="M74" s="96"/>
      <c r="N74" s="96"/>
    </row>
    <row r="75" spans="2:15" ht="12.75">
      <c r="B75" s="386" t="s">
        <v>167</v>
      </c>
      <c r="C75" s="118" t="s">
        <v>2</v>
      </c>
      <c r="D75" s="118">
        <v>2</v>
      </c>
      <c r="E75" s="118">
        <v>3</v>
      </c>
      <c r="F75" s="118">
        <v>4</v>
      </c>
      <c r="G75" s="118">
        <v>5</v>
      </c>
      <c r="H75" s="118">
        <v>2</v>
      </c>
      <c r="I75" s="118">
        <v>3</v>
      </c>
      <c r="J75" s="118">
        <v>4</v>
      </c>
      <c r="K75" s="118">
        <v>5</v>
      </c>
      <c r="L75" s="118">
        <v>2</v>
      </c>
      <c r="M75" s="118">
        <v>3</v>
      </c>
      <c r="N75" s="118">
        <v>4</v>
      </c>
      <c r="O75" s="119">
        <v>5</v>
      </c>
    </row>
    <row r="76" spans="2:15" ht="12.75">
      <c r="B76" s="120"/>
      <c r="C76" s="152" t="s">
        <v>166</v>
      </c>
      <c r="D76" s="161">
        <v>0.3</v>
      </c>
      <c r="E76" s="161">
        <v>0.3</v>
      </c>
      <c r="F76" s="161">
        <v>0.3</v>
      </c>
      <c r="G76" s="161">
        <v>0.3</v>
      </c>
      <c r="H76" s="162">
        <v>0.7</v>
      </c>
      <c r="I76" s="162">
        <v>0.7</v>
      </c>
      <c r="J76" s="162">
        <v>0.7</v>
      </c>
      <c r="K76" s="162">
        <v>0.7</v>
      </c>
      <c r="L76" s="161">
        <v>1.2</v>
      </c>
      <c r="M76" s="161">
        <v>1.2</v>
      </c>
      <c r="N76" s="161">
        <v>1.2</v>
      </c>
      <c r="O76" s="163">
        <v>1.2</v>
      </c>
    </row>
    <row r="77" spans="2:15" ht="12.75">
      <c r="B77" s="120"/>
      <c r="C77" s="96" t="s">
        <v>162</v>
      </c>
      <c r="D77" s="152">
        <f>$D$61</f>
        <v>516750</v>
      </c>
      <c r="E77" s="152">
        <f aca="true" t="shared" si="5" ref="E77:O77">$D$61</f>
        <v>516750</v>
      </c>
      <c r="F77" s="152">
        <f t="shared" si="5"/>
        <v>516750</v>
      </c>
      <c r="G77" s="152">
        <f t="shared" si="5"/>
        <v>516750</v>
      </c>
      <c r="H77" s="152">
        <f t="shared" si="5"/>
        <v>516750</v>
      </c>
      <c r="I77" s="152">
        <f t="shared" si="5"/>
        <v>516750</v>
      </c>
      <c r="J77" s="152">
        <f t="shared" si="5"/>
        <v>516750</v>
      </c>
      <c r="K77" s="152">
        <f t="shared" si="5"/>
        <v>516750</v>
      </c>
      <c r="L77" s="152">
        <f t="shared" si="5"/>
        <v>516750</v>
      </c>
      <c r="M77" s="152">
        <f t="shared" si="5"/>
        <v>516750</v>
      </c>
      <c r="N77" s="152">
        <f t="shared" si="5"/>
        <v>516750</v>
      </c>
      <c r="O77" s="164">
        <f t="shared" si="5"/>
        <v>516750</v>
      </c>
    </row>
    <row r="78" spans="2:15" ht="12.75">
      <c r="B78" s="120"/>
      <c r="C78" s="96" t="s">
        <v>163</v>
      </c>
      <c r="D78" s="152">
        <v>494</v>
      </c>
      <c r="E78" s="135">
        <f>D78</f>
        <v>494</v>
      </c>
      <c r="F78" s="135">
        <f aca="true" t="shared" si="6" ref="F78:O78">E78</f>
        <v>494</v>
      </c>
      <c r="G78" s="135">
        <f t="shared" si="6"/>
        <v>494</v>
      </c>
      <c r="H78" s="135">
        <f t="shared" si="6"/>
        <v>494</v>
      </c>
      <c r="I78" s="135">
        <f t="shared" si="6"/>
        <v>494</v>
      </c>
      <c r="J78" s="135">
        <f t="shared" si="6"/>
        <v>494</v>
      </c>
      <c r="K78" s="135">
        <f t="shared" si="6"/>
        <v>494</v>
      </c>
      <c r="L78" s="135">
        <f t="shared" si="6"/>
        <v>494</v>
      </c>
      <c r="M78" s="135">
        <f t="shared" si="6"/>
        <v>494</v>
      </c>
      <c r="N78" s="135">
        <f t="shared" si="6"/>
        <v>494</v>
      </c>
      <c r="O78" s="165">
        <f t="shared" si="6"/>
        <v>494</v>
      </c>
    </row>
    <row r="79" spans="2:15" ht="12.75">
      <c r="B79" s="120"/>
      <c r="C79" s="96" t="s">
        <v>164</v>
      </c>
      <c r="D79" s="152">
        <f aca="true" t="shared" si="7" ref="D79:O79">$D$62</f>
        <v>100000</v>
      </c>
      <c r="E79" s="152">
        <f t="shared" si="7"/>
        <v>100000</v>
      </c>
      <c r="F79" s="152">
        <f t="shared" si="7"/>
        <v>100000</v>
      </c>
      <c r="G79" s="152">
        <f t="shared" si="7"/>
        <v>100000</v>
      </c>
      <c r="H79" s="152">
        <f t="shared" si="7"/>
        <v>100000</v>
      </c>
      <c r="I79" s="152">
        <f t="shared" si="7"/>
        <v>100000</v>
      </c>
      <c r="J79" s="152">
        <f t="shared" si="7"/>
        <v>100000</v>
      </c>
      <c r="K79" s="152">
        <f t="shared" si="7"/>
        <v>100000</v>
      </c>
      <c r="L79" s="152">
        <f t="shared" si="7"/>
        <v>100000</v>
      </c>
      <c r="M79" s="152">
        <f t="shared" si="7"/>
        <v>100000</v>
      </c>
      <c r="N79" s="152">
        <f t="shared" si="7"/>
        <v>100000</v>
      </c>
      <c r="O79" s="164">
        <f t="shared" si="7"/>
        <v>100000</v>
      </c>
    </row>
    <row r="80" spans="2:15" ht="12.75">
      <c r="B80" s="120"/>
      <c r="C80" s="96" t="s">
        <v>165</v>
      </c>
      <c r="D80" s="152">
        <f>D44</f>
        <v>1427.959445951735</v>
      </c>
      <c r="E80" s="152">
        <f aca="true" t="shared" si="8" ref="E80:O80">E44</f>
        <v>7713.836927031273</v>
      </c>
      <c r="F80" s="152">
        <f t="shared" si="8"/>
        <v>12141.939168927602</v>
      </c>
      <c r="G80" s="152">
        <f t="shared" si="8"/>
        <v>8716.26445808939</v>
      </c>
      <c r="H80" s="152">
        <f t="shared" si="8"/>
        <v>1427.959445951735</v>
      </c>
      <c r="I80" s="152">
        <f t="shared" si="8"/>
        <v>7713.836927031273</v>
      </c>
      <c r="J80" s="152">
        <f t="shared" si="8"/>
        <v>12141.939168927602</v>
      </c>
      <c r="K80" s="152">
        <f t="shared" si="8"/>
        <v>8716.26445808939</v>
      </c>
      <c r="L80" s="152">
        <f t="shared" si="8"/>
        <v>1427.959445951735</v>
      </c>
      <c r="M80" s="152">
        <f t="shared" si="8"/>
        <v>7713.836927031273</v>
      </c>
      <c r="N80" s="152">
        <f t="shared" si="8"/>
        <v>12141.939168927602</v>
      </c>
      <c r="O80" s="164">
        <f t="shared" si="8"/>
        <v>8716.26445808939</v>
      </c>
    </row>
    <row r="81" spans="2:15" ht="12.75">
      <c r="B81" s="120"/>
      <c r="C81" s="96"/>
      <c r="D81" s="152"/>
      <c r="E81" s="96"/>
      <c r="F81" s="96"/>
      <c r="G81" s="96"/>
      <c r="H81" s="153"/>
      <c r="I81" s="96"/>
      <c r="J81" s="148"/>
      <c r="K81" s="148"/>
      <c r="L81" s="96"/>
      <c r="M81" s="96"/>
      <c r="N81" s="96"/>
      <c r="O81" s="109"/>
    </row>
    <row r="82" spans="2:15" ht="12.75">
      <c r="B82" s="158" t="s">
        <v>126</v>
      </c>
      <c r="C82" s="159" t="s">
        <v>2</v>
      </c>
      <c r="D82" s="159">
        <v>2</v>
      </c>
      <c r="E82" s="159">
        <v>3</v>
      </c>
      <c r="F82" s="159">
        <v>4</v>
      </c>
      <c r="G82" s="159">
        <v>5</v>
      </c>
      <c r="H82" s="159">
        <v>2</v>
      </c>
      <c r="I82" s="159">
        <v>3</v>
      </c>
      <c r="J82" s="159">
        <v>4</v>
      </c>
      <c r="K82" s="159">
        <v>5</v>
      </c>
      <c r="L82" s="159">
        <v>2</v>
      </c>
      <c r="M82" s="159">
        <v>3</v>
      </c>
      <c r="N82" s="159">
        <v>4</v>
      </c>
      <c r="O82" s="160">
        <v>5</v>
      </c>
    </row>
    <row r="83" spans="2:15" ht="12.75">
      <c r="B83" s="120"/>
      <c r="C83" s="152" t="s">
        <v>166</v>
      </c>
      <c r="D83" s="161">
        <v>0.3</v>
      </c>
      <c r="E83" s="161">
        <v>0.3</v>
      </c>
      <c r="F83" s="161">
        <v>0.3</v>
      </c>
      <c r="G83" s="161">
        <v>0.3</v>
      </c>
      <c r="H83" s="162">
        <v>0.7</v>
      </c>
      <c r="I83" s="162">
        <v>0.7</v>
      </c>
      <c r="J83" s="162">
        <v>0.7</v>
      </c>
      <c r="K83" s="162">
        <v>0.7</v>
      </c>
      <c r="L83" s="161">
        <v>1.2</v>
      </c>
      <c r="M83" s="161">
        <v>1.2</v>
      </c>
      <c r="N83" s="161">
        <v>1.2</v>
      </c>
      <c r="O83" s="163">
        <v>1.2</v>
      </c>
    </row>
    <row r="84" spans="2:15" ht="12.75">
      <c r="B84" s="120"/>
      <c r="C84" s="96" t="s">
        <v>162</v>
      </c>
      <c r="D84" s="152">
        <f>$D$61</f>
        <v>516750</v>
      </c>
      <c r="E84" s="152">
        <f aca="true" t="shared" si="9" ref="E84:O84">$D$61</f>
        <v>516750</v>
      </c>
      <c r="F84" s="152">
        <f t="shared" si="9"/>
        <v>516750</v>
      </c>
      <c r="G84" s="152">
        <f t="shared" si="9"/>
        <v>516750</v>
      </c>
      <c r="H84" s="152">
        <f t="shared" si="9"/>
        <v>516750</v>
      </c>
      <c r="I84" s="152">
        <f t="shared" si="9"/>
        <v>516750</v>
      </c>
      <c r="J84" s="152">
        <f t="shared" si="9"/>
        <v>516750</v>
      </c>
      <c r="K84" s="152">
        <f t="shared" si="9"/>
        <v>516750</v>
      </c>
      <c r="L84" s="152">
        <f t="shared" si="9"/>
        <v>516750</v>
      </c>
      <c r="M84" s="152">
        <f t="shared" si="9"/>
        <v>516750</v>
      </c>
      <c r="N84" s="152">
        <f t="shared" si="9"/>
        <v>516750</v>
      </c>
      <c r="O84" s="164">
        <f t="shared" si="9"/>
        <v>516750</v>
      </c>
    </row>
    <row r="85" spans="2:15" ht="12.75">
      <c r="B85" s="120"/>
      <c r="C85" s="96" t="s">
        <v>163</v>
      </c>
      <c r="D85" s="152">
        <v>281.3923757501892</v>
      </c>
      <c r="E85" s="135">
        <v>1519.9917574136273</v>
      </c>
      <c r="F85" s="135">
        <v>2392.662818511168</v>
      </c>
      <c r="G85" s="135">
        <v>1717.5575808920164</v>
      </c>
      <c r="H85" s="258">
        <v>145.88147038293044</v>
      </c>
      <c r="I85" s="135">
        <v>788.0051190096445</v>
      </c>
      <c r="J85" s="135">
        <v>1240.4215614030938</v>
      </c>
      <c r="K85" s="135">
        <v>890.4286219549708</v>
      </c>
      <c r="L85" s="135">
        <v>64.17411517698606</v>
      </c>
      <c r="M85" s="135">
        <v>240.8284166888268</v>
      </c>
      <c r="N85" s="135">
        <v>545.6687264019611</v>
      </c>
      <c r="O85" s="165">
        <v>391.70477780507423</v>
      </c>
    </row>
    <row r="86" spans="2:15" ht="12.75">
      <c r="B86" s="120"/>
      <c r="C86" s="96" t="s">
        <v>164</v>
      </c>
      <c r="D86" s="152">
        <f aca="true" t="shared" si="10" ref="D86:O86">$D$62</f>
        <v>100000</v>
      </c>
      <c r="E86" s="152">
        <f t="shared" si="10"/>
        <v>100000</v>
      </c>
      <c r="F86" s="152">
        <f t="shared" si="10"/>
        <v>100000</v>
      </c>
      <c r="G86" s="152">
        <f t="shared" si="10"/>
        <v>100000</v>
      </c>
      <c r="H86" s="152">
        <f t="shared" si="10"/>
        <v>100000</v>
      </c>
      <c r="I86" s="152">
        <f t="shared" si="10"/>
        <v>100000</v>
      </c>
      <c r="J86" s="152">
        <f t="shared" si="10"/>
        <v>100000</v>
      </c>
      <c r="K86" s="152">
        <f t="shared" si="10"/>
        <v>100000</v>
      </c>
      <c r="L86" s="152">
        <f t="shared" si="10"/>
        <v>100000</v>
      </c>
      <c r="M86" s="152">
        <f t="shared" si="10"/>
        <v>100000</v>
      </c>
      <c r="N86" s="152">
        <f t="shared" si="10"/>
        <v>100000</v>
      </c>
      <c r="O86" s="164">
        <f t="shared" si="10"/>
        <v>100000</v>
      </c>
    </row>
    <row r="87" spans="2:15" ht="12.75">
      <c r="B87" s="120"/>
      <c r="C87" s="96" t="s">
        <v>165</v>
      </c>
      <c r="D87" s="152">
        <f>D52</f>
        <v>2379.9324099195583</v>
      </c>
      <c r="E87" s="152">
        <f aca="true" t="shared" si="11" ref="E87:O87">E52</f>
        <v>12856.394878385454</v>
      </c>
      <c r="F87" s="152">
        <f t="shared" si="11"/>
        <v>20236.565281546005</v>
      </c>
      <c r="G87" s="152">
        <f t="shared" si="11"/>
        <v>14527.107430148983</v>
      </c>
      <c r="H87" s="152">
        <f t="shared" si="11"/>
        <v>2379.9324099195583</v>
      </c>
      <c r="I87" s="152">
        <f t="shared" si="11"/>
        <v>12856.394878385454</v>
      </c>
      <c r="J87" s="152">
        <f t="shared" si="11"/>
        <v>20236.565281546005</v>
      </c>
      <c r="K87" s="152">
        <f t="shared" si="11"/>
        <v>14527.107430148983</v>
      </c>
      <c r="L87" s="152">
        <f t="shared" si="11"/>
        <v>2379.9324099195583</v>
      </c>
      <c r="M87" s="152">
        <f t="shared" si="11"/>
        <v>12856.394878385454</v>
      </c>
      <c r="N87" s="152">
        <f t="shared" si="11"/>
        <v>20236.565281546005</v>
      </c>
      <c r="O87" s="164">
        <f t="shared" si="11"/>
        <v>14527.107430148983</v>
      </c>
    </row>
    <row r="88" spans="2:15" ht="12.75">
      <c r="B88" s="120"/>
      <c r="C88" s="96"/>
      <c r="D88" s="152"/>
      <c r="E88" s="153"/>
      <c r="F88" s="96"/>
      <c r="G88" s="96"/>
      <c r="H88" s="96"/>
      <c r="I88" s="96"/>
      <c r="J88" s="96"/>
      <c r="K88" s="96"/>
      <c r="L88" s="96"/>
      <c r="M88" s="96"/>
      <c r="N88" s="96"/>
      <c r="O88" s="109"/>
    </row>
    <row r="89" spans="2:15" ht="13.5" thickBot="1">
      <c r="B89" s="251" t="s">
        <v>168</v>
      </c>
      <c r="C89" s="308" t="s">
        <v>172</v>
      </c>
      <c r="D89" s="384"/>
      <c r="E89" s="310"/>
      <c r="F89" s="308"/>
      <c r="G89" s="308"/>
      <c r="H89" s="308"/>
      <c r="I89" s="385">
        <f>((I84-I86)*I85/Land!$K$6)*F7</f>
        <v>599272.1411446522</v>
      </c>
      <c r="J89" s="385">
        <f>((J84-J86)*J85/Land!$K$6)*F7</f>
        <v>943331.5432750719</v>
      </c>
      <c r="K89" s="385">
        <f>((K84-K86)*K85/Land!$K$6)*F7</f>
        <v>677164.4675177629</v>
      </c>
      <c r="L89" s="113"/>
      <c r="M89" s="113"/>
      <c r="N89" s="113"/>
      <c r="O89" s="114"/>
    </row>
    <row r="90" spans="4:14" ht="12.75">
      <c r="D90" s="185"/>
      <c r="E90" s="104"/>
      <c r="G90" s="149"/>
      <c r="I90" s="145"/>
      <c r="J90" s="145"/>
      <c r="K90" s="135"/>
      <c r="L90" s="96"/>
      <c r="M90" s="96"/>
      <c r="N90" s="96"/>
    </row>
    <row r="91" spans="11:14" ht="12.75">
      <c r="K91" s="96"/>
      <c r="L91" s="96"/>
      <c r="M91" s="96"/>
      <c r="N91" s="96"/>
    </row>
    <row r="92" spans="2:14" ht="18" customHeight="1">
      <c r="B92" s="94">
        <v>2</v>
      </c>
      <c r="C92" s="186" t="s">
        <v>22</v>
      </c>
      <c r="D92" s="187"/>
      <c r="K92" s="96"/>
      <c r="L92" s="96"/>
      <c r="M92" s="96"/>
      <c r="N92" s="96"/>
    </row>
    <row r="93" spans="2:14" ht="18" customHeight="1">
      <c r="B93" s="234"/>
      <c r="C93" s="234"/>
      <c r="D93" s="136"/>
      <c r="E93" s="116"/>
      <c r="K93" s="96"/>
      <c r="L93" s="96"/>
      <c r="M93" s="96"/>
      <c r="N93" s="96"/>
    </row>
    <row r="94" spans="2:14" ht="13.5" thickBot="1">
      <c r="B94" s="233" t="s">
        <v>72</v>
      </c>
      <c r="K94" s="96"/>
      <c r="L94" s="96"/>
      <c r="M94" s="96"/>
      <c r="N94" s="96"/>
    </row>
    <row r="95" spans="2:14" s="285" customFormat="1" ht="12.75">
      <c r="B95" s="284" t="s">
        <v>253</v>
      </c>
      <c r="C95" s="449" t="s">
        <v>73</v>
      </c>
      <c r="D95" s="450"/>
      <c r="E95" s="447" t="s">
        <v>74</v>
      </c>
      <c r="F95" s="447"/>
      <c r="G95" s="449" t="s">
        <v>75</v>
      </c>
      <c r="H95" s="450"/>
      <c r="I95" s="447" t="s">
        <v>76</v>
      </c>
      <c r="J95" s="447"/>
      <c r="K95" s="449" t="s">
        <v>77</v>
      </c>
      <c r="L95" s="450"/>
      <c r="M95" s="447" t="s">
        <v>98</v>
      </c>
      <c r="N95" s="448"/>
    </row>
    <row r="96" spans="2:14" s="133" customFormat="1" ht="14.25">
      <c r="B96" s="241" t="s">
        <v>78</v>
      </c>
      <c r="C96" s="228" t="s">
        <v>91</v>
      </c>
      <c r="D96" s="229" t="s">
        <v>92</v>
      </c>
      <c r="E96" s="121" t="s">
        <v>91</v>
      </c>
      <c r="F96" s="121" t="s">
        <v>92</v>
      </c>
      <c r="G96" s="228" t="s">
        <v>91</v>
      </c>
      <c r="H96" s="229" t="s">
        <v>92</v>
      </c>
      <c r="I96" s="121" t="s">
        <v>91</v>
      </c>
      <c r="J96" s="121" t="s">
        <v>92</v>
      </c>
      <c r="K96" s="228" t="s">
        <v>91</v>
      </c>
      <c r="L96" s="229" t="s">
        <v>92</v>
      </c>
      <c r="M96" s="121" t="s">
        <v>91</v>
      </c>
      <c r="N96" s="242" t="s">
        <v>92</v>
      </c>
    </row>
    <row r="97" spans="2:14" ht="12.75">
      <c r="B97" s="120"/>
      <c r="C97" s="265">
        <v>230000</v>
      </c>
      <c r="D97" s="230">
        <v>1700</v>
      </c>
      <c r="E97" s="150">
        <v>350000</v>
      </c>
      <c r="F97" s="150">
        <v>12500</v>
      </c>
      <c r="G97" s="265">
        <v>1350000</v>
      </c>
      <c r="H97" s="230">
        <v>1500</v>
      </c>
      <c r="I97" s="150">
        <v>14000000</v>
      </c>
      <c r="J97" s="150">
        <v>20500</v>
      </c>
      <c r="K97" s="265">
        <v>2000000</v>
      </c>
      <c r="L97" s="230">
        <v>1300</v>
      </c>
      <c r="M97" s="150">
        <v>1500000</v>
      </c>
      <c r="N97" s="243">
        <v>1200</v>
      </c>
    </row>
    <row r="98" spans="2:14" ht="12.75">
      <c r="B98" s="120"/>
      <c r="C98" s="265">
        <v>5000000</v>
      </c>
      <c r="D98" s="230">
        <v>7000</v>
      </c>
      <c r="E98" s="150">
        <v>450000</v>
      </c>
      <c r="F98" s="150">
        <v>25000</v>
      </c>
      <c r="G98" s="265">
        <v>1200000</v>
      </c>
      <c r="H98" s="230">
        <v>1500</v>
      </c>
      <c r="I98" s="150">
        <v>10000000</v>
      </c>
      <c r="J98" s="150">
        <v>21000</v>
      </c>
      <c r="K98" s="265">
        <v>2500000</v>
      </c>
      <c r="L98" s="230">
        <v>1400</v>
      </c>
      <c r="M98" s="150">
        <v>2500000</v>
      </c>
      <c r="N98" s="243">
        <v>1200</v>
      </c>
    </row>
    <row r="99" spans="2:14" ht="12.75">
      <c r="B99" s="120"/>
      <c r="C99" s="265">
        <v>175000</v>
      </c>
      <c r="D99" s="230">
        <v>5000</v>
      </c>
      <c r="E99" s="150">
        <v>350000</v>
      </c>
      <c r="F99" s="150">
        <v>12500</v>
      </c>
      <c r="G99" s="265">
        <v>1575000</v>
      </c>
      <c r="H99" s="230">
        <v>1625</v>
      </c>
      <c r="I99" s="150">
        <v>6250000</v>
      </c>
      <c r="J99" s="150">
        <v>20500</v>
      </c>
      <c r="K99" s="265">
        <v>1500000</v>
      </c>
      <c r="L99" s="230">
        <v>1500</v>
      </c>
      <c r="M99" s="150">
        <v>2500000</v>
      </c>
      <c r="N99" s="243">
        <v>1200</v>
      </c>
    </row>
    <row r="100" spans="2:14" ht="12.75">
      <c r="B100" s="120"/>
      <c r="C100" s="265">
        <v>175000</v>
      </c>
      <c r="D100" s="230">
        <v>9500</v>
      </c>
      <c r="E100" s="190">
        <v>175000</v>
      </c>
      <c r="F100" s="150">
        <v>12500</v>
      </c>
      <c r="G100" s="274">
        <v>2250000</v>
      </c>
      <c r="H100" s="230">
        <v>4350</v>
      </c>
      <c r="I100" s="150">
        <v>6250000</v>
      </c>
      <c r="J100" s="150">
        <v>21000</v>
      </c>
      <c r="K100" s="265">
        <v>3000000</v>
      </c>
      <c r="L100" s="230">
        <v>1300</v>
      </c>
      <c r="M100" s="150">
        <v>4000000</v>
      </c>
      <c r="N100" s="243">
        <v>1500</v>
      </c>
    </row>
    <row r="101" spans="2:14" ht="12.75">
      <c r="B101" s="120"/>
      <c r="C101" s="265">
        <v>205000</v>
      </c>
      <c r="D101" s="266">
        <v>7500</v>
      </c>
      <c r="E101" s="150">
        <v>165000</v>
      </c>
      <c r="F101" s="150">
        <v>12500</v>
      </c>
      <c r="G101" s="265">
        <v>1050000</v>
      </c>
      <c r="H101" s="230">
        <v>5750</v>
      </c>
      <c r="I101" s="150">
        <v>6250000</v>
      </c>
      <c r="J101" s="150">
        <v>110000</v>
      </c>
      <c r="K101" s="265">
        <v>1000000</v>
      </c>
      <c r="L101" s="230">
        <v>1300</v>
      </c>
      <c r="M101" s="150">
        <v>3000000</v>
      </c>
      <c r="N101" s="243">
        <v>1400</v>
      </c>
    </row>
    <row r="102" spans="2:14" ht="12.75">
      <c r="B102" s="120"/>
      <c r="C102" s="265">
        <v>550000</v>
      </c>
      <c r="D102" s="266">
        <v>3000</v>
      </c>
      <c r="E102" s="150">
        <v>165000</v>
      </c>
      <c r="F102" s="150">
        <v>3000</v>
      </c>
      <c r="G102" s="265">
        <v>1250000</v>
      </c>
      <c r="H102" s="230">
        <v>2875</v>
      </c>
      <c r="I102" s="150">
        <v>6250000</v>
      </c>
      <c r="J102" s="150">
        <v>70000</v>
      </c>
      <c r="K102" s="265"/>
      <c r="L102" s="230"/>
      <c r="M102" s="150">
        <v>4000000</v>
      </c>
      <c r="N102" s="243">
        <v>1500</v>
      </c>
    </row>
    <row r="103" spans="2:14" ht="12.75">
      <c r="B103" s="120"/>
      <c r="C103" s="265">
        <v>1700000</v>
      </c>
      <c r="D103" s="266">
        <v>9500</v>
      </c>
      <c r="E103" s="150">
        <v>175000</v>
      </c>
      <c r="F103" s="150"/>
      <c r="G103" s="265">
        <v>460000</v>
      </c>
      <c r="H103" s="230">
        <v>550</v>
      </c>
      <c r="I103" s="150">
        <v>6250000</v>
      </c>
      <c r="J103" s="150">
        <v>80000</v>
      </c>
      <c r="K103" s="265"/>
      <c r="L103" s="230"/>
      <c r="M103" s="150">
        <v>1000000</v>
      </c>
      <c r="N103" s="243">
        <v>1100</v>
      </c>
    </row>
    <row r="104" spans="2:14" ht="12.75">
      <c r="B104" s="120"/>
      <c r="C104" s="265">
        <v>400000</v>
      </c>
      <c r="D104" s="266">
        <v>10000</v>
      </c>
      <c r="E104" s="150">
        <v>350000</v>
      </c>
      <c r="F104" s="150"/>
      <c r="G104" s="265">
        <v>300000</v>
      </c>
      <c r="H104" s="230">
        <v>950</v>
      </c>
      <c r="I104" s="150">
        <v>6250000</v>
      </c>
      <c r="J104" s="150">
        <v>70000</v>
      </c>
      <c r="K104" s="265"/>
      <c r="L104" s="230"/>
      <c r="M104" s="150"/>
      <c r="N104" s="243"/>
    </row>
    <row r="105" spans="2:14" ht="12.75">
      <c r="B105" s="120"/>
      <c r="C105" s="267">
        <v>115000</v>
      </c>
      <c r="D105" s="266">
        <v>3500</v>
      </c>
      <c r="E105" s="150">
        <v>350000</v>
      </c>
      <c r="F105" s="150"/>
      <c r="G105" s="265">
        <v>250000</v>
      </c>
      <c r="H105" s="230">
        <v>1625</v>
      </c>
      <c r="I105" s="150">
        <v>8000000</v>
      </c>
      <c r="J105" s="150"/>
      <c r="K105" s="265"/>
      <c r="L105" s="230"/>
      <c r="M105" s="150"/>
      <c r="N105" s="243"/>
    </row>
    <row r="106" spans="2:14" ht="12.75">
      <c r="B106" s="120"/>
      <c r="C106" s="265">
        <v>1500000</v>
      </c>
      <c r="D106" s="266">
        <v>9000</v>
      </c>
      <c r="E106" s="150">
        <v>175000</v>
      </c>
      <c r="F106" s="150"/>
      <c r="G106" s="265">
        <v>825000</v>
      </c>
      <c r="H106" s="230">
        <v>950</v>
      </c>
      <c r="I106" s="150">
        <v>6250000</v>
      </c>
      <c r="J106" s="150"/>
      <c r="K106" s="265"/>
      <c r="L106" s="230"/>
      <c r="M106" s="150"/>
      <c r="N106" s="243"/>
    </row>
    <row r="107" spans="2:14" ht="12.75">
      <c r="B107" s="120"/>
      <c r="C107" s="265">
        <v>160000</v>
      </c>
      <c r="D107" s="266">
        <v>5000</v>
      </c>
      <c r="E107" s="150">
        <v>200000</v>
      </c>
      <c r="F107" s="150"/>
      <c r="G107" s="265">
        <v>350000</v>
      </c>
      <c r="H107" s="230">
        <v>1250</v>
      </c>
      <c r="I107" s="150">
        <v>6250000</v>
      </c>
      <c r="J107" s="150"/>
      <c r="K107" s="265"/>
      <c r="L107" s="230"/>
      <c r="M107" s="150"/>
      <c r="N107" s="243"/>
    </row>
    <row r="108" spans="2:14" ht="12.75">
      <c r="B108" s="120"/>
      <c r="C108" s="265">
        <v>400000</v>
      </c>
      <c r="D108" s="266"/>
      <c r="E108" s="150"/>
      <c r="F108" s="150"/>
      <c r="G108" s="265">
        <v>125000</v>
      </c>
      <c r="H108" s="230">
        <v>400</v>
      </c>
      <c r="I108" s="150">
        <v>6250000</v>
      </c>
      <c r="J108" s="150"/>
      <c r="K108" s="265"/>
      <c r="L108" s="230"/>
      <c r="M108" s="150"/>
      <c r="N108" s="243"/>
    </row>
    <row r="109" spans="2:14" ht="12.75">
      <c r="B109" s="120"/>
      <c r="C109" s="265"/>
      <c r="D109" s="266"/>
      <c r="E109" s="150"/>
      <c r="F109" s="150"/>
      <c r="G109" s="265">
        <v>450000</v>
      </c>
      <c r="H109" s="230">
        <v>2750</v>
      </c>
      <c r="I109" s="150">
        <v>6250000</v>
      </c>
      <c r="J109" s="150"/>
      <c r="K109" s="265"/>
      <c r="L109" s="230"/>
      <c r="M109" s="150"/>
      <c r="N109" s="243"/>
    </row>
    <row r="110" spans="2:14" ht="12.75">
      <c r="B110" s="120"/>
      <c r="C110" s="265"/>
      <c r="D110" s="266"/>
      <c r="E110" s="150"/>
      <c r="F110" s="150"/>
      <c r="G110" s="265">
        <v>1750000</v>
      </c>
      <c r="H110" s="230">
        <v>1625</v>
      </c>
      <c r="I110" s="150">
        <v>6250000</v>
      </c>
      <c r="J110" s="150"/>
      <c r="K110" s="265"/>
      <c r="L110" s="230"/>
      <c r="M110" s="150"/>
      <c r="N110" s="243"/>
    </row>
    <row r="111" spans="2:14" ht="12.75">
      <c r="B111" s="120"/>
      <c r="C111" s="203"/>
      <c r="D111" s="268"/>
      <c r="E111" s="159"/>
      <c r="F111" s="159"/>
      <c r="G111" s="275">
        <v>225000</v>
      </c>
      <c r="H111" s="276">
        <v>1600</v>
      </c>
      <c r="I111" s="159"/>
      <c r="J111" s="159"/>
      <c r="K111" s="203"/>
      <c r="L111" s="231"/>
      <c r="M111" s="159"/>
      <c r="N111" s="160"/>
    </row>
    <row r="112" spans="2:14" ht="12.75">
      <c r="B112" s="244" t="s">
        <v>94</v>
      </c>
      <c r="C112" s="269">
        <f>AVERAGE(C97:C111)</f>
        <v>884166.6666666666</v>
      </c>
      <c r="D112" s="232">
        <f aca="true" t="shared" si="12" ref="D112:N112">AVERAGE(D97:D111)</f>
        <v>6427.272727272727</v>
      </c>
      <c r="E112" s="211">
        <f t="shared" si="12"/>
        <v>264090.9090909091</v>
      </c>
      <c r="F112" s="211">
        <f>AVERAGE(F97:F111)</f>
        <v>13000</v>
      </c>
      <c r="G112" s="269">
        <f t="shared" si="12"/>
        <v>894000</v>
      </c>
      <c r="H112" s="232">
        <f t="shared" si="12"/>
        <v>1953.3333333333333</v>
      </c>
      <c r="I112" s="211">
        <f t="shared" si="12"/>
        <v>7196428.571428572</v>
      </c>
      <c r="J112" s="211">
        <f t="shared" si="12"/>
        <v>51625</v>
      </c>
      <c r="K112" s="269">
        <f t="shared" si="12"/>
        <v>2000000</v>
      </c>
      <c r="L112" s="232">
        <f t="shared" si="12"/>
        <v>1360</v>
      </c>
      <c r="M112" s="211">
        <f t="shared" si="12"/>
        <v>2642857.1428571427</v>
      </c>
      <c r="N112" s="245">
        <f t="shared" si="12"/>
        <v>1300</v>
      </c>
    </row>
    <row r="113" spans="2:14" ht="12.75">
      <c r="B113" s="246"/>
      <c r="C113" s="270"/>
      <c r="D113" s="236"/>
      <c r="E113" s="235"/>
      <c r="F113" s="235"/>
      <c r="G113" s="270"/>
      <c r="H113" s="236"/>
      <c r="I113" s="235"/>
      <c r="J113" s="235"/>
      <c r="K113" s="270"/>
      <c r="L113" s="236"/>
      <c r="M113" s="235"/>
      <c r="N113" s="247"/>
    </row>
    <row r="114" spans="2:15" ht="12.75">
      <c r="B114" s="172" t="s">
        <v>96</v>
      </c>
      <c r="C114" s="442">
        <f>568898+307676/2</f>
        <v>722736</v>
      </c>
      <c r="D114" s="443"/>
      <c r="E114" s="441">
        <f>478714+307676/2</f>
        <v>632552</v>
      </c>
      <c r="F114" s="441"/>
      <c r="G114" s="442">
        <f>281245+403132</f>
        <v>684377</v>
      </c>
      <c r="H114" s="443"/>
      <c r="I114" s="441">
        <f>530246+536827</f>
        <v>1067073</v>
      </c>
      <c r="J114" s="441"/>
      <c r="K114" s="442">
        <f>400613+248693</f>
        <v>649306</v>
      </c>
      <c r="L114" s="443"/>
      <c r="M114" s="441">
        <f>355950+471975+340284</f>
        <v>1168209</v>
      </c>
      <c r="N114" s="446"/>
      <c r="O114" s="145"/>
    </row>
    <row r="115" spans="2:14" ht="12.75">
      <c r="B115" s="172" t="s">
        <v>97</v>
      </c>
      <c r="C115" s="444">
        <f>C114/$C$118</f>
        <v>0.14677068785864578</v>
      </c>
      <c r="D115" s="445"/>
      <c r="E115" s="439">
        <f>E114/$C$118</f>
        <v>0.12845643796125017</v>
      </c>
      <c r="F115" s="439"/>
      <c r="G115" s="444">
        <f>G114/$C$118</f>
        <v>0.13898087689645516</v>
      </c>
      <c r="H115" s="445"/>
      <c r="I115" s="439">
        <f>I114/$C$118</f>
        <v>0.21669743613904485</v>
      </c>
      <c r="J115" s="439"/>
      <c r="K115" s="444">
        <f>K114/$C$118</f>
        <v>0.13185878142329405</v>
      </c>
      <c r="L115" s="445"/>
      <c r="M115" s="439">
        <f>M114/$C$118</f>
        <v>0.23723577972131002</v>
      </c>
      <c r="N115" s="440"/>
    </row>
    <row r="116" spans="2:14" ht="12.75">
      <c r="B116" s="172" t="s">
        <v>99</v>
      </c>
      <c r="C116" s="271">
        <v>0.641</v>
      </c>
      <c r="D116" s="237">
        <v>0.359</v>
      </c>
      <c r="E116" s="189">
        <v>0.758</v>
      </c>
      <c r="F116" s="189">
        <v>0.242</v>
      </c>
      <c r="G116" s="271">
        <v>0.8</v>
      </c>
      <c r="H116" s="237">
        <v>0.2</v>
      </c>
      <c r="I116" s="189">
        <v>0.425</v>
      </c>
      <c r="J116" s="189">
        <v>0.575</v>
      </c>
      <c r="K116" s="271">
        <v>0.67</v>
      </c>
      <c r="L116" s="237">
        <v>0.33</v>
      </c>
      <c r="M116" s="189">
        <v>0.661</v>
      </c>
      <c r="N116" s="249">
        <v>0.339</v>
      </c>
    </row>
    <row r="117" spans="2:15" ht="12.75">
      <c r="B117" s="172" t="s">
        <v>95</v>
      </c>
      <c r="C117" s="265">
        <f>$C$119*C116*C115</f>
        <v>705600.0818804395</v>
      </c>
      <c r="D117" s="238">
        <f>$C$119*D116*C115</f>
        <v>395180.07705940376</v>
      </c>
      <c r="E117" s="150">
        <f>$C$119*E116*E115</f>
        <v>730274.8498097073</v>
      </c>
      <c r="F117" s="190">
        <f>$C$119*F116*E115</f>
        <v>233148.43489966905</v>
      </c>
      <c r="G117" s="265">
        <f>$C$119*G116*G115</f>
        <v>833885.261378731</v>
      </c>
      <c r="H117" s="238">
        <f>$C$119*H116*G115</f>
        <v>208471.31534468275</v>
      </c>
      <c r="I117" s="150">
        <f>$C$119*I116*I115</f>
        <v>690723.0776932054</v>
      </c>
      <c r="J117" s="190">
        <f>$C$119*J116*I115</f>
        <v>934507.6933496309</v>
      </c>
      <c r="K117" s="265">
        <f>$C$119*K116*K115</f>
        <v>662590.3766520526</v>
      </c>
      <c r="L117" s="238">
        <f>$C$119*L116*K115</f>
        <v>326350.4840226528</v>
      </c>
      <c r="M117" s="150">
        <f>$C$119*M116*M115</f>
        <v>1176096.3779683944</v>
      </c>
      <c r="N117" s="250">
        <f>$C$119*N116*M115</f>
        <v>603171.9699414307</v>
      </c>
      <c r="O117" s="148">
        <f>SUM(C117:N117)</f>
        <v>7500000</v>
      </c>
    </row>
    <row r="118" spans="2:15" ht="12.75">
      <c r="B118" s="172" t="s">
        <v>96</v>
      </c>
      <c r="C118" s="272">
        <f>SUM(C114:N114)</f>
        <v>4924253</v>
      </c>
      <c r="D118" s="273"/>
      <c r="E118" s="96"/>
      <c r="F118" s="96"/>
      <c r="G118" s="267"/>
      <c r="H118" s="277"/>
      <c r="I118" s="96"/>
      <c r="J118" s="96"/>
      <c r="K118" s="206"/>
      <c r="L118" s="240"/>
      <c r="M118" s="96"/>
      <c r="N118" s="109"/>
      <c r="O118" s="95" t="s">
        <v>101</v>
      </c>
    </row>
    <row r="119" spans="2:14" ht="12.75">
      <c r="B119" s="172" t="s">
        <v>100</v>
      </c>
      <c r="C119" s="272">
        <v>7500000</v>
      </c>
      <c r="D119" s="273"/>
      <c r="E119" s="96"/>
      <c r="F119" s="96"/>
      <c r="G119" s="267"/>
      <c r="H119" s="277"/>
      <c r="I119" s="96"/>
      <c r="J119" s="96"/>
      <c r="K119" s="206"/>
      <c r="L119" s="240"/>
      <c r="M119" s="96"/>
      <c r="N119" s="109"/>
    </row>
    <row r="120" spans="2:14" ht="15" thickBot="1">
      <c r="B120" s="251" t="s">
        <v>129</v>
      </c>
      <c r="C120" s="278">
        <f>100^2</f>
        <v>10000</v>
      </c>
      <c r="D120" s="279"/>
      <c r="E120" s="113"/>
      <c r="F120" s="113"/>
      <c r="G120" s="280"/>
      <c r="H120" s="281"/>
      <c r="I120" s="113"/>
      <c r="J120" s="113"/>
      <c r="K120" s="282"/>
      <c r="L120" s="283"/>
      <c r="M120" s="113"/>
      <c r="N120" s="114"/>
    </row>
    <row r="121" spans="2:14" ht="13.5" thickBot="1">
      <c r="B121" s="182"/>
      <c r="C121" s="191"/>
      <c r="D121" s="192"/>
      <c r="G121" s="188"/>
      <c r="H121" s="188"/>
      <c r="K121" s="96"/>
      <c r="L121" s="96"/>
      <c r="M121" s="96"/>
      <c r="N121" s="96"/>
    </row>
    <row r="122" spans="2:16" ht="12.75">
      <c r="B122" s="182"/>
      <c r="C122" s="286"/>
      <c r="D122" s="287">
        <v>2005</v>
      </c>
      <c r="E122" s="367" t="s">
        <v>126</v>
      </c>
      <c r="F122" s="289">
        <v>2005</v>
      </c>
      <c r="G122" s="188"/>
      <c r="H122" s="432">
        <f>IF('ERR &amp; Sensitivity Analysis'!$I$10="N","Note: Current calculations are based on user input and are not the original MCC estimates.",IF('ERR &amp; Sensitivity Analysis'!$I$11="N","Note: Current calculations are based on user input and are not the original MCC estimates.",0))</f>
        <v>0</v>
      </c>
      <c r="I122" s="432"/>
      <c r="J122" s="432"/>
      <c r="K122" s="432"/>
      <c r="L122" s="432"/>
      <c r="M122" s="432"/>
      <c r="N122" s="432"/>
      <c r="O122" s="432"/>
      <c r="P122" s="432"/>
    </row>
    <row r="123" spans="2:14" ht="15" thickBot="1">
      <c r="B123" s="182"/>
      <c r="C123" s="294" t="s">
        <v>122</v>
      </c>
      <c r="D123" s="292" t="s">
        <v>254</v>
      </c>
      <c r="E123" s="387" t="s">
        <v>123</v>
      </c>
      <c r="F123" s="293" t="s">
        <v>125</v>
      </c>
      <c r="G123" s="188"/>
      <c r="H123" s="188"/>
      <c r="K123" s="96"/>
      <c r="L123" s="96"/>
      <c r="M123" s="96"/>
      <c r="N123" s="96"/>
    </row>
    <row r="124" spans="2:14" ht="12.75">
      <c r="B124" s="182"/>
      <c r="C124" s="255" t="s">
        <v>102</v>
      </c>
      <c r="D124" s="256">
        <f>J112</f>
        <v>51625</v>
      </c>
      <c r="E124" s="54" t="s">
        <v>112</v>
      </c>
      <c r="F124" s="248">
        <v>8000000</v>
      </c>
      <c r="G124" s="188"/>
      <c r="H124" s="188"/>
      <c r="K124" s="96"/>
      <c r="L124" s="96"/>
      <c r="M124" s="96"/>
      <c r="N124" s="96"/>
    </row>
    <row r="125" spans="2:14" ht="12.75">
      <c r="B125" s="182"/>
      <c r="C125" s="257" t="s">
        <v>103</v>
      </c>
      <c r="D125" s="139">
        <f>D112</f>
        <v>6427.272727272727</v>
      </c>
      <c r="E125" s="206" t="s">
        <v>113</v>
      </c>
      <c r="F125" s="248">
        <v>1200000</v>
      </c>
      <c r="G125" s="188" t="s">
        <v>124</v>
      </c>
      <c r="H125" s="188"/>
      <c r="K125" s="96"/>
      <c r="L125" s="96"/>
      <c r="M125" s="96"/>
      <c r="N125" s="96"/>
    </row>
    <row r="126" spans="2:14" ht="12.75">
      <c r="B126" s="182"/>
      <c r="C126" s="257" t="s">
        <v>104</v>
      </c>
      <c r="D126" s="258">
        <v>1500</v>
      </c>
      <c r="E126" s="206" t="s">
        <v>114</v>
      </c>
      <c r="F126" s="248">
        <f>GEOMEAN(F124:F125,F127:F133)</f>
        <v>847443.8140986557</v>
      </c>
      <c r="G126" s="188" t="s">
        <v>127</v>
      </c>
      <c r="H126" s="188"/>
      <c r="K126" s="96"/>
      <c r="L126" s="96"/>
      <c r="M126" s="96"/>
      <c r="N126" s="96"/>
    </row>
    <row r="127" spans="2:14" ht="12.75">
      <c r="B127" s="182"/>
      <c r="C127" s="257" t="s">
        <v>105</v>
      </c>
      <c r="D127" s="256">
        <v>12500</v>
      </c>
      <c r="E127" s="206" t="s">
        <v>115</v>
      </c>
      <c r="F127" s="248">
        <v>550000</v>
      </c>
      <c r="G127" s="188"/>
      <c r="H127" s="188"/>
      <c r="K127" s="96"/>
      <c r="L127" s="96"/>
      <c r="M127" s="96"/>
      <c r="N127" s="96"/>
    </row>
    <row r="128" spans="2:14" ht="12.75">
      <c r="B128" s="182"/>
      <c r="C128" s="257" t="s">
        <v>106</v>
      </c>
      <c r="D128" s="256">
        <v>12500</v>
      </c>
      <c r="E128" s="206" t="s">
        <v>116</v>
      </c>
      <c r="F128" s="248">
        <v>230000</v>
      </c>
      <c r="G128" s="188"/>
      <c r="H128" s="188"/>
      <c r="K128" s="96"/>
      <c r="L128" s="96"/>
      <c r="M128" s="96"/>
      <c r="N128" s="96"/>
    </row>
    <row r="129" spans="2:14" ht="12.75">
      <c r="B129" s="182"/>
      <c r="C129" s="257" t="s">
        <v>107</v>
      </c>
      <c r="D129" s="256">
        <v>12500</v>
      </c>
      <c r="E129" s="206" t="s">
        <v>117</v>
      </c>
      <c r="F129" s="248">
        <v>400000</v>
      </c>
      <c r="G129" s="188"/>
      <c r="H129" s="188"/>
      <c r="K129" s="96"/>
      <c r="L129" s="96"/>
      <c r="M129" s="96"/>
      <c r="N129" s="96"/>
    </row>
    <row r="130" spans="2:14" ht="12.75">
      <c r="B130" s="182"/>
      <c r="C130" s="257" t="s">
        <v>108</v>
      </c>
      <c r="D130" s="256">
        <v>1400</v>
      </c>
      <c r="E130" s="206" t="s">
        <v>118</v>
      </c>
      <c r="F130" s="248">
        <v>165000</v>
      </c>
      <c r="G130" s="188"/>
      <c r="H130" s="188"/>
      <c r="K130" s="96"/>
      <c r="L130" s="96"/>
      <c r="M130" s="96"/>
      <c r="N130" s="96"/>
    </row>
    <row r="131" spans="2:14" ht="12.75">
      <c r="B131" s="182"/>
      <c r="C131" s="257" t="s">
        <v>109</v>
      </c>
      <c r="D131" s="256">
        <v>1300</v>
      </c>
      <c r="E131" s="206" t="s">
        <v>119</v>
      </c>
      <c r="F131" s="248">
        <v>2500000</v>
      </c>
      <c r="G131" s="188" t="s">
        <v>124</v>
      </c>
      <c r="H131" s="188"/>
      <c r="K131" s="96"/>
      <c r="L131" s="96"/>
      <c r="M131" s="96"/>
      <c r="N131" s="96"/>
    </row>
    <row r="132" spans="2:14" ht="12.75">
      <c r="B132" s="182"/>
      <c r="C132" s="257" t="s">
        <v>110</v>
      </c>
      <c r="D132" s="256">
        <v>1400</v>
      </c>
      <c r="E132" s="206" t="s">
        <v>120</v>
      </c>
      <c r="F132" s="248">
        <v>2500000</v>
      </c>
      <c r="G132" s="188" t="s">
        <v>124</v>
      </c>
      <c r="H132" s="188"/>
      <c r="K132" s="96"/>
      <c r="L132" s="96"/>
      <c r="M132" s="96"/>
      <c r="N132" s="96"/>
    </row>
    <row r="133" spans="2:14" ht="12.75">
      <c r="B133" s="182"/>
      <c r="C133" s="259" t="s">
        <v>111</v>
      </c>
      <c r="D133" s="194">
        <v>1300</v>
      </c>
      <c r="E133" s="203" t="s">
        <v>121</v>
      </c>
      <c r="F133" s="260">
        <v>450000</v>
      </c>
      <c r="G133" s="188" t="s">
        <v>124</v>
      </c>
      <c r="H133" s="188"/>
      <c r="K133" s="96"/>
      <c r="L133" s="96"/>
      <c r="M133" s="96"/>
      <c r="N133" s="96"/>
    </row>
    <row r="134" spans="2:14" ht="12.75">
      <c r="B134" s="182"/>
      <c r="C134" s="261" t="s">
        <v>93</v>
      </c>
      <c r="D134" s="256">
        <f>AVERAGE(D124:D133)</f>
        <v>10245.227272727274</v>
      </c>
      <c r="E134" s="371" t="s">
        <v>93</v>
      </c>
      <c r="F134" s="262">
        <f>AVERAGE(F124:F133)</f>
        <v>1684244.3814098656</v>
      </c>
      <c r="G134" s="188"/>
      <c r="H134" s="188"/>
      <c r="K134" s="96"/>
      <c r="L134" s="96"/>
      <c r="M134" s="96"/>
      <c r="N134" s="96"/>
    </row>
    <row r="135" spans="2:14" ht="13.5" thickBot="1">
      <c r="B135" s="182"/>
      <c r="C135" s="263"/>
      <c r="D135" s="252"/>
      <c r="E135" s="282"/>
      <c r="F135" s="264" t="s">
        <v>128</v>
      </c>
      <c r="G135" s="188"/>
      <c r="H135" s="188"/>
      <c r="K135" s="96"/>
      <c r="L135" s="96"/>
      <c r="M135" s="96"/>
      <c r="N135" s="96"/>
    </row>
    <row r="136" spans="2:14" ht="13.5" thickBot="1">
      <c r="B136" s="182"/>
      <c r="C136" s="191"/>
      <c r="D136" s="192"/>
      <c r="F136" s="133"/>
      <c r="G136" s="188"/>
      <c r="H136" s="188"/>
      <c r="K136" s="96"/>
      <c r="L136" s="96"/>
      <c r="M136" s="96"/>
      <c r="N136" s="96"/>
    </row>
    <row r="137" spans="2:22" ht="12.75">
      <c r="B137" s="295"/>
      <c r="C137" s="296"/>
      <c r="D137" s="297"/>
      <c r="E137" s="298" t="s">
        <v>133</v>
      </c>
      <c r="F137" s="97"/>
      <c r="G137" s="299" t="s">
        <v>39</v>
      </c>
      <c r="H137" s="300">
        <f>I31*I34</f>
        <v>357.14285714285717</v>
      </c>
      <c r="I137" s="300">
        <f>J31*J34</f>
        <v>1929.2857142857142</v>
      </c>
      <c r="J137" s="300">
        <f>K31*K34</f>
        <v>3036.785714285714</v>
      </c>
      <c r="K137" s="300">
        <f>L31*L34</f>
        <v>2180.0000000000005</v>
      </c>
      <c r="L137" s="300"/>
      <c r="M137" s="97"/>
      <c r="N137" s="97"/>
      <c r="O137" s="97"/>
      <c r="P137" s="97"/>
      <c r="Q137" s="97"/>
      <c r="R137" s="97"/>
      <c r="S137" s="97"/>
      <c r="T137" s="97"/>
      <c r="U137" s="97"/>
      <c r="V137" s="98"/>
    </row>
    <row r="138" spans="2:22" ht="12.75">
      <c r="B138" s="120"/>
      <c r="C138" s="96"/>
      <c r="D138" s="159"/>
      <c r="E138" s="195" t="s">
        <v>140</v>
      </c>
      <c r="F138" s="193"/>
      <c r="G138" s="196" t="s">
        <v>53</v>
      </c>
      <c r="H138" s="197">
        <f>D134*C120</f>
        <v>102452272.72727273</v>
      </c>
      <c r="I138" s="197">
        <f>H138</f>
        <v>102452272.72727273</v>
      </c>
      <c r="J138" s="197">
        <f aca="true" t="shared" si="13" ref="J138:V138">I138</f>
        <v>102452272.72727273</v>
      </c>
      <c r="K138" s="197">
        <f t="shared" si="13"/>
        <v>102452272.72727273</v>
      </c>
      <c r="L138" s="197">
        <f t="shared" si="13"/>
        <v>102452272.72727273</v>
      </c>
      <c r="M138" s="197">
        <f t="shared" si="13"/>
        <v>102452272.72727273</v>
      </c>
      <c r="N138" s="197">
        <f t="shared" si="13"/>
        <v>102452272.72727273</v>
      </c>
      <c r="O138" s="197">
        <f t="shared" si="13"/>
        <v>102452272.72727273</v>
      </c>
      <c r="P138" s="197">
        <f t="shared" si="13"/>
        <v>102452272.72727273</v>
      </c>
      <c r="Q138" s="197">
        <f t="shared" si="13"/>
        <v>102452272.72727273</v>
      </c>
      <c r="R138" s="197">
        <f t="shared" si="13"/>
        <v>102452272.72727273</v>
      </c>
      <c r="S138" s="197">
        <f t="shared" si="13"/>
        <v>102452272.72727273</v>
      </c>
      <c r="T138" s="197">
        <f t="shared" si="13"/>
        <v>102452272.72727273</v>
      </c>
      <c r="U138" s="197">
        <f t="shared" si="13"/>
        <v>102452272.72727273</v>
      </c>
      <c r="V138" s="301">
        <f t="shared" si="13"/>
        <v>102452272.72727273</v>
      </c>
    </row>
    <row r="139" spans="2:22" ht="12.75">
      <c r="B139" s="120"/>
      <c r="C139" s="96"/>
      <c r="D139" s="96"/>
      <c r="E139" s="140" t="s">
        <v>136</v>
      </c>
      <c r="F139" s="96"/>
      <c r="G139" s="302" t="s">
        <v>53</v>
      </c>
      <c r="H139" s="96"/>
      <c r="I139" s="150">
        <f>I138*(1+B158)</f>
        <v>104159810.60606061</v>
      </c>
      <c r="J139" s="150">
        <f>J138*(1+C158)</f>
        <v>105867348.4848485</v>
      </c>
      <c r="K139" s="150">
        <f>K138*(1+D158)</f>
        <v>107574886.36363637</v>
      </c>
      <c r="L139" s="150">
        <f>L138*(1+E158)</f>
        <v>107574886.36363637</v>
      </c>
      <c r="M139" s="150">
        <f>M138*(1+F158)</f>
        <v>107574886.36363637</v>
      </c>
      <c r="N139" s="150"/>
      <c r="O139" s="150"/>
      <c r="P139" s="150"/>
      <c r="Q139" s="150"/>
      <c r="R139" s="150"/>
      <c r="S139" s="150"/>
      <c r="T139" s="150"/>
      <c r="U139" s="150"/>
      <c r="V139" s="243"/>
    </row>
    <row r="140" spans="2:22" ht="12.75">
      <c r="B140" s="120"/>
      <c r="C140" s="96"/>
      <c r="D140" s="96"/>
      <c r="E140" s="140" t="s">
        <v>137</v>
      </c>
      <c r="F140" s="96"/>
      <c r="G140" s="302" t="s">
        <v>53</v>
      </c>
      <c r="H140" s="96"/>
      <c r="I140" s="150"/>
      <c r="J140" s="150">
        <f>J138*(1+B158)</f>
        <v>104159810.60606061</v>
      </c>
      <c r="K140" s="150">
        <f>K138*(1+C158)</f>
        <v>105867348.4848485</v>
      </c>
      <c r="L140" s="150">
        <f>L138*(1+D158)</f>
        <v>107574886.36363637</v>
      </c>
      <c r="M140" s="150">
        <f>M138*(1+E158)</f>
        <v>107574886.36363637</v>
      </c>
      <c r="N140" s="150">
        <f>N138*(1+F158)</f>
        <v>107574886.36363637</v>
      </c>
      <c r="O140" s="150"/>
      <c r="P140" s="150"/>
      <c r="Q140" s="150"/>
      <c r="R140" s="150"/>
      <c r="S140" s="150"/>
      <c r="T140" s="150"/>
      <c r="U140" s="150"/>
      <c r="V140" s="243"/>
    </row>
    <row r="141" spans="2:22" ht="12.75">
      <c r="B141" s="120"/>
      <c r="C141" s="96"/>
      <c r="D141" s="96"/>
      <c r="E141" s="140" t="s">
        <v>138</v>
      </c>
      <c r="F141" s="96"/>
      <c r="G141" s="302" t="s">
        <v>53</v>
      </c>
      <c r="H141" s="96"/>
      <c r="I141" s="150"/>
      <c r="J141" s="150"/>
      <c r="K141" s="150">
        <f>K138*(1+B158)</f>
        <v>104159810.60606061</v>
      </c>
      <c r="L141" s="150">
        <f>L138*(1+C158)</f>
        <v>105867348.4848485</v>
      </c>
      <c r="M141" s="150">
        <f>M138*(1+D158)</f>
        <v>107574886.36363637</v>
      </c>
      <c r="N141" s="150">
        <f>N138*(1+E158)</f>
        <v>107574886.36363637</v>
      </c>
      <c r="O141" s="150">
        <f>O138*(1+F158)</f>
        <v>107574886.36363637</v>
      </c>
      <c r="P141" s="150"/>
      <c r="Q141" s="150"/>
      <c r="R141" s="150"/>
      <c r="S141" s="150"/>
      <c r="T141" s="150"/>
      <c r="U141" s="150"/>
      <c r="V141" s="243"/>
    </row>
    <row r="142" spans="2:22" ht="12.75">
      <c r="B142" s="120"/>
      <c r="C142" s="96"/>
      <c r="D142" s="96"/>
      <c r="E142" s="140" t="s">
        <v>139</v>
      </c>
      <c r="F142" s="96"/>
      <c r="G142" s="302" t="s">
        <v>53</v>
      </c>
      <c r="H142" s="96"/>
      <c r="I142" s="150"/>
      <c r="J142" s="150"/>
      <c r="K142" s="150"/>
      <c r="L142" s="135">
        <f>L138*(1+B158)</f>
        <v>104159810.60606061</v>
      </c>
      <c r="M142" s="135">
        <f>M138*(1+C158)</f>
        <v>105867348.4848485</v>
      </c>
      <c r="N142" s="135">
        <f>N138*(1+D158)</f>
        <v>107574886.36363637</v>
      </c>
      <c r="O142" s="135">
        <f>O138*(1+E158)</f>
        <v>107574886.36363637</v>
      </c>
      <c r="P142" s="135">
        <f>P138*(1+F158)</f>
        <v>107574886.36363637</v>
      </c>
      <c r="Q142" s="135"/>
      <c r="R142" s="135"/>
      <c r="S142" s="135"/>
      <c r="T142" s="135"/>
      <c r="U142" s="135"/>
      <c r="V142" s="165"/>
    </row>
    <row r="143" spans="2:22" ht="12.75">
      <c r="B143" s="120"/>
      <c r="C143" s="96"/>
      <c r="D143" s="96"/>
      <c r="E143" s="140" t="s">
        <v>141</v>
      </c>
      <c r="F143" s="96"/>
      <c r="G143" s="303" t="s">
        <v>0</v>
      </c>
      <c r="H143" s="96"/>
      <c r="I143" s="150">
        <f>$H$137*(I139-I138)</f>
        <v>609834956.7099555</v>
      </c>
      <c r="J143" s="150">
        <f>$H$137*(J139-J138)</f>
        <v>1219669913.4199162</v>
      </c>
      <c r="K143" s="150">
        <f>$H$137*(K139-K138)</f>
        <v>1829504870.1298716</v>
      </c>
      <c r="L143" s="150">
        <f>$H$137*(L139-L138)</f>
        <v>1829504870.1298716</v>
      </c>
      <c r="M143" s="150">
        <f>$H$137*(M139-M138)</f>
        <v>1829504870.1298716</v>
      </c>
      <c r="N143" s="135"/>
      <c r="O143" s="135"/>
      <c r="P143" s="135"/>
      <c r="Q143" s="135"/>
      <c r="R143" s="135"/>
      <c r="S143" s="135"/>
      <c r="T143" s="135"/>
      <c r="U143" s="135"/>
      <c r="V143" s="165"/>
    </row>
    <row r="144" spans="2:22" ht="12.75">
      <c r="B144" s="120"/>
      <c r="C144" s="96"/>
      <c r="D144" s="96"/>
      <c r="E144" s="140" t="s">
        <v>142</v>
      </c>
      <c r="F144" s="96"/>
      <c r="G144" s="303" t="s">
        <v>0</v>
      </c>
      <c r="H144" s="96"/>
      <c r="I144" s="150"/>
      <c r="J144" s="150">
        <f>$I$137*(J140-J138)</f>
        <v>3294328436.147179</v>
      </c>
      <c r="K144" s="150">
        <f>$I$137*(K140-K138)</f>
        <v>6588656872.294387</v>
      </c>
      <c r="L144" s="150">
        <f>$I$137*(L140-L138)</f>
        <v>9882985308.441566</v>
      </c>
      <c r="M144" s="150">
        <f>$I$137*(M140-M138)</f>
        <v>9882985308.441566</v>
      </c>
      <c r="N144" s="150">
        <f>$I$137*(N140-N138)</f>
        <v>9882985308.441566</v>
      </c>
      <c r="O144" s="135"/>
      <c r="P144" s="135"/>
      <c r="Q144" s="135"/>
      <c r="R144" s="135"/>
      <c r="S144" s="135"/>
      <c r="T144" s="135"/>
      <c r="U144" s="135"/>
      <c r="V144" s="165"/>
    </row>
    <row r="145" spans="2:22" ht="12.75">
      <c r="B145" s="120"/>
      <c r="C145" s="96"/>
      <c r="D145" s="96"/>
      <c r="E145" s="140" t="s">
        <v>143</v>
      </c>
      <c r="F145" s="96"/>
      <c r="G145" s="303" t="s">
        <v>0</v>
      </c>
      <c r="H145" s="96"/>
      <c r="I145" s="150"/>
      <c r="J145" s="150"/>
      <c r="K145" s="150">
        <f>$J$137*(K141-K138)</f>
        <v>5185426636.904751</v>
      </c>
      <c r="L145" s="150">
        <f>$J$137*(L141-L138)</f>
        <v>10370853273.809547</v>
      </c>
      <c r="M145" s="150">
        <f>$J$137*(M141-M138)</f>
        <v>15556279910.714298</v>
      </c>
      <c r="N145" s="150">
        <f>$J$137*(N141-N138)</f>
        <v>15556279910.714298</v>
      </c>
      <c r="O145" s="150">
        <f>$J$137*(O141-O138)</f>
        <v>15556279910.714298</v>
      </c>
      <c r="P145" s="135"/>
      <c r="Q145" s="135"/>
      <c r="R145" s="135"/>
      <c r="S145" s="135"/>
      <c r="T145" s="135"/>
      <c r="U145" s="135"/>
      <c r="V145" s="165"/>
    </row>
    <row r="146" spans="2:22" ht="12.75">
      <c r="B146" s="120"/>
      <c r="C146" s="96"/>
      <c r="D146" s="96"/>
      <c r="E146" s="140" t="s">
        <v>144</v>
      </c>
      <c r="F146" s="96"/>
      <c r="G146" s="303" t="s">
        <v>0</v>
      </c>
      <c r="H146" s="96"/>
      <c r="I146" s="150"/>
      <c r="J146" s="150"/>
      <c r="K146" s="150"/>
      <c r="L146" s="150">
        <f>$K$137*(L142-L138)</f>
        <v>3722432575.757569</v>
      </c>
      <c r="M146" s="150">
        <f>$K$137*(M142-M138)</f>
        <v>7444865151.51517</v>
      </c>
      <c r="N146" s="150">
        <f>$K$137*(N142-N138)</f>
        <v>11167297727.27274</v>
      </c>
      <c r="O146" s="150">
        <f>$K$137*(O142-O138)</f>
        <v>11167297727.27274</v>
      </c>
      <c r="P146" s="150">
        <f>$K$137*(P142-P138)</f>
        <v>11167297727.27274</v>
      </c>
      <c r="Q146" s="96"/>
      <c r="R146" s="96"/>
      <c r="S146" s="96"/>
      <c r="T146" s="96"/>
      <c r="U146" s="96"/>
      <c r="V146" s="109"/>
    </row>
    <row r="147" spans="2:22" ht="12.75">
      <c r="B147" s="120"/>
      <c r="C147" s="96"/>
      <c r="D147" s="96"/>
      <c r="E147" s="140" t="s">
        <v>146</v>
      </c>
      <c r="F147" s="96"/>
      <c r="G147" s="303" t="s">
        <v>0</v>
      </c>
      <c r="H147" s="96">
        <f>SUM(H143:H146)</f>
        <v>0</v>
      </c>
      <c r="I147" s="135">
        <f aca="true" t="shared" si="14" ref="I147:V147">SUM(I143:I146)</f>
        <v>609834956.7099555</v>
      </c>
      <c r="J147" s="135">
        <f t="shared" si="14"/>
        <v>4513998349.567095</v>
      </c>
      <c r="K147" s="135">
        <f t="shared" si="14"/>
        <v>13603588379.32901</v>
      </c>
      <c r="L147" s="135">
        <f t="shared" si="14"/>
        <v>25805776028.138554</v>
      </c>
      <c r="M147" s="135">
        <f t="shared" si="14"/>
        <v>34713635240.8009</v>
      </c>
      <c r="N147" s="135">
        <f t="shared" si="14"/>
        <v>36606562946.428604</v>
      </c>
      <c r="O147" s="135">
        <f t="shared" si="14"/>
        <v>26723577637.987038</v>
      </c>
      <c r="P147" s="135">
        <f t="shared" si="14"/>
        <v>11167297727.27274</v>
      </c>
      <c r="Q147" s="135">
        <f t="shared" si="14"/>
        <v>0</v>
      </c>
      <c r="R147" s="135">
        <f t="shared" si="14"/>
        <v>0</v>
      </c>
      <c r="S147" s="135">
        <f t="shared" si="14"/>
        <v>0</v>
      </c>
      <c r="T147" s="135">
        <f t="shared" si="14"/>
        <v>0</v>
      </c>
      <c r="U147" s="135">
        <f t="shared" si="14"/>
        <v>0</v>
      </c>
      <c r="V147" s="165">
        <f t="shared" si="14"/>
        <v>0</v>
      </c>
    </row>
    <row r="148" spans="2:22" ht="12.75">
      <c r="B148" s="120"/>
      <c r="C148" s="96"/>
      <c r="D148" s="96"/>
      <c r="E148" s="140" t="s">
        <v>146</v>
      </c>
      <c r="F148" s="96"/>
      <c r="G148" s="303" t="s">
        <v>145</v>
      </c>
      <c r="H148" s="96">
        <f>H147/Land!$K$6</f>
        <v>0</v>
      </c>
      <c r="I148" s="135">
        <f>I147/Land!$K$6</f>
        <v>1112837.5122444443</v>
      </c>
      <c r="J148" s="135">
        <f>J147/Land!$K$6</f>
        <v>8237223.265633385</v>
      </c>
      <c r="K148" s="135">
        <f>K147/Land!$K$6</f>
        <v>24824066.38563688</v>
      </c>
      <c r="L148" s="135">
        <f>L147/Land!$K$6</f>
        <v>47090832.168136045</v>
      </c>
      <c r="M148" s="135">
        <f>M147/Land!$K$6</f>
        <v>63346049.7094907</v>
      </c>
      <c r="N148" s="135">
        <f>N147/Land!$K$6</f>
        <v>66800297.347497456</v>
      </c>
      <c r="O148" s="135">
        <f>O147/Land!$K$6</f>
        <v>48765652.62406394</v>
      </c>
      <c r="P148" s="135">
        <f>P147/Land!$K$6</f>
        <v>20378280.52422033</v>
      </c>
      <c r="Q148" s="135">
        <f>Q147/Land!$K$6</f>
        <v>0</v>
      </c>
      <c r="R148" s="135">
        <f>R147/Land!$K$6</f>
        <v>0</v>
      </c>
      <c r="S148" s="135">
        <f>S147/Land!$K$6</f>
        <v>0</v>
      </c>
      <c r="T148" s="135">
        <f>T147/Land!$K$6</f>
        <v>0</v>
      </c>
      <c r="U148" s="135">
        <f>U147/Land!$K$6</f>
        <v>0</v>
      </c>
      <c r="V148" s="165">
        <f>V147/Land!$K$6</f>
        <v>0</v>
      </c>
    </row>
    <row r="149" spans="2:22" ht="12.75">
      <c r="B149" s="304"/>
      <c r="C149" s="175"/>
      <c r="D149" s="175"/>
      <c r="E149" s="305" t="s">
        <v>173</v>
      </c>
      <c r="F149" s="96"/>
      <c r="G149" s="306" t="s">
        <v>0</v>
      </c>
      <c r="H149" s="96"/>
      <c r="I149" s="150"/>
      <c r="J149" s="150"/>
      <c r="K149" s="150"/>
      <c r="L149" s="96"/>
      <c r="M149" s="148">
        <f>M143*F7</f>
        <v>1829504870.1298716</v>
      </c>
      <c r="N149" s="148">
        <f>N144*F7</f>
        <v>9882985308.441566</v>
      </c>
      <c r="O149" s="148">
        <f>O145*F7</f>
        <v>15556279910.714298</v>
      </c>
      <c r="P149" s="135">
        <f>P142*F7</f>
        <v>107574886.36363637</v>
      </c>
      <c r="Q149" s="96"/>
      <c r="R149" s="96"/>
      <c r="S149" s="96"/>
      <c r="T149" s="96"/>
      <c r="U149" s="96"/>
      <c r="V149" s="109"/>
    </row>
    <row r="150" spans="2:22" ht="13.5" thickBot="1">
      <c r="B150" s="129"/>
      <c r="C150" s="113"/>
      <c r="D150" s="113"/>
      <c r="E150" s="307" t="s">
        <v>173</v>
      </c>
      <c r="F150" s="308"/>
      <c r="G150" s="309" t="s">
        <v>145</v>
      </c>
      <c r="H150" s="308"/>
      <c r="I150" s="310"/>
      <c r="J150" s="310"/>
      <c r="K150" s="310"/>
      <c r="L150" s="308"/>
      <c r="M150" s="311">
        <f>M149/Land!$K$6</f>
        <v>3338512.5367333423</v>
      </c>
      <c r="N150" s="311">
        <f>N149/Land!$K$6</f>
        <v>18034644.723433517</v>
      </c>
      <c r="O150" s="311">
        <f>O149/Land!$K$6</f>
        <v>28387372.09984361</v>
      </c>
      <c r="P150" s="311">
        <f>P146/Land!$K$6</f>
        <v>20378280.52422033</v>
      </c>
      <c r="Q150" s="113"/>
      <c r="R150" s="113"/>
      <c r="S150" s="113"/>
      <c r="T150" s="113"/>
      <c r="U150" s="113"/>
      <c r="V150" s="114"/>
    </row>
    <row r="151" spans="5:16" ht="12.75">
      <c r="E151" s="223"/>
      <c r="F151" s="116"/>
      <c r="G151" s="224"/>
      <c r="H151" s="116"/>
      <c r="I151" s="225"/>
      <c r="J151" s="225"/>
      <c r="K151" s="226"/>
      <c r="L151" s="136"/>
      <c r="M151" s="227"/>
      <c r="N151" s="227"/>
      <c r="O151" s="217"/>
      <c r="P151" s="217"/>
    </row>
    <row r="152" spans="5:16" ht="12.75">
      <c r="E152" s="223"/>
      <c r="F152" s="116"/>
      <c r="G152" s="224"/>
      <c r="H152" s="116"/>
      <c r="I152" s="225"/>
      <c r="J152" s="225"/>
      <c r="K152" s="226"/>
      <c r="L152" s="136"/>
      <c r="M152" s="227"/>
      <c r="N152" s="227"/>
      <c r="O152" s="217"/>
      <c r="P152" s="217"/>
    </row>
    <row r="153" spans="5:16" ht="13.5" thickBot="1">
      <c r="E153" s="182"/>
      <c r="G153" s="198"/>
      <c r="I153" s="104"/>
      <c r="J153" s="104"/>
      <c r="K153" s="150"/>
      <c r="L153" s="96"/>
      <c r="M153" s="148"/>
      <c r="N153" s="148"/>
      <c r="O153" s="149"/>
      <c r="P153" s="145"/>
    </row>
    <row r="154" spans="2:16" ht="18" customHeight="1" thickBot="1">
      <c r="B154" s="398">
        <v>3</v>
      </c>
      <c r="C154" s="397" t="s">
        <v>210</v>
      </c>
      <c r="D154" s="395"/>
      <c r="E154" s="396"/>
      <c r="G154" s="198"/>
      <c r="I154" s="104"/>
      <c r="J154" s="104"/>
      <c r="K154" s="150"/>
      <c r="L154" s="96"/>
      <c r="M154" s="148"/>
      <c r="N154" s="148"/>
      <c r="O154" s="149"/>
      <c r="P154" s="145"/>
    </row>
    <row r="155" spans="7:14" ht="13.5" thickBot="1">
      <c r="G155" s="199"/>
      <c r="I155" s="104"/>
      <c r="J155" s="104"/>
      <c r="K155" s="150"/>
      <c r="L155" s="96"/>
      <c r="M155" s="96"/>
      <c r="N155" s="96"/>
    </row>
    <row r="156" spans="2:16" ht="12.75">
      <c r="B156" s="154" t="s">
        <v>134</v>
      </c>
      <c r="C156" s="97"/>
      <c r="D156" s="389">
        <f>'ERR &amp; Sensitivity Analysis'!G13</f>
        <v>0.05</v>
      </c>
      <c r="E156" s="97"/>
      <c r="F156" s="97"/>
      <c r="G156" s="390"/>
      <c r="H156" s="97"/>
      <c r="I156" s="391"/>
      <c r="J156" s="391"/>
      <c r="K156" s="391"/>
      <c r="L156" s="97"/>
      <c r="M156" s="97"/>
      <c r="N156" s="97"/>
      <c r="O156" s="97"/>
      <c r="P156" s="98"/>
    </row>
    <row r="157" spans="2:16" ht="12.75">
      <c r="B157" s="120" t="s">
        <v>135</v>
      </c>
      <c r="C157" s="96"/>
      <c r="D157" s="96"/>
      <c r="E157" s="96"/>
      <c r="F157" s="96"/>
      <c r="G157" s="388"/>
      <c r="H157" s="96"/>
      <c r="I157" s="150"/>
      <c r="J157" s="150"/>
      <c r="K157" s="150"/>
      <c r="L157" s="96"/>
      <c r="M157" s="96"/>
      <c r="N157" s="96"/>
      <c r="O157" s="96"/>
      <c r="P157" s="109"/>
    </row>
    <row r="158" spans="2:16" ht="13.5" thickBot="1">
      <c r="B158" s="392">
        <f>D156/3</f>
        <v>0.016666666666666666</v>
      </c>
      <c r="C158" s="393">
        <f>B158*2</f>
        <v>0.03333333333333333</v>
      </c>
      <c r="D158" s="393">
        <f>D156</f>
        <v>0.05</v>
      </c>
      <c r="E158" s="393">
        <f>D158</f>
        <v>0.05</v>
      </c>
      <c r="F158" s="393">
        <f aca="true" t="shared" si="15" ref="F158:P158">E158</f>
        <v>0.05</v>
      </c>
      <c r="G158" s="393">
        <f t="shared" si="15"/>
        <v>0.05</v>
      </c>
      <c r="H158" s="393">
        <f t="shared" si="15"/>
        <v>0.05</v>
      </c>
      <c r="I158" s="393">
        <f t="shared" si="15"/>
        <v>0.05</v>
      </c>
      <c r="J158" s="393">
        <f t="shared" si="15"/>
        <v>0.05</v>
      </c>
      <c r="K158" s="393">
        <f t="shared" si="15"/>
        <v>0.05</v>
      </c>
      <c r="L158" s="393">
        <f t="shared" si="15"/>
        <v>0.05</v>
      </c>
      <c r="M158" s="393">
        <f t="shared" si="15"/>
        <v>0.05</v>
      </c>
      <c r="N158" s="393">
        <f t="shared" si="15"/>
        <v>0.05</v>
      </c>
      <c r="O158" s="393">
        <f t="shared" si="15"/>
        <v>0.05</v>
      </c>
      <c r="P158" s="394">
        <f t="shared" si="15"/>
        <v>0.05</v>
      </c>
    </row>
    <row r="159" spans="8:14" ht="12.75">
      <c r="H159" s="200"/>
      <c r="I159" s="200"/>
      <c r="J159" s="200"/>
      <c r="K159" s="201"/>
      <c r="L159" s="96"/>
      <c r="M159" s="96"/>
      <c r="N159" s="96"/>
    </row>
    <row r="160" spans="8:14" ht="12.75">
      <c r="H160" s="200"/>
      <c r="I160" s="200"/>
      <c r="J160" s="200"/>
      <c r="K160" s="201"/>
      <c r="L160" s="96"/>
      <c r="M160" s="96"/>
      <c r="N160" s="96"/>
    </row>
    <row r="161" spans="11:14" s="116" customFormat="1" ht="12.75">
      <c r="K161" s="136"/>
      <c r="L161" s="136"/>
      <c r="M161" s="136"/>
      <c r="N161" s="136"/>
    </row>
    <row r="162" spans="11:14" ht="13.5" thickBot="1">
      <c r="K162" s="96"/>
      <c r="L162" s="96"/>
      <c r="M162" s="96"/>
      <c r="N162" s="96"/>
    </row>
    <row r="163" spans="3:14" ht="12.75">
      <c r="C163" s="347" t="s">
        <v>23</v>
      </c>
      <c r="D163" s="97"/>
      <c r="E163" s="97"/>
      <c r="F163" s="97"/>
      <c r="G163" s="97"/>
      <c r="H163" s="97"/>
      <c r="I163" s="97"/>
      <c r="J163" s="97"/>
      <c r="K163" s="98"/>
      <c r="L163" s="96"/>
      <c r="M163" s="96"/>
      <c r="N163" s="96"/>
    </row>
    <row r="164" spans="3:14" ht="12.75">
      <c r="C164" s="120"/>
      <c r="D164" s="96"/>
      <c r="E164" s="96"/>
      <c r="F164" s="96"/>
      <c r="G164" s="96"/>
      <c r="H164" s="96"/>
      <c r="I164" s="96"/>
      <c r="J164" s="96"/>
      <c r="K164" s="109"/>
      <c r="L164" s="96"/>
      <c r="M164" s="96"/>
      <c r="N164" s="96"/>
    </row>
    <row r="165" spans="3:14" ht="12.75">
      <c r="C165" s="377" t="s">
        <v>79</v>
      </c>
      <c r="D165" s="96"/>
      <c r="E165" s="96"/>
      <c r="F165" s="96"/>
      <c r="G165" s="96" t="s">
        <v>18</v>
      </c>
      <c r="H165" s="96">
        <v>80</v>
      </c>
      <c r="I165" s="96">
        <v>130</v>
      </c>
      <c r="J165" s="96">
        <v>90</v>
      </c>
      <c r="K165" s="109">
        <v>0</v>
      </c>
      <c r="L165" s="96"/>
      <c r="M165" s="96"/>
      <c r="N165" s="96"/>
    </row>
    <row r="166" spans="3:14" ht="12.75">
      <c r="C166" s="378" t="s">
        <v>12</v>
      </c>
      <c r="D166" s="96"/>
      <c r="E166" s="96"/>
      <c r="F166" s="96"/>
      <c r="G166" s="96" t="s">
        <v>18</v>
      </c>
      <c r="H166" s="96"/>
      <c r="I166" s="135">
        <v>20000</v>
      </c>
      <c r="J166" s="135">
        <v>32500</v>
      </c>
      <c r="K166" s="165">
        <v>22500</v>
      </c>
      <c r="L166" s="96"/>
      <c r="M166" s="96"/>
      <c r="N166" s="96"/>
    </row>
    <row r="167" spans="3:14" ht="12.75">
      <c r="C167" s="378" t="s">
        <v>13</v>
      </c>
      <c r="D167" s="96"/>
      <c r="E167" s="96"/>
      <c r="F167" s="96"/>
      <c r="G167" s="96" t="s">
        <v>18</v>
      </c>
      <c r="H167" s="96"/>
      <c r="I167" s="135">
        <v>17600</v>
      </c>
      <c r="J167" s="135">
        <v>28600</v>
      </c>
      <c r="K167" s="165">
        <v>19800</v>
      </c>
      <c r="L167" s="96"/>
      <c r="M167" s="96"/>
      <c r="N167" s="96"/>
    </row>
    <row r="168" spans="3:14" ht="12.75">
      <c r="C168" s="378"/>
      <c r="D168" s="96"/>
      <c r="E168" s="96"/>
      <c r="F168" s="96"/>
      <c r="G168" s="96"/>
      <c r="H168" s="96"/>
      <c r="I168" s="135"/>
      <c r="J168" s="135"/>
      <c r="K168" s="165"/>
      <c r="L168" s="96"/>
      <c r="M168" s="96"/>
      <c r="N168" s="96"/>
    </row>
    <row r="169" spans="3:14" ht="12.75">
      <c r="C169" s="377" t="s">
        <v>80</v>
      </c>
      <c r="D169" s="96"/>
      <c r="E169" s="96"/>
      <c r="F169" s="96"/>
      <c r="G169" s="96" t="s">
        <v>18</v>
      </c>
      <c r="H169" s="96"/>
      <c r="I169" s="135">
        <v>41</v>
      </c>
      <c r="J169" s="135"/>
      <c r="K169" s="165"/>
      <c r="L169" s="96"/>
      <c r="M169" s="96"/>
      <c r="N169" s="96"/>
    </row>
    <row r="170" spans="3:14" ht="12.75">
      <c r="C170" s="378" t="s">
        <v>12</v>
      </c>
      <c r="D170" s="96"/>
      <c r="E170" s="96"/>
      <c r="F170" s="96"/>
      <c r="G170" s="96" t="s">
        <v>18</v>
      </c>
      <c r="H170" s="96"/>
      <c r="I170" s="135">
        <v>10250</v>
      </c>
      <c r="J170" s="135"/>
      <c r="K170" s="165"/>
      <c r="L170" s="96"/>
      <c r="M170" s="96"/>
      <c r="N170" s="96"/>
    </row>
    <row r="171" spans="3:14" ht="13.5" thickBot="1">
      <c r="C171" s="379" t="s">
        <v>13</v>
      </c>
      <c r="D171" s="113"/>
      <c r="E171" s="113"/>
      <c r="F171" s="113"/>
      <c r="G171" s="113" t="s">
        <v>18</v>
      </c>
      <c r="H171" s="113"/>
      <c r="I171" s="336">
        <v>9000</v>
      </c>
      <c r="J171" s="336"/>
      <c r="K171" s="380"/>
      <c r="L171" s="96"/>
      <c r="M171" s="96"/>
      <c r="N171" s="96"/>
    </row>
    <row r="172" spans="3:14" ht="12.75">
      <c r="C172" s="183"/>
      <c r="I172" s="145"/>
      <c r="J172" s="145"/>
      <c r="K172" s="135"/>
      <c r="L172" s="96"/>
      <c r="M172" s="96"/>
      <c r="N172" s="96"/>
    </row>
    <row r="173" spans="3:14" ht="13.5" thickBot="1">
      <c r="C173" s="183"/>
      <c r="I173" s="145"/>
      <c r="J173" s="145"/>
      <c r="K173" s="135"/>
      <c r="L173" s="96"/>
      <c r="M173" s="96"/>
      <c r="N173" s="96"/>
    </row>
    <row r="174" spans="2:14" ht="12.75">
      <c r="B174" s="154"/>
      <c r="C174" s="97"/>
      <c r="D174" s="97"/>
      <c r="E174" s="97"/>
      <c r="F174" s="97"/>
      <c r="G174" s="97"/>
      <c r="H174" s="118" t="s">
        <v>90</v>
      </c>
      <c r="I174" s="118"/>
      <c r="J174" s="118"/>
      <c r="K174" s="118"/>
      <c r="L174" s="381" t="s">
        <v>151</v>
      </c>
      <c r="M174" s="118"/>
      <c r="N174" s="119"/>
    </row>
    <row r="175" spans="2:29" ht="25.5" customHeight="1">
      <c r="B175" s="120"/>
      <c r="C175" s="53"/>
      <c r="D175" s="140" t="s">
        <v>24</v>
      </c>
      <c r="E175" s="121" t="s">
        <v>147</v>
      </c>
      <c r="F175" s="204" t="s">
        <v>81</v>
      </c>
      <c r="G175" s="204" t="s">
        <v>83</v>
      </c>
      <c r="H175" s="204" t="s">
        <v>89</v>
      </c>
      <c r="I175" s="204" t="s">
        <v>86</v>
      </c>
      <c r="J175" s="204" t="s">
        <v>87</v>
      </c>
      <c r="K175" s="121" t="s">
        <v>88</v>
      </c>
      <c r="L175" s="205" t="s">
        <v>86</v>
      </c>
      <c r="M175" s="204" t="s">
        <v>87</v>
      </c>
      <c r="N175" s="242" t="s">
        <v>88</v>
      </c>
      <c r="AC175" s="104"/>
    </row>
    <row r="176" spans="2:29" ht="12.75">
      <c r="B176" s="120"/>
      <c r="C176" s="96"/>
      <c r="D176" s="96" t="s">
        <v>25</v>
      </c>
      <c r="E176" s="121" t="s">
        <v>36</v>
      </c>
      <c r="F176" s="121">
        <v>25</v>
      </c>
      <c r="G176" s="121">
        <v>15</v>
      </c>
      <c r="H176" s="382">
        <v>0.2</v>
      </c>
      <c r="I176" s="121">
        <f>$H176*H$165</f>
        <v>16</v>
      </c>
      <c r="J176" s="121">
        <f>$H176*I$165</f>
        <v>26</v>
      </c>
      <c r="K176" s="121">
        <f>$H176*J$165</f>
        <v>18</v>
      </c>
      <c r="L176" s="206">
        <f aca="true" t="shared" si="16" ref="L176:N178">I176*$G$176</f>
        <v>240</v>
      </c>
      <c r="M176" s="96">
        <f t="shared" si="16"/>
        <v>390</v>
      </c>
      <c r="N176" s="109">
        <f t="shared" si="16"/>
        <v>270</v>
      </c>
      <c r="AB176" s="104"/>
      <c r="AC176" s="149"/>
    </row>
    <row r="177" spans="2:28" ht="12.75">
      <c r="B177" s="120"/>
      <c r="C177" s="96"/>
      <c r="D177" s="96" t="s">
        <v>26</v>
      </c>
      <c r="E177" s="121" t="s">
        <v>84</v>
      </c>
      <c r="F177" s="121">
        <v>6</v>
      </c>
      <c r="G177" s="121">
        <v>2</v>
      </c>
      <c r="H177" s="382">
        <v>0.3</v>
      </c>
      <c r="I177" s="121">
        <f>$H177*H$165</f>
        <v>24</v>
      </c>
      <c r="J177" s="121">
        <f aca="true" t="shared" si="17" ref="I177:K178">$H177*I$165</f>
        <v>39</v>
      </c>
      <c r="K177" s="121">
        <f t="shared" si="17"/>
        <v>27</v>
      </c>
      <c r="L177" s="206">
        <f t="shared" si="16"/>
        <v>360</v>
      </c>
      <c r="M177" s="96">
        <f t="shared" si="16"/>
        <v>585</v>
      </c>
      <c r="N177" s="109">
        <f t="shared" si="16"/>
        <v>405</v>
      </c>
      <c r="AB177" s="104"/>
    </row>
    <row r="178" spans="2:14" ht="12.75">
      <c r="B178" s="120"/>
      <c r="C178" s="96"/>
      <c r="D178" s="96" t="s">
        <v>27</v>
      </c>
      <c r="E178" s="121" t="s">
        <v>35</v>
      </c>
      <c r="F178" s="121">
        <v>2</v>
      </c>
      <c r="G178" s="121">
        <v>6</v>
      </c>
      <c r="H178" s="207">
        <v>0.5</v>
      </c>
      <c r="I178" s="193">
        <f t="shared" si="17"/>
        <v>40</v>
      </c>
      <c r="J178" s="193">
        <f t="shared" si="17"/>
        <v>65</v>
      </c>
      <c r="K178" s="193">
        <f t="shared" si="17"/>
        <v>45</v>
      </c>
      <c r="L178" s="206">
        <f t="shared" si="16"/>
        <v>600</v>
      </c>
      <c r="M178" s="96">
        <f t="shared" si="16"/>
        <v>975</v>
      </c>
      <c r="N178" s="109">
        <f t="shared" si="16"/>
        <v>675</v>
      </c>
    </row>
    <row r="179" spans="2:14" ht="13.5" thickBot="1">
      <c r="B179" s="129"/>
      <c r="C179" s="113"/>
      <c r="D179" s="113" t="s">
        <v>28</v>
      </c>
      <c r="E179" s="130">
        <f>SUM(H165:K165)</f>
        <v>300</v>
      </c>
      <c r="F179" s="130"/>
      <c r="G179" s="130"/>
      <c r="H179" s="383">
        <f>SUM(H176:H178)</f>
        <v>1</v>
      </c>
      <c r="I179" s="130">
        <f>SUM(I176:I178)</f>
        <v>80</v>
      </c>
      <c r="J179" s="130">
        <f>SUM(J176:J178)</f>
        <v>130</v>
      </c>
      <c r="K179" s="130">
        <f>SUM(K176:K178)</f>
        <v>90</v>
      </c>
      <c r="L179" s="282"/>
      <c r="M179" s="113"/>
      <c r="N179" s="114"/>
    </row>
    <row r="180" spans="2:14" ht="12.75">
      <c r="B180" s="95" t="s">
        <v>82</v>
      </c>
      <c r="C180" s="184">
        <v>7.195976250409967</v>
      </c>
      <c r="K180" s="96"/>
      <c r="L180" s="96"/>
      <c r="M180" s="96"/>
      <c r="N180" s="96"/>
    </row>
    <row r="181" spans="5:14" ht="12.75">
      <c r="E181" s="432">
        <f>IF('ERR &amp; Sensitivity Analysis'!$I$10="N","Note: Current calculations are based on user input and are not the original MCC estimates.",IF('ERR &amp; Sensitivity Analysis'!$I$11="N","Note: Current calculations are based on user input and are not the original MCC estimates.",0))</f>
        <v>0</v>
      </c>
      <c r="F181" s="432"/>
      <c r="G181" s="432"/>
      <c r="H181" s="432"/>
      <c r="I181" s="432"/>
      <c r="J181" s="432"/>
      <c r="K181" s="432"/>
      <c r="L181" s="432"/>
      <c r="M181" s="432"/>
      <c r="N181" s="96"/>
    </row>
    <row r="182" spans="2:14" ht="13.5" thickBot="1">
      <c r="B182" s="202" t="s">
        <v>61</v>
      </c>
      <c r="K182" s="96"/>
      <c r="L182" s="96"/>
      <c r="M182" s="96"/>
      <c r="N182" s="96"/>
    </row>
    <row r="183" spans="2:44" ht="39" customHeight="1">
      <c r="B183" s="154"/>
      <c r="C183" s="312" t="s">
        <v>58</v>
      </c>
      <c r="D183" s="313" t="s">
        <v>59</v>
      </c>
      <c r="E183" s="313" t="s">
        <v>32</v>
      </c>
      <c r="F183" s="313" t="s">
        <v>63</v>
      </c>
      <c r="G183" s="314" t="s">
        <v>62</v>
      </c>
      <c r="H183" s="313" t="s">
        <v>64</v>
      </c>
      <c r="I183" s="315" t="s">
        <v>64</v>
      </c>
      <c r="K183" s="96"/>
      <c r="L183" s="96"/>
      <c r="M183" s="96"/>
      <c r="N183" s="96"/>
      <c r="X183" s="154"/>
      <c r="Y183" s="97"/>
      <c r="Z183" s="98"/>
      <c r="AB183" s="331" t="s">
        <v>36</v>
      </c>
      <c r="AC183" s="97" t="s">
        <v>68</v>
      </c>
      <c r="AD183" s="97"/>
      <c r="AE183" s="97"/>
      <c r="AF183" s="97"/>
      <c r="AG183" s="97"/>
      <c r="AH183" s="97"/>
      <c r="AI183" s="97"/>
      <c r="AJ183" s="97"/>
      <c r="AK183" s="97"/>
      <c r="AL183" s="97"/>
      <c r="AM183" s="97"/>
      <c r="AN183" s="97"/>
      <c r="AO183" s="97"/>
      <c r="AP183" s="97"/>
      <c r="AQ183" s="97"/>
      <c r="AR183" s="98"/>
    </row>
    <row r="184" spans="2:44" ht="13.5" thickBot="1">
      <c r="B184" s="129" t="s">
        <v>29</v>
      </c>
      <c r="C184" s="130" t="s">
        <v>57</v>
      </c>
      <c r="D184" s="130" t="s">
        <v>60</v>
      </c>
      <c r="E184" s="130" t="s">
        <v>60</v>
      </c>
      <c r="F184" s="130" t="s">
        <v>0</v>
      </c>
      <c r="G184" s="208" t="s">
        <v>51</v>
      </c>
      <c r="H184" s="130" t="s">
        <v>53</v>
      </c>
      <c r="I184" s="264" t="s">
        <v>150</v>
      </c>
      <c r="K184" s="96"/>
      <c r="L184" s="96"/>
      <c r="M184" s="96"/>
      <c r="N184" s="96"/>
      <c r="X184" s="120"/>
      <c r="Y184" s="96"/>
      <c r="Z184" s="109"/>
      <c r="AB184" s="332"/>
      <c r="AC184" s="159">
        <v>1</v>
      </c>
      <c r="AD184" s="159">
        <v>2</v>
      </c>
      <c r="AE184" s="159">
        <v>3</v>
      </c>
      <c r="AF184" s="159">
        <v>4</v>
      </c>
      <c r="AG184" s="159">
        <v>5</v>
      </c>
      <c r="AH184" s="159">
        <v>6</v>
      </c>
      <c r="AI184" s="159">
        <v>7</v>
      </c>
      <c r="AJ184" s="159">
        <v>8</v>
      </c>
      <c r="AK184" s="159">
        <v>9</v>
      </c>
      <c r="AL184" s="159">
        <v>10</v>
      </c>
      <c r="AM184" s="159">
        <v>11</v>
      </c>
      <c r="AN184" s="159">
        <v>12</v>
      </c>
      <c r="AO184" s="159">
        <v>13</v>
      </c>
      <c r="AP184" s="159">
        <v>14</v>
      </c>
      <c r="AQ184" s="159">
        <v>15</v>
      </c>
      <c r="AR184" s="109"/>
    </row>
    <row r="185" spans="2:44" ht="12.75">
      <c r="B185" s="120" t="s">
        <v>30</v>
      </c>
      <c r="C185" s="121">
        <v>180</v>
      </c>
      <c r="D185" s="121">
        <v>1.5</v>
      </c>
      <c r="E185" s="121">
        <v>0.7</v>
      </c>
      <c r="F185" s="190">
        <f>C185*1000*(D185-E185)</f>
        <v>144000</v>
      </c>
      <c r="G185" s="316">
        <f>F185/SUM($F$185:$F$189)</f>
        <v>0.20653057321795668</v>
      </c>
      <c r="H185" s="317"/>
      <c r="I185" s="318"/>
      <c r="J185" s="209"/>
      <c r="K185" s="210"/>
      <c r="L185" s="96"/>
      <c r="M185" s="96"/>
      <c r="N185" s="96"/>
      <c r="X185" s="120" t="s">
        <v>38</v>
      </c>
      <c r="Y185" s="121" t="s">
        <v>39</v>
      </c>
      <c r="Z185" s="109">
        <v>15</v>
      </c>
      <c r="AB185" s="120" t="s">
        <v>41</v>
      </c>
      <c r="AC185" s="150">
        <v>84000</v>
      </c>
      <c r="AD185" s="150"/>
      <c r="AE185" s="150"/>
      <c r="AF185" s="150"/>
      <c r="AG185" s="150"/>
      <c r="AH185" s="150"/>
      <c r="AI185" s="150"/>
      <c r="AJ185" s="150"/>
      <c r="AK185" s="150"/>
      <c r="AL185" s="150"/>
      <c r="AM185" s="150"/>
      <c r="AN185" s="150"/>
      <c r="AO185" s="150"/>
      <c r="AP185" s="150"/>
      <c r="AQ185" s="150"/>
      <c r="AR185" s="243"/>
    </row>
    <row r="186" spans="2:44" ht="12.75">
      <c r="B186" s="120" t="s">
        <v>56</v>
      </c>
      <c r="C186" s="121">
        <v>160</v>
      </c>
      <c r="D186" s="121">
        <v>1</v>
      </c>
      <c r="E186" s="121">
        <v>0.6</v>
      </c>
      <c r="F186" s="190">
        <f>C186*1000*(D186-E186)</f>
        <v>64000</v>
      </c>
      <c r="G186" s="316">
        <f>F186/SUM($F$185:$F$189)</f>
        <v>0.09179136587464741</v>
      </c>
      <c r="H186" s="319"/>
      <c r="I186" s="320"/>
      <c r="J186" s="209"/>
      <c r="K186" s="210"/>
      <c r="L186" s="96"/>
      <c r="M186" s="96"/>
      <c r="N186" s="96"/>
      <c r="X186" s="120" t="s">
        <v>37</v>
      </c>
      <c r="Y186" s="121" t="s">
        <v>40</v>
      </c>
      <c r="Z186" s="109">
        <v>7</v>
      </c>
      <c r="AB186" s="120" t="s">
        <v>43</v>
      </c>
      <c r="AC186" s="150">
        <f>6667</f>
        <v>6667</v>
      </c>
      <c r="AD186" s="150">
        <f>6667</f>
        <v>6667</v>
      </c>
      <c r="AE186" s="150">
        <f>6667</f>
        <v>6667</v>
      </c>
      <c r="AF186" s="150">
        <f>6667</f>
        <v>6667</v>
      </c>
      <c r="AG186" s="150">
        <f>6667</f>
        <v>6667</v>
      </c>
      <c r="AH186" s="150">
        <f>6667</f>
        <v>6667</v>
      </c>
      <c r="AI186" s="150">
        <f>6667</f>
        <v>6667</v>
      </c>
      <c r="AJ186" s="150">
        <f>6667</f>
        <v>6667</v>
      </c>
      <c r="AK186" s="150">
        <f>6667</f>
        <v>6667</v>
      </c>
      <c r="AL186" s="150">
        <f>6667</f>
        <v>6667</v>
      </c>
      <c r="AM186" s="150">
        <f>6667</f>
        <v>6667</v>
      </c>
      <c r="AN186" s="150">
        <f>6667</f>
        <v>6667</v>
      </c>
      <c r="AO186" s="150">
        <f>6667</f>
        <v>6667</v>
      </c>
      <c r="AP186" s="150">
        <f>6667</f>
        <v>6667</v>
      </c>
      <c r="AQ186" s="150">
        <f>6667</f>
        <v>6667</v>
      </c>
      <c r="AR186" s="243"/>
    </row>
    <row r="187" spans="2:44" ht="12.75">
      <c r="B187" s="120" t="s">
        <v>31</v>
      </c>
      <c r="C187" s="121">
        <v>195</v>
      </c>
      <c r="D187" s="239">
        <v>1.5</v>
      </c>
      <c r="E187" s="121">
        <v>0.9</v>
      </c>
      <c r="F187" s="190">
        <f>C187*1000*(D187-E187)</f>
        <v>117000</v>
      </c>
      <c r="G187" s="316">
        <f>F187/SUM($F$185:$F$189)</f>
        <v>0.1678060907395898</v>
      </c>
      <c r="H187" s="317"/>
      <c r="I187" s="318"/>
      <c r="J187" s="209"/>
      <c r="K187" s="210"/>
      <c r="L187" s="96"/>
      <c r="M187" s="96"/>
      <c r="N187" s="96"/>
      <c r="X187" s="120" t="s">
        <v>42</v>
      </c>
      <c r="Y187" s="121" t="s">
        <v>40</v>
      </c>
      <c r="Z187" s="109">
        <v>22</v>
      </c>
      <c r="AB187" s="120" t="s">
        <v>52</v>
      </c>
      <c r="AC187" s="150"/>
      <c r="AD187" s="150"/>
      <c r="AE187" s="150"/>
      <c r="AF187" s="150"/>
      <c r="AG187" s="150"/>
      <c r="AH187" s="150"/>
      <c r="AI187" s="150">
        <f>Z188*Z189</f>
        <v>112500</v>
      </c>
      <c r="AJ187" s="150"/>
      <c r="AK187" s="150"/>
      <c r="AL187" s="150"/>
      <c r="AM187" s="150"/>
      <c r="AN187" s="150"/>
      <c r="AO187" s="150"/>
      <c r="AP187" s="150">
        <f>Z188*Z189</f>
        <v>112500</v>
      </c>
      <c r="AQ187" s="150"/>
      <c r="AR187" s="109"/>
    </row>
    <row r="188" spans="2:44" ht="12.75">
      <c r="B188" s="120" t="s">
        <v>33</v>
      </c>
      <c r="C188" s="121">
        <v>250</v>
      </c>
      <c r="D188" s="121">
        <v>1.25</v>
      </c>
      <c r="E188" s="121">
        <v>0</v>
      </c>
      <c r="F188" s="190">
        <f>C188*1000*(D188-E188)</f>
        <v>312500</v>
      </c>
      <c r="G188" s="316">
        <f>F188/SUM($F$185:$F$189)</f>
        <v>0.4482000286848018</v>
      </c>
      <c r="H188" s="317"/>
      <c r="I188" s="318"/>
      <c r="J188" s="209"/>
      <c r="K188" s="210"/>
      <c r="L188" s="96"/>
      <c r="M188" s="96"/>
      <c r="N188" s="96"/>
      <c r="X188" s="120" t="s">
        <v>47</v>
      </c>
      <c r="Y188" s="121" t="s">
        <v>44</v>
      </c>
      <c r="Z188" s="109">
        <v>300</v>
      </c>
      <c r="AB188" s="332" t="s">
        <v>67</v>
      </c>
      <c r="AC188" s="211">
        <f>$H$190*$Z$190*$Z$191</f>
        <v>26456.541167471438</v>
      </c>
      <c r="AD188" s="211">
        <f aca="true" t="shared" si="18" ref="AD188:AQ188">$H$190*$Z$190*$Z$191</f>
        <v>26456.541167471438</v>
      </c>
      <c r="AE188" s="211">
        <f t="shared" si="18"/>
        <v>26456.541167471438</v>
      </c>
      <c r="AF188" s="211">
        <f t="shared" si="18"/>
        <v>26456.541167471438</v>
      </c>
      <c r="AG188" s="211">
        <f t="shared" si="18"/>
        <v>26456.541167471438</v>
      </c>
      <c r="AH188" s="211">
        <f t="shared" si="18"/>
        <v>26456.541167471438</v>
      </c>
      <c r="AI188" s="211">
        <f t="shared" si="18"/>
        <v>26456.541167471438</v>
      </c>
      <c r="AJ188" s="211">
        <f t="shared" si="18"/>
        <v>26456.541167471438</v>
      </c>
      <c r="AK188" s="211">
        <f t="shared" si="18"/>
        <v>26456.541167471438</v>
      </c>
      <c r="AL188" s="211">
        <f t="shared" si="18"/>
        <v>26456.541167471438</v>
      </c>
      <c r="AM188" s="211">
        <f t="shared" si="18"/>
        <v>26456.541167471438</v>
      </c>
      <c r="AN188" s="211">
        <f t="shared" si="18"/>
        <v>26456.541167471438</v>
      </c>
      <c r="AO188" s="211">
        <f t="shared" si="18"/>
        <v>26456.541167471438</v>
      </c>
      <c r="AP188" s="211">
        <f t="shared" si="18"/>
        <v>26456.541167471438</v>
      </c>
      <c r="AQ188" s="211">
        <f t="shared" si="18"/>
        <v>26456.541167471438</v>
      </c>
      <c r="AR188" s="243"/>
    </row>
    <row r="189" spans="2:44" ht="12.75">
      <c r="B189" s="120" t="s">
        <v>34</v>
      </c>
      <c r="C189" s="321">
        <f>128*(2/3)</f>
        <v>85.33333333333333</v>
      </c>
      <c r="D189" s="121">
        <v>1.5</v>
      </c>
      <c r="E189" s="121">
        <v>0.8</v>
      </c>
      <c r="F189" s="190">
        <f>C189*1000*(D189-E189)</f>
        <v>59733.33333333333</v>
      </c>
      <c r="G189" s="212">
        <f>F189/SUM($F$185:$F$189)</f>
        <v>0.08567194148300425</v>
      </c>
      <c r="H189" s="317"/>
      <c r="I189" s="318"/>
      <c r="J189" s="209"/>
      <c r="K189" s="210"/>
      <c r="L189" s="96"/>
      <c r="M189" s="96"/>
      <c r="N189" s="96"/>
      <c r="X189" s="120" t="s">
        <v>45</v>
      </c>
      <c r="Y189" s="121" t="s">
        <v>46</v>
      </c>
      <c r="Z189" s="109">
        <v>375</v>
      </c>
      <c r="AB189" s="120" t="s">
        <v>48</v>
      </c>
      <c r="AC189" s="333">
        <f>-AC185-AC186+AC187+AC188</f>
        <v>-64210.45883252856</v>
      </c>
      <c r="AD189" s="333">
        <f aca="true" t="shared" si="19" ref="AD189:AQ189">-AD185-AD186+AD187+AD188</f>
        <v>19789.541167471438</v>
      </c>
      <c r="AE189" s="333">
        <f t="shared" si="19"/>
        <v>19789.541167471438</v>
      </c>
      <c r="AF189" s="333">
        <f t="shared" si="19"/>
        <v>19789.541167471438</v>
      </c>
      <c r="AG189" s="333">
        <f t="shared" si="19"/>
        <v>19789.541167471438</v>
      </c>
      <c r="AH189" s="333">
        <f t="shared" si="19"/>
        <v>19789.541167471438</v>
      </c>
      <c r="AI189" s="333">
        <f t="shared" si="19"/>
        <v>132289.54116747144</v>
      </c>
      <c r="AJ189" s="333">
        <f t="shared" si="19"/>
        <v>19789.541167471438</v>
      </c>
      <c r="AK189" s="333">
        <f t="shared" si="19"/>
        <v>19789.541167471438</v>
      </c>
      <c r="AL189" s="333">
        <f t="shared" si="19"/>
        <v>19789.541167471438</v>
      </c>
      <c r="AM189" s="333">
        <f t="shared" si="19"/>
        <v>19789.541167471438</v>
      </c>
      <c r="AN189" s="333">
        <f t="shared" si="19"/>
        <v>19789.541167471438</v>
      </c>
      <c r="AO189" s="333">
        <f t="shared" si="19"/>
        <v>19789.541167471438</v>
      </c>
      <c r="AP189" s="333">
        <f t="shared" si="19"/>
        <v>132289.54116747144</v>
      </c>
      <c r="AQ189" s="333">
        <f t="shared" si="19"/>
        <v>19789.541167471438</v>
      </c>
      <c r="AR189" s="243"/>
    </row>
    <row r="190" spans="2:44" ht="13.5" thickBot="1">
      <c r="B190" s="129"/>
      <c r="C190" s="113"/>
      <c r="D190" s="130"/>
      <c r="E190" s="130"/>
      <c r="F190" s="322"/>
      <c r="G190" s="323">
        <f>SUM(G185:G189)</f>
        <v>1</v>
      </c>
      <c r="H190" s="324">
        <f>SUMPRODUCT(F185:F189,G185:G189)</f>
        <v>200428.3421778139</v>
      </c>
      <c r="I190" s="325">
        <f>H190/Land!K6</f>
        <v>365.74514995951444</v>
      </c>
      <c r="J190" s="104"/>
      <c r="K190" s="213"/>
      <c r="L190" s="96"/>
      <c r="M190" s="96"/>
      <c r="N190" s="96"/>
      <c r="X190" s="120" t="s">
        <v>54</v>
      </c>
      <c r="Y190" s="121" t="s">
        <v>51</v>
      </c>
      <c r="Z190" s="337">
        <v>0.4</v>
      </c>
      <c r="AB190" s="120" t="s">
        <v>148</v>
      </c>
      <c r="AC190" s="135">
        <f>AC189/Land!$K$6</f>
        <v>-117.17237013235139</v>
      </c>
      <c r="AD190" s="135">
        <f>AD189/Land!$K$6</f>
        <v>36.112301400495326</v>
      </c>
      <c r="AE190" s="135">
        <f>AE189/Land!$K$6</f>
        <v>36.112301400495326</v>
      </c>
      <c r="AF190" s="135">
        <f>AF189/Land!$K$6</f>
        <v>36.112301400495326</v>
      </c>
      <c r="AG190" s="135">
        <f>AG189/Land!$K$6</f>
        <v>36.112301400495326</v>
      </c>
      <c r="AH190" s="135">
        <f>AH189/Land!$K$6</f>
        <v>36.112301400495326</v>
      </c>
      <c r="AI190" s="135">
        <f>AI189/Land!$K$6</f>
        <v>241.40427220341505</v>
      </c>
      <c r="AJ190" s="135">
        <f>AJ189/Land!$K$6</f>
        <v>36.112301400495326</v>
      </c>
      <c r="AK190" s="135">
        <f>AK189/Land!$K$6</f>
        <v>36.112301400495326</v>
      </c>
      <c r="AL190" s="135">
        <f>AL189/Land!$K$6</f>
        <v>36.112301400495326</v>
      </c>
      <c r="AM190" s="135">
        <f>AM189/Land!$K$6</f>
        <v>36.112301400495326</v>
      </c>
      <c r="AN190" s="135">
        <f>AN189/Land!$K$6</f>
        <v>36.112301400495326</v>
      </c>
      <c r="AO190" s="135">
        <f>AO189/Land!$K$6</f>
        <v>36.112301400495326</v>
      </c>
      <c r="AP190" s="135">
        <f>AP189/Land!$K$6</f>
        <v>241.40427220341505</v>
      </c>
      <c r="AQ190" s="135">
        <f>AQ189/Land!$K$6</f>
        <v>36.112301400495326</v>
      </c>
      <c r="AR190" s="109"/>
    </row>
    <row r="191" spans="2:44" ht="13.5" thickBot="1">
      <c r="B191" s="154"/>
      <c r="C191" s="97"/>
      <c r="D191" s="97"/>
      <c r="E191" s="97"/>
      <c r="F191" s="97"/>
      <c r="G191" s="97"/>
      <c r="H191" s="97"/>
      <c r="I191" s="326"/>
      <c r="J191" s="104"/>
      <c r="K191" s="213"/>
      <c r="L191" s="96"/>
      <c r="M191" s="96"/>
      <c r="N191" s="96"/>
      <c r="X191" s="129" t="s">
        <v>55</v>
      </c>
      <c r="Y191" s="130" t="s">
        <v>51</v>
      </c>
      <c r="Z191" s="338">
        <v>0.33</v>
      </c>
      <c r="AB191" s="120"/>
      <c r="AC191" s="96"/>
      <c r="AD191" s="96"/>
      <c r="AE191" s="96"/>
      <c r="AF191" s="96"/>
      <c r="AG191" s="96"/>
      <c r="AH191" s="96"/>
      <c r="AI191" s="96"/>
      <c r="AJ191" s="96"/>
      <c r="AK191" s="96"/>
      <c r="AL191" s="96"/>
      <c r="AM191" s="96"/>
      <c r="AN191" s="96"/>
      <c r="AO191" s="96"/>
      <c r="AP191" s="140" t="s">
        <v>49</v>
      </c>
      <c r="AQ191" s="334">
        <f>IRR(AC189:AQ189)</f>
        <v>0.40611873140251575</v>
      </c>
      <c r="AR191" s="109"/>
    </row>
    <row r="192" spans="2:44" ht="13.5" thickBot="1">
      <c r="B192" s="129" t="s">
        <v>69</v>
      </c>
      <c r="C192" s="113"/>
      <c r="D192" s="324">
        <f>SUMPRODUCT(C185:C189*1000,E185:E189)</f>
        <v>465766.6666666667</v>
      </c>
      <c r="E192" s="130" t="s">
        <v>53</v>
      </c>
      <c r="F192" s="113"/>
      <c r="G192" s="113"/>
      <c r="H192" s="113"/>
      <c r="I192" s="325"/>
      <c r="J192" s="104"/>
      <c r="K192" s="214"/>
      <c r="L192" s="96"/>
      <c r="M192" s="96"/>
      <c r="N192" s="96"/>
      <c r="AB192" s="129"/>
      <c r="AC192" s="113"/>
      <c r="AD192" s="113"/>
      <c r="AE192" s="113"/>
      <c r="AF192" s="113"/>
      <c r="AG192" s="113"/>
      <c r="AH192" s="113"/>
      <c r="AI192" s="113"/>
      <c r="AJ192" s="113"/>
      <c r="AK192" s="113"/>
      <c r="AL192" s="113"/>
      <c r="AM192" s="113"/>
      <c r="AN192" s="113"/>
      <c r="AO192" s="113"/>
      <c r="AP192" s="335" t="s">
        <v>50</v>
      </c>
      <c r="AQ192" s="336">
        <f>NPV(4.6%,AC189:AQ189)</f>
        <v>272826.5727834754</v>
      </c>
      <c r="AR192" s="114" t="s">
        <v>53</v>
      </c>
    </row>
    <row r="193" spans="4:43" ht="13.5" thickBot="1">
      <c r="D193" s="104"/>
      <c r="E193" s="133"/>
      <c r="I193" s="104"/>
      <c r="J193" s="104"/>
      <c r="K193" s="214"/>
      <c r="L193" s="96"/>
      <c r="M193" s="96"/>
      <c r="N193" s="96"/>
      <c r="AP193" s="182"/>
      <c r="AQ193" s="145"/>
    </row>
    <row r="194" spans="2:14" ht="38.25">
      <c r="B194" s="154"/>
      <c r="C194" s="253" t="s">
        <v>58</v>
      </c>
      <c r="D194" s="327" t="s">
        <v>59</v>
      </c>
      <c r="E194" s="327" t="s">
        <v>32</v>
      </c>
      <c r="F194" s="327" t="s">
        <v>64</v>
      </c>
      <c r="G194" s="328" t="s">
        <v>64</v>
      </c>
      <c r="I194" s="104"/>
      <c r="J194" s="104"/>
      <c r="K194" s="150"/>
      <c r="L194" s="96"/>
      <c r="M194" s="96"/>
      <c r="N194" s="96"/>
    </row>
    <row r="195" spans="2:14" ht="13.5" thickBot="1">
      <c r="B195" s="120"/>
      <c r="C195" s="208" t="s">
        <v>65</v>
      </c>
      <c r="D195" s="208" t="s">
        <v>66</v>
      </c>
      <c r="E195" s="208" t="s">
        <v>60</v>
      </c>
      <c r="F195" s="208" t="s">
        <v>53</v>
      </c>
      <c r="G195" s="329" t="s">
        <v>150</v>
      </c>
      <c r="I195" s="104"/>
      <c r="J195" s="104"/>
      <c r="K195" s="150"/>
      <c r="L195" s="96"/>
      <c r="M195" s="96"/>
      <c r="N195" s="96"/>
    </row>
    <row r="196" spans="2:14" ht="13.5" thickBot="1">
      <c r="B196" s="129" t="s">
        <v>35</v>
      </c>
      <c r="C196" s="130">
        <v>850</v>
      </c>
      <c r="D196" s="130">
        <v>2750</v>
      </c>
      <c r="E196" s="130">
        <v>0</v>
      </c>
      <c r="F196" s="324">
        <f>C196*(D196-E196)-D192</f>
        <v>1871733.3333333333</v>
      </c>
      <c r="G196" s="330">
        <f>F196/Land!$K$6</f>
        <v>3415.5717761557175</v>
      </c>
      <c r="I196" s="104"/>
      <c r="J196" s="104"/>
      <c r="K196" s="150"/>
      <c r="L196" s="96"/>
      <c r="M196" s="96"/>
      <c r="N196" s="96"/>
    </row>
    <row r="197" spans="3:14" ht="13.5" thickBot="1">
      <c r="C197" s="133"/>
      <c r="D197" s="133"/>
      <c r="E197" s="133"/>
      <c r="F197" s="104"/>
      <c r="I197" s="104"/>
      <c r="J197" s="104"/>
      <c r="K197" s="150"/>
      <c r="L197" s="96"/>
      <c r="M197" s="96"/>
      <c r="N197" s="96"/>
    </row>
    <row r="198" spans="2:14" ht="12.75">
      <c r="B198" s="339" t="s">
        <v>251</v>
      </c>
      <c r="C198" s="254"/>
      <c r="D198" s="133"/>
      <c r="E198" s="133"/>
      <c r="F198" s="104"/>
      <c r="I198" s="104"/>
      <c r="J198" s="104"/>
      <c r="K198" s="150"/>
      <c r="L198" s="96"/>
      <c r="M198" s="96"/>
      <c r="N198" s="96"/>
    </row>
    <row r="199" spans="2:14" ht="12.75">
      <c r="B199" s="120" t="s">
        <v>70</v>
      </c>
      <c r="C199" s="242">
        <v>225</v>
      </c>
      <c r="D199" s="133"/>
      <c r="E199" s="133"/>
      <c r="F199" s="104"/>
      <c r="I199" s="104"/>
      <c r="J199" s="104"/>
      <c r="K199" s="150"/>
      <c r="L199" s="96"/>
      <c r="M199" s="96"/>
      <c r="N199" s="96"/>
    </row>
    <row r="200" spans="2:14" ht="13.5" thickBot="1">
      <c r="B200" s="129" t="s">
        <v>71</v>
      </c>
      <c r="C200" s="264">
        <v>8.5</v>
      </c>
      <c r="D200" s="133"/>
      <c r="E200" s="133"/>
      <c r="F200" s="104"/>
      <c r="I200" s="104"/>
      <c r="J200" s="104"/>
      <c r="K200" s="150"/>
      <c r="L200" s="96"/>
      <c r="M200" s="96"/>
      <c r="N200" s="96"/>
    </row>
    <row r="201" spans="2:14" ht="12.75">
      <c r="B201" s="96"/>
      <c r="C201" s="121"/>
      <c r="D201" s="133"/>
      <c r="E201" s="133"/>
      <c r="F201" s="104"/>
      <c r="I201" s="104"/>
      <c r="J201" s="104"/>
      <c r="K201" s="150"/>
      <c r="L201" s="96"/>
      <c r="M201" s="96"/>
      <c r="N201" s="96"/>
    </row>
    <row r="202" spans="2:14" ht="13.5" thickBot="1">
      <c r="B202" s="215" t="s">
        <v>149</v>
      </c>
      <c r="C202" s="133"/>
      <c r="D202" s="133"/>
      <c r="E202" s="133"/>
      <c r="F202" s="104"/>
      <c r="M202" s="96"/>
      <c r="N202" s="96"/>
    </row>
    <row r="203" spans="2:21" s="202" customFormat="1" ht="38.25">
      <c r="B203" s="347"/>
      <c r="C203" s="348" t="s">
        <v>24</v>
      </c>
      <c r="D203" s="348" t="s">
        <v>85</v>
      </c>
      <c r="E203" s="288" t="s">
        <v>147</v>
      </c>
      <c r="F203" s="288" t="s">
        <v>17</v>
      </c>
      <c r="G203" s="367" t="s">
        <v>2</v>
      </c>
      <c r="H203" s="349"/>
      <c r="I203" s="349"/>
      <c r="J203" s="349"/>
      <c r="K203" s="349"/>
      <c r="L203" s="349"/>
      <c r="M203" s="349"/>
      <c r="N203" s="349"/>
      <c r="O203" s="349"/>
      <c r="P203" s="349"/>
      <c r="Q203" s="349"/>
      <c r="R203" s="349"/>
      <c r="S203" s="349"/>
      <c r="T203" s="349"/>
      <c r="U203" s="350"/>
    </row>
    <row r="204" spans="1:21" s="285" customFormat="1" ht="25.5" customHeight="1">
      <c r="A204" s="290"/>
      <c r="B204" s="374" t="s">
        <v>154</v>
      </c>
      <c r="C204" s="375"/>
      <c r="D204" s="375"/>
      <c r="E204" s="290"/>
      <c r="F204" s="376"/>
      <c r="G204" s="368">
        <v>1</v>
      </c>
      <c r="H204" s="290">
        <v>2</v>
      </c>
      <c r="I204" s="290">
        <v>3</v>
      </c>
      <c r="J204" s="290">
        <v>4</v>
      </c>
      <c r="K204" s="290">
        <v>5</v>
      </c>
      <c r="L204" s="290">
        <v>6</v>
      </c>
      <c r="M204" s="290">
        <v>7</v>
      </c>
      <c r="N204" s="290">
        <v>8</v>
      </c>
      <c r="O204" s="290">
        <v>9</v>
      </c>
      <c r="P204" s="290">
        <v>10</v>
      </c>
      <c r="Q204" s="290">
        <v>11</v>
      </c>
      <c r="R204" s="290">
        <v>12</v>
      </c>
      <c r="S204" s="290">
        <v>13</v>
      </c>
      <c r="T204" s="290">
        <v>14</v>
      </c>
      <c r="U204" s="291">
        <v>15</v>
      </c>
    </row>
    <row r="205" spans="2:23" ht="12.75">
      <c r="B205" s="241"/>
      <c r="C205" s="121" t="s">
        <v>25</v>
      </c>
      <c r="D205" s="150">
        <f>L176</f>
        <v>240</v>
      </c>
      <c r="E205" s="121" t="s">
        <v>36</v>
      </c>
      <c r="F205" s="121" t="s">
        <v>155</v>
      </c>
      <c r="G205" s="369">
        <f aca="true" t="shared" si="20" ref="G205:U205">$D$205*AC190</f>
        <v>-28121.368831764332</v>
      </c>
      <c r="H205" s="135">
        <f t="shared" si="20"/>
        <v>8666.952336118879</v>
      </c>
      <c r="I205" s="135">
        <f t="shared" si="20"/>
        <v>8666.952336118879</v>
      </c>
      <c r="J205" s="135">
        <f t="shared" si="20"/>
        <v>8666.952336118879</v>
      </c>
      <c r="K205" s="135">
        <f t="shared" si="20"/>
        <v>8666.952336118879</v>
      </c>
      <c r="L205" s="135">
        <f t="shared" si="20"/>
        <v>8666.952336118879</v>
      </c>
      <c r="M205" s="135">
        <f t="shared" si="20"/>
        <v>57937.02532881961</v>
      </c>
      <c r="N205" s="135">
        <f t="shared" si="20"/>
        <v>8666.952336118879</v>
      </c>
      <c r="O205" s="135">
        <f t="shared" si="20"/>
        <v>8666.952336118879</v>
      </c>
      <c r="P205" s="135">
        <f t="shared" si="20"/>
        <v>8666.952336118879</v>
      </c>
      <c r="Q205" s="135">
        <f t="shared" si="20"/>
        <v>8666.952336118879</v>
      </c>
      <c r="R205" s="135">
        <f t="shared" si="20"/>
        <v>8666.952336118879</v>
      </c>
      <c r="S205" s="135">
        <f t="shared" si="20"/>
        <v>8666.952336118879</v>
      </c>
      <c r="T205" s="135">
        <f t="shared" si="20"/>
        <v>57937.02532881961</v>
      </c>
      <c r="U205" s="165">
        <f t="shared" si="20"/>
        <v>8666.952336118879</v>
      </c>
      <c r="W205" s="145"/>
    </row>
    <row r="206" spans="2:23" ht="12.75">
      <c r="B206" s="120"/>
      <c r="C206" s="121" t="s">
        <v>26</v>
      </c>
      <c r="D206" s="150">
        <f>L177</f>
        <v>360</v>
      </c>
      <c r="E206" s="121" t="s">
        <v>84</v>
      </c>
      <c r="F206" s="121" t="s">
        <v>155</v>
      </c>
      <c r="G206" s="370">
        <f aca="true" t="shared" si="21" ref="G206:U206">$D$206*$I$190</f>
        <v>131668.2539854252</v>
      </c>
      <c r="H206" s="216">
        <f t="shared" si="21"/>
        <v>131668.2539854252</v>
      </c>
      <c r="I206" s="216">
        <f t="shared" si="21"/>
        <v>131668.2539854252</v>
      </c>
      <c r="J206" s="216">
        <f t="shared" si="21"/>
        <v>131668.2539854252</v>
      </c>
      <c r="K206" s="216">
        <f t="shared" si="21"/>
        <v>131668.2539854252</v>
      </c>
      <c r="L206" s="216">
        <f t="shared" si="21"/>
        <v>131668.2539854252</v>
      </c>
      <c r="M206" s="216">
        <f t="shared" si="21"/>
        <v>131668.2539854252</v>
      </c>
      <c r="N206" s="216">
        <f t="shared" si="21"/>
        <v>131668.2539854252</v>
      </c>
      <c r="O206" s="216">
        <f t="shared" si="21"/>
        <v>131668.2539854252</v>
      </c>
      <c r="P206" s="216">
        <f t="shared" si="21"/>
        <v>131668.2539854252</v>
      </c>
      <c r="Q206" s="216">
        <f t="shared" si="21"/>
        <v>131668.2539854252</v>
      </c>
      <c r="R206" s="216">
        <f t="shared" si="21"/>
        <v>131668.2539854252</v>
      </c>
      <c r="S206" s="216">
        <f t="shared" si="21"/>
        <v>131668.2539854252</v>
      </c>
      <c r="T206" s="216">
        <f t="shared" si="21"/>
        <v>131668.2539854252</v>
      </c>
      <c r="U206" s="340">
        <f t="shared" si="21"/>
        <v>131668.2539854252</v>
      </c>
      <c r="W206" s="145"/>
    </row>
    <row r="207" spans="2:23" ht="12.75">
      <c r="B207" s="120"/>
      <c r="C207" s="121" t="s">
        <v>27</v>
      </c>
      <c r="D207" s="150">
        <f>L178</f>
        <v>600</v>
      </c>
      <c r="E207" s="121" t="s">
        <v>35</v>
      </c>
      <c r="F207" s="121" t="s">
        <v>155</v>
      </c>
      <c r="G207" s="370"/>
      <c r="H207" s="216"/>
      <c r="I207" s="216"/>
      <c r="J207" s="216"/>
      <c r="K207" s="135">
        <f>G196*D207</f>
        <v>2049343.0656934306</v>
      </c>
      <c r="L207" s="135"/>
      <c r="M207" s="135"/>
      <c r="N207" s="135"/>
      <c r="O207" s="135"/>
      <c r="P207" s="135">
        <f>K207</f>
        <v>2049343.0656934306</v>
      </c>
      <c r="Q207" s="135"/>
      <c r="R207" s="135"/>
      <c r="S207" s="135"/>
      <c r="T207" s="135"/>
      <c r="U207" s="165">
        <f>P207</f>
        <v>2049343.0656934306</v>
      </c>
      <c r="W207" s="145"/>
    </row>
    <row r="208" spans="2:21" s="116" customFormat="1" ht="12.75">
      <c r="B208" s="120" t="s">
        <v>153</v>
      </c>
      <c r="C208" s="121"/>
      <c r="D208" s="227"/>
      <c r="E208" s="136"/>
      <c r="F208" s="121"/>
      <c r="G208" s="371"/>
      <c r="H208" s="136"/>
      <c r="I208" s="136"/>
      <c r="J208" s="136"/>
      <c r="K208" s="136"/>
      <c r="L208" s="136"/>
      <c r="M208" s="136"/>
      <c r="N208" s="136"/>
      <c r="O208" s="136"/>
      <c r="P208" s="136"/>
      <c r="Q208" s="136"/>
      <c r="R208" s="136"/>
      <c r="S208" s="136"/>
      <c r="T208" s="136"/>
      <c r="U208" s="341"/>
    </row>
    <row r="209" spans="2:21" s="116" customFormat="1" ht="12.75">
      <c r="B209" s="342"/>
      <c r="C209" s="121" t="s">
        <v>25</v>
      </c>
      <c r="D209" s="136">
        <f>M176</f>
        <v>390</v>
      </c>
      <c r="E209" s="121" t="s">
        <v>36</v>
      </c>
      <c r="F209" s="121" t="s">
        <v>155</v>
      </c>
      <c r="G209" s="371"/>
      <c r="H209" s="168">
        <f aca="true" t="shared" si="22" ref="H209:U209">$D$209*AC190</f>
        <v>-45697.22435161704</v>
      </c>
      <c r="I209" s="168">
        <f t="shared" si="22"/>
        <v>14083.797546193176</v>
      </c>
      <c r="J209" s="168">
        <f t="shared" si="22"/>
        <v>14083.797546193176</v>
      </c>
      <c r="K209" s="168">
        <f t="shared" si="22"/>
        <v>14083.797546193176</v>
      </c>
      <c r="L209" s="168">
        <f t="shared" si="22"/>
        <v>14083.797546193176</v>
      </c>
      <c r="M209" s="168">
        <f t="shared" si="22"/>
        <v>14083.797546193176</v>
      </c>
      <c r="N209" s="168">
        <f t="shared" si="22"/>
        <v>94147.66615933187</v>
      </c>
      <c r="O209" s="168">
        <f t="shared" si="22"/>
        <v>14083.797546193176</v>
      </c>
      <c r="P209" s="168">
        <f t="shared" si="22"/>
        <v>14083.797546193176</v>
      </c>
      <c r="Q209" s="168">
        <f t="shared" si="22"/>
        <v>14083.797546193176</v>
      </c>
      <c r="R209" s="168">
        <f t="shared" si="22"/>
        <v>14083.797546193176</v>
      </c>
      <c r="S209" s="168">
        <f t="shared" si="22"/>
        <v>14083.797546193176</v>
      </c>
      <c r="T209" s="168">
        <f t="shared" si="22"/>
        <v>14083.797546193176</v>
      </c>
      <c r="U209" s="170">
        <f t="shared" si="22"/>
        <v>94147.66615933187</v>
      </c>
    </row>
    <row r="210" spans="2:21" s="116" customFormat="1" ht="12.75">
      <c r="B210" s="343"/>
      <c r="C210" s="121" t="s">
        <v>26</v>
      </c>
      <c r="D210" s="136">
        <f>M177</f>
        <v>585</v>
      </c>
      <c r="E210" s="121" t="s">
        <v>84</v>
      </c>
      <c r="F210" s="121" t="s">
        <v>155</v>
      </c>
      <c r="G210" s="371"/>
      <c r="H210" s="168">
        <f aca="true" t="shared" si="23" ref="H210:U210">$D$210*$I$190</f>
        <v>213960.91272631593</v>
      </c>
      <c r="I210" s="168">
        <f t="shared" si="23"/>
        <v>213960.91272631593</v>
      </c>
      <c r="J210" s="168">
        <f t="shared" si="23"/>
        <v>213960.91272631593</v>
      </c>
      <c r="K210" s="168">
        <f t="shared" si="23"/>
        <v>213960.91272631593</v>
      </c>
      <c r="L210" s="168">
        <f t="shared" si="23"/>
        <v>213960.91272631593</v>
      </c>
      <c r="M210" s="168">
        <f t="shared" si="23"/>
        <v>213960.91272631593</v>
      </c>
      <c r="N210" s="168">
        <f t="shared" si="23"/>
        <v>213960.91272631593</v>
      </c>
      <c r="O210" s="168">
        <f t="shared" si="23"/>
        <v>213960.91272631593</v>
      </c>
      <c r="P210" s="168">
        <f t="shared" si="23"/>
        <v>213960.91272631593</v>
      </c>
      <c r="Q210" s="168">
        <f t="shared" si="23"/>
        <v>213960.91272631593</v>
      </c>
      <c r="R210" s="168">
        <f t="shared" si="23"/>
        <v>213960.91272631593</v>
      </c>
      <c r="S210" s="168">
        <f t="shared" si="23"/>
        <v>213960.91272631593</v>
      </c>
      <c r="T210" s="168">
        <f t="shared" si="23"/>
        <v>213960.91272631593</v>
      </c>
      <c r="U210" s="170">
        <f t="shared" si="23"/>
        <v>213960.91272631593</v>
      </c>
    </row>
    <row r="211" spans="2:21" s="116" customFormat="1" ht="12.75">
      <c r="B211" s="342"/>
      <c r="C211" s="121" t="s">
        <v>27</v>
      </c>
      <c r="D211" s="136">
        <f>M178</f>
        <v>975</v>
      </c>
      <c r="E211" s="121" t="s">
        <v>35</v>
      </c>
      <c r="F211" s="121" t="s">
        <v>155</v>
      </c>
      <c r="G211" s="372"/>
      <c r="H211" s="168"/>
      <c r="I211" s="168"/>
      <c r="J211" s="168"/>
      <c r="K211" s="168"/>
      <c r="L211" s="168">
        <f>G196*D211</f>
        <v>3330182.4817518247</v>
      </c>
      <c r="M211" s="168"/>
      <c r="N211" s="168"/>
      <c r="O211" s="168"/>
      <c r="P211" s="168"/>
      <c r="Q211" s="168">
        <f>L211</f>
        <v>3330182.4817518247</v>
      </c>
      <c r="R211" s="168"/>
      <c r="S211" s="168"/>
      <c r="T211" s="168"/>
      <c r="U211" s="170"/>
    </row>
    <row r="212" spans="2:21" s="116" customFormat="1" ht="12.75">
      <c r="B212" s="120" t="s">
        <v>152</v>
      </c>
      <c r="C212" s="136"/>
      <c r="D212" s="136"/>
      <c r="E212" s="136"/>
      <c r="F212" s="121"/>
      <c r="G212" s="372"/>
      <c r="H212" s="168"/>
      <c r="I212" s="168"/>
      <c r="J212" s="168"/>
      <c r="K212" s="168"/>
      <c r="L212" s="168"/>
      <c r="M212" s="168"/>
      <c r="N212" s="168"/>
      <c r="O212" s="168"/>
      <c r="P212" s="168"/>
      <c r="Q212" s="168"/>
      <c r="R212" s="168"/>
      <c r="S212" s="168"/>
      <c r="T212" s="168"/>
      <c r="U212" s="170"/>
    </row>
    <row r="213" spans="2:21" s="116" customFormat="1" ht="12.75">
      <c r="B213" s="342"/>
      <c r="C213" s="121" t="s">
        <v>25</v>
      </c>
      <c r="D213" s="136">
        <f>N176</f>
        <v>270</v>
      </c>
      <c r="E213" s="121" t="s">
        <v>36</v>
      </c>
      <c r="F213" s="121" t="s">
        <v>155</v>
      </c>
      <c r="G213" s="372"/>
      <c r="H213" s="168"/>
      <c r="I213" s="168">
        <f aca="true" t="shared" si="24" ref="I213:U213">$D$213*AC190</f>
        <v>-31636.539935734876</v>
      </c>
      <c r="J213" s="168">
        <f t="shared" si="24"/>
        <v>9750.321378133738</v>
      </c>
      <c r="K213" s="168">
        <f t="shared" si="24"/>
        <v>9750.321378133738</v>
      </c>
      <c r="L213" s="168">
        <f t="shared" si="24"/>
        <v>9750.321378133738</v>
      </c>
      <c r="M213" s="168">
        <f t="shared" si="24"/>
        <v>9750.321378133738</v>
      </c>
      <c r="N213" s="168">
        <f t="shared" si="24"/>
        <v>9750.321378133738</v>
      </c>
      <c r="O213" s="168">
        <f t="shared" si="24"/>
        <v>65179.153494922066</v>
      </c>
      <c r="P213" s="168">
        <f t="shared" si="24"/>
        <v>9750.321378133738</v>
      </c>
      <c r="Q213" s="168">
        <f t="shared" si="24"/>
        <v>9750.321378133738</v>
      </c>
      <c r="R213" s="168">
        <f t="shared" si="24"/>
        <v>9750.321378133738</v>
      </c>
      <c r="S213" s="168">
        <f t="shared" si="24"/>
        <v>9750.321378133738</v>
      </c>
      <c r="T213" s="168">
        <f t="shared" si="24"/>
        <v>9750.321378133738</v>
      </c>
      <c r="U213" s="170">
        <f t="shared" si="24"/>
        <v>9750.321378133738</v>
      </c>
    </row>
    <row r="214" spans="2:21" s="116" customFormat="1" ht="12.75">
      <c r="B214" s="342"/>
      <c r="C214" s="121" t="s">
        <v>26</v>
      </c>
      <c r="D214" s="136">
        <f>N177</f>
        <v>405</v>
      </c>
      <c r="E214" s="121" t="s">
        <v>84</v>
      </c>
      <c r="F214" s="121" t="s">
        <v>155</v>
      </c>
      <c r="G214" s="372"/>
      <c r="H214" s="168"/>
      <c r="I214" s="168">
        <f aca="true" t="shared" si="25" ref="I214:U214">$D$214*$I$190</f>
        <v>148126.78573360335</v>
      </c>
      <c r="J214" s="168">
        <f t="shared" si="25"/>
        <v>148126.78573360335</v>
      </c>
      <c r="K214" s="168">
        <f t="shared" si="25"/>
        <v>148126.78573360335</v>
      </c>
      <c r="L214" s="168">
        <f t="shared" si="25"/>
        <v>148126.78573360335</v>
      </c>
      <c r="M214" s="168">
        <f t="shared" si="25"/>
        <v>148126.78573360335</v>
      </c>
      <c r="N214" s="168">
        <f t="shared" si="25"/>
        <v>148126.78573360335</v>
      </c>
      <c r="O214" s="168">
        <f t="shared" si="25"/>
        <v>148126.78573360335</v>
      </c>
      <c r="P214" s="168">
        <f t="shared" si="25"/>
        <v>148126.78573360335</v>
      </c>
      <c r="Q214" s="168">
        <f t="shared" si="25"/>
        <v>148126.78573360335</v>
      </c>
      <c r="R214" s="168">
        <f t="shared" si="25"/>
        <v>148126.78573360335</v>
      </c>
      <c r="S214" s="168">
        <f t="shared" si="25"/>
        <v>148126.78573360335</v>
      </c>
      <c r="T214" s="168">
        <f t="shared" si="25"/>
        <v>148126.78573360335</v>
      </c>
      <c r="U214" s="170">
        <f t="shared" si="25"/>
        <v>148126.78573360335</v>
      </c>
    </row>
    <row r="215" spans="2:21" s="116" customFormat="1" ht="13.5" thickBot="1">
      <c r="B215" s="344"/>
      <c r="C215" s="130" t="s">
        <v>27</v>
      </c>
      <c r="D215" s="180">
        <f>N178</f>
        <v>675</v>
      </c>
      <c r="E215" s="130" t="s">
        <v>35</v>
      </c>
      <c r="F215" s="130" t="s">
        <v>155</v>
      </c>
      <c r="G215" s="373"/>
      <c r="H215" s="345"/>
      <c r="I215" s="345"/>
      <c r="J215" s="345"/>
      <c r="K215" s="345"/>
      <c r="L215" s="345"/>
      <c r="M215" s="345">
        <f>G196*D215</f>
        <v>2305510.9489051094</v>
      </c>
      <c r="N215" s="345"/>
      <c r="O215" s="345"/>
      <c r="P215" s="345"/>
      <c r="Q215" s="345"/>
      <c r="R215" s="345">
        <f>M215</f>
        <v>2305510.9489051094</v>
      </c>
      <c r="S215" s="345"/>
      <c r="T215" s="345"/>
      <c r="U215" s="346"/>
    </row>
    <row r="216" spans="3:21" s="116" customFormat="1" ht="12.75">
      <c r="C216" s="133"/>
      <c r="E216" s="133"/>
      <c r="F216" s="133"/>
      <c r="G216" s="218"/>
      <c r="H216" s="218"/>
      <c r="I216" s="218"/>
      <c r="J216" s="168"/>
      <c r="K216" s="168"/>
      <c r="L216" s="168"/>
      <c r="M216" s="168"/>
      <c r="N216" s="218"/>
      <c r="O216" s="218"/>
      <c r="P216" s="218"/>
      <c r="Q216" s="218"/>
      <c r="R216" s="218"/>
      <c r="S216" s="218"/>
      <c r="T216" s="218"/>
      <c r="U216" s="218"/>
    </row>
    <row r="217" spans="3:21" s="116" customFormat="1" ht="12.75">
      <c r="C217" s="133"/>
      <c r="E217" s="133"/>
      <c r="F217" s="133"/>
      <c r="G217" s="218"/>
      <c r="H217" s="218"/>
      <c r="I217" s="218"/>
      <c r="J217" s="168"/>
      <c r="K217" s="168"/>
      <c r="L217" s="168"/>
      <c r="M217" s="168"/>
      <c r="N217" s="218"/>
      <c r="O217" s="218"/>
      <c r="P217" s="218"/>
      <c r="Q217" s="218"/>
      <c r="R217" s="218"/>
      <c r="S217" s="218"/>
      <c r="T217" s="218"/>
      <c r="U217" s="218"/>
    </row>
    <row r="218" spans="3:21" s="116" customFormat="1" ht="12.75">
      <c r="C218" s="133"/>
      <c r="E218" s="133"/>
      <c r="F218" s="133"/>
      <c r="G218" s="218"/>
      <c r="H218" s="218"/>
      <c r="I218" s="218"/>
      <c r="J218" s="168"/>
      <c r="K218" s="168"/>
      <c r="L218" s="168"/>
      <c r="M218" s="168"/>
      <c r="N218" s="218"/>
      <c r="O218" s="218"/>
      <c r="P218" s="218"/>
      <c r="Q218" s="218"/>
      <c r="R218" s="218"/>
      <c r="S218" s="218"/>
      <c r="T218" s="218"/>
      <c r="U218" s="218"/>
    </row>
    <row r="219" spans="2:13" s="116" customFormat="1" ht="13.5" thickBot="1">
      <c r="B219" s="219"/>
      <c r="J219" s="136"/>
      <c r="K219" s="136"/>
      <c r="L219" s="136"/>
      <c r="M219" s="136"/>
    </row>
    <row r="220" spans="2:21" s="233" customFormat="1" ht="13.5" thickBot="1">
      <c r="B220" s="399" t="s">
        <v>156</v>
      </c>
      <c r="C220" s="400"/>
      <c r="D220" s="400"/>
      <c r="E220" s="400"/>
      <c r="F220" s="401" t="s">
        <v>155</v>
      </c>
      <c r="G220" s="402">
        <f aca="true" t="shared" si="26" ref="G220:U220">SUM(G205:G219)*$F$7</f>
        <v>103546.88515366087</v>
      </c>
      <c r="H220" s="402">
        <f t="shared" si="26"/>
        <v>308598.894696243</v>
      </c>
      <c r="I220" s="402">
        <f t="shared" si="26"/>
        <v>484870.1623919216</v>
      </c>
      <c r="J220" s="402">
        <f t="shared" si="26"/>
        <v>526257.0237057903</v>
      </c>
      <c r="K220" s="402">
        <f t="shared" si="26"/>
        <v>2575600.089399221</v>
      </c>
      <c r="L220" s="402">
        <f t="shared" si="26"/>
        <v>3856439.505457615</v>
      </c>
      <c r="M220" s="402">
        <f t="shared" si="26"/>
        <v>2881038.0456036003</v>
      </c>
      <c r="N220" s="402">
        <f t="shared" si="26"/>
        <v>606320.8923189288</v>
      </c>
      <c r="O220" s="402">
        <f t="shared" si="26"/>
        <v>581685.8558225785</v>
      </c>
      <c r="P220" s="402">
        <f t="shared" si="26"/>
        <v>2575600.089399221</v>
      </c>
      <c r="Q220" s="402">
        <f t="shared" si="26"/>
        <v>3856439.505457615</v>
      </c>
      <c r="R220" s="402">
        <f t="shared" si="26"/>
        <v>2831767.9726108997</v>
      </c>
      <c r="S220" s="402">
        <f t="shared" si="26"/>
        <v>526257.0237057903</v>
      </c>
      <c r="T220" s="402">
        <f t="shared" si="26"/>
        <v>575527.0966984909</v>
      </c>
      <c r="U220" s="403">
        <f t="shared" si="26"/>
        <v>2655663.9580123597</v>
      </c>
    </row>
    <row r="221" spans="6:21" s="116" customFormat="1" ht="12.75">
      <c r="F221" s="353"/>
      <c r="G221" s="218"/>
      <c r="H221" s="218"/>
      <c r="I221" s="218"/>
      <c r="J221" s="218"/>
      <c r="K221" s="218"/>
      <c r="L221" s="218"/>
      <c r="M221" s="218"/>
      <c r="N221" s="218"/>
      <c r="O221" s="218"/>
      <c r="P221" s="218"/>
      <c r="Q221" s="218"/>
      <c r="R221" s="218"/>
      <c r="S221" s="218"/>
      <c r="T221" s="218"/>
      <c r="U221" s="218"/>
    </row>
    <row r="222" spans="10:13" s="116" customFormat="1" ht="12.75">
      <c r="J222" s="136"/>
      <c r="K222" s="136"/>
      <c r="L222" s="136"/>
      <c r="M222" s="136"/>
    </row>
    <row r="223" spans="2:13" s="116" customFormat="1" ht="15.75">
      <c r="B223" s="352" t="s">
        <v>255</v>
      </c>
      <c r="J223" s="136"/>
      <c r="K223" s="136"/>
      <c r="L223" s="136"/>
      <c r="M223" s="136"/>
    </row>
    <row r="224" spans="10:13" s="116" customFormat="1" ht="13.5" thickBot="1">
      <c r="J224" s="136"/>
      <c r="K224" s="136"/>
      <c r="L224" s="136"/>
      <c r="M224" s="136"/>
    </row>
    <row r="225" spans="2:21" s="116" customFormat="1" ht="12.75">
      <c r="B225" s="354" t="s">
        <v>157</v>
      </c>
      <c r="C225" s="355"/>
      <c r="D225" s="355"/>
      <c r="E225" s="355"/>
      <c r="F225" s="253" t="s">
        <v>155</v>
      </c>
      <c r="G225" s="356">
        <f aca="true" t="shared" si="27" ref="G225:U225">H55+H56+H89+H150+G220</f>
        <v>103546.88515366087</v>
      </c>
      <c r="H225" s="356">
        <f t="shared" si="27"/>
        <v>1655455.801297049</v>
      </c>
      <c r="I225" s="356">
        <f t="shared" si="27"/>
        <v>3031054.001761242</v>
      </c>
      <c r="J225" s="356">
        <f t="shared" si="27"/>
        <v>3408863.482205142</v>
      </c>
      <c r="K225" s="356">
        <f t="shared" si="27"/>
        <v>4314873.92460155</v>
      </c>
      <c r="L225" s="356">
        <f t="shared" si="27"/>
        <v>7194952.042190958</v>
      </c>
      <c r="M225" s="356">
        <f t="shared" si="27"/>
        <v>20915682.769037116</v>
      </c>
      <c r="N225" s="356">
        <f t="shared" si="27"/>
        <v>28993692.99216254</v>
      </c>
      <c r="O225" s="356">
        <f t="shared" si="27"/>
        <v>20959966.380042907</v>
      </c>
      <c r="P225" s="356">
        <f t="shared" si="27"/>
        <v>2575600.089399221</v>
      </c>
      <c r="Q225" s="356">
        <f t="shared" si="27"/>
        <v>3856439.505457615</v>
      </c>
      <c r="R225" s="356">
        <f t="shared" si="27"/>
        <v>2831767.9726108997</v>
      </c>
      <c r="S225" s="356">
        <f t="shared" si="27"/>
        <v>526257.0237057903</v>
      </c>
      <c r="T225" s="356">
        <f t="shared" si="27"/>
        <v>575527.0966984909</v>
      </c>
      <c r="U225" s="357">
        <f t="shared" si="27"/>
        <v>2655663.9580123597</v>
      </c>
    </row>
    <row r="226" spans="2:21" s="116" customFormat="1" ht="12.75">
      <c r="B226" s="342"/>
      <c r="C226" s="136" t="s">
        <v>169</v>
      </c>
      <c r="D226" s="136"/>
      <c r="E226" s="358">
        <v>0.1</v>
      </c>
      <c r="F226" s="121"/>
      <c r="G226" s="220">
        <f aca="true" t="shared" si="28" ref="G226:U226">(1+$E$226)^-(G204-1)</f>
        <v>1</v>
      </c>
      <c r="H226" s="220">
        <f t="shared" si="28"/>
        <v>0.9090909090909091</v>
      </c>
      <c r="I226" s="220">
        <f t="shared" si="28"/>
        <v>0.8264462809917354</v>
      </c>
      <c r="J226" s="220">
        <f t="shared" si="28"/>
        <v>0.7513148009015775</v>
      </c>
      <c r="K226" s="220">
        <f t="shared" si="28"/>
        <v>0.6830134553650705</v>
      </c>
      <c r="L226" s="220">
        <f t="shared" si="28"/>
        <v>0.6209213230591549</v>
      </c>
      <c r="M226" s="220">
        <f t="shared" si="28"/>
        <v>0.5644739300537772</v>
      </c>
      <c r="N226" s="220">
        <f t="shared" si="28"/>
        <v>0.5131581182307065</v>
      </c>
      <c r="O226" s="220">
        <f t="shared" si="28"/>
        <v>0.46650738020973315</v>
      </c>
      <c r="P226" s="220">
        <f t="shared" si="28"/>
        <v>0.42409761837248466</v>
      </c>
      <c r="Q226" s="220">
        <f t="shared" si="28"/>
        <v>0.3855432894295315</v>
      </c>
      <c r="R226" s="220">
        <f t="shared" si="28"/>
        <v>0.3504938994813922</v>
      </c>
      <c r="S226" s="220">
        <f t="shared" si="28"/>
        <v>0.31863081771035656</v>
      </c>
      <c r="T226" s="220">
        <f t="shared" si="28"/>
        <v>0.2896643797366878</v>
      </c>
      <c r="U226" s="359">
        <f t="shared" si="28"/>
        <v>0.26333125430607973</v>
      </c>
    </row>
    <row r="227" spans="2:21" s="116" customFormat="1" ht="12.75">
      <c r="B227" s="342" t="s">
        <v>170</v>
      </c>
      <c r="C227" s="136"/>
      <c r="D227" s="136"/>
      <c r="E227" s="136"/>
      <c r="F227" s="121"/>
      <c r="G227" s="221">
        <f>G225*G226</f>
        <v>103546.88515366087</v>
      </c>
      <c r="H227" s="221">
        <f aca="true" t="shared" si="29" ref="H227:U227">H225*H226</f>
        <v>1504959.8193609535</v>
      </c>
      <c r="I227" s="221">
        <f t="shared" si="29"/>
        <v>2505003.307240695</v>
      </c>
      <c r="J227" s="221">
        <f t="shared" si="29"/>
        <v>2561129.5884336145</v>
      </c>
      <c r="K227" s="221">
        <f t="shared" si="29"/>
        <v>2947116.9487067475</v>
      </c>
      <c r="L227" s="221">
        <f t="shared" si="29"/>
        <v>4467499.141384378</v>
      </c>
      <c r="M227" s="221">
        <f t="shared" si="29"/>
        <v>11806357.65239645</v>
      </c>
      <c r="N227" s="221">
        <f t="shared" si="29"/>
        <v>14878348.93641695</v>
      </c>
      <c r="O227" s="221">
        <f t="shared" si="29"/>
        <v>9777979.0052379</v>
      </c>
      <c r="P227" s="221">
        <f t="shared" si="29"/>
        <v>1092305.8637941682</v>
      </c>
      <c r="Q227" s="221">
        <f t="shared" si="29"/>
        <v>1486824.3724201245</v>
      </c>
      <c r="R227" s="221">
        <f t="shared" si="29"/>
        <v>992517.3991469105</v>
      </c>
      <c r="S227" s="221">
        <f t="shared" si="29"/>
        <v>167681.70578919444</v>
      </c>
      <c r="T227" s="221">
        <f t="shared" si="29"/>
        <v>166709.6994868251</v>
      </c>
      <c r="U227" s="360">
        <f t="shared" si="29"/>
        <v>699319.321078843</v>
      </c>
    </row>
    <row r="228" spans="2:21" s="116" customFormat="1" ht="12.75">
      <c r="B228" s="342"/>
      <c r="C228" s="136"/>
      <c r="D228" s="136"/>
      <c r="E228" s="136"/>
      <c r="F228" s="121"/>
      <c r="G228" s="222"/>
      <c r="H228" s="222"/>
      <c r="I228" s="222"/>
      <c r="J228" s="222"/>
      <c r="K228" s="222"/>
      <c r="L228" s="222"/>
      <c r="M228" s="222"/>
      <c r="N228" s="222"/>
      <c r="O228" s="222"/>
      <c r="P228" s="222"/>
      <c r="Q228" s="222"/>
      <c r="R228" s="222"/>
      <c r="S228" s="222"/>
      <c r="T228" s="222"/>
      <c r="U228" s="361"/>
    </row>
    <row r="229" spans="2:21" s="116" customFormat="1" ht="12.75">
      <c r="B229" s="342"/>
      <c r="C229" s="136"/>
      <c r="D229" s="136"/>
      <c r="E229" s="136"/>
      <c r="F229" s="136"/>
      <c r="G229" s="136"/>
      <c r="H229" s="136"/>
      <c r="I229" s="136"/>
      <c r="J229" s="136"/>
      <c r="K229" s="136"/>
      <c r="L229" s="136"/>
      <c r="M229" s="136"/>
      <c r="N229" s="136"/>
      <c r="O229" s="136"/>
      <c r="P229" s="136"/>
      <c r="Q229" s="136"/>
      <c r="R229" s="136"/>
      <c r="S229" s="136"/>
      <c r="T229" s="136"/>
      <c r="U229" s="341"/>
    </row>
    <row r="230" spans="2:21" ht="12.75">
      <c r="B230" s="120" t="s">
        <v>158</v>
      </c>
      <c r="C230" s="96"/>
      <c r="D230" s="96"/>
      <c r="E230" s="96"/>
      <c r="F230" s="121" t="s">
        <v>155</v>
      </c>
      <c r="G230" s="135">
        <f>G225-D14</f>
        <v>-8396453.11484634</v>
      </c>
      <c r="H230" s="135">
        <f>H225-E14</f>
        <v>-17324544.19870295</v>
      </c>
      <c r="I230" s="135">
        <f>I225-F14</f>
        <v>-12968945.998238757</v>
      </c>
      <c r="J230" s="135">
        <f>J225-G14</f>
        <v>-10591136.517794859</v>
      </c>
      <c r="K230" s="135">
        <f>K225-H14</f>
        <v>-5465126.07539845</v>
      </c>
      <c r="L230" s="135">
        <f>L225</f>
        <v>7194952.042190958</v>
      </c>
      <c r="M230" s="135">
        <f aca="true" t="shared" si="30" ref="M230:U230">M225</f>
        <v>20915682.769037116</v>
      </c>
      <c r="N230" s="135">
        <f t="shared" si="30"/>
        <v>28993692.99216254</v>
      </c>
      <c r="O230" s="135">
        <f t="shared" si="30"/>
        <v>20959966.380042907</v>
      </c>
      <c r="P230" s="135">
        <f t="shared" si="30"/>
        <v>2575600.089399221</v>
      </c>
      <c r="Q230" s="135">
        <f t="shared" si="30"/>
        <v>3856439.505457615</v>
      </c>
      <c r="R230" s="135">
        <f t="shared" si="30"/>
        <v>2831767.9726108997</v>
      </c>
      <c r="S230" s="135">
        <f t="shared" si="30"/>
        <v>526257.0237057903</v>
      </c>
      <c r="T230" s="135">
        <f t="shared" si="30"/>
        <v>575527.0966984909</v>
      </c>
      <c r="U230" s="165">
        <f t="shared" si="30"/>
        <v>2655663.9580123597</v>
      </c>
    </row>
    <row r="231" spans="2:21" ht="12.75">
      <c r="B231" s="120"/>
      <c r="C231" s="96"/>
      <c r="D231" s="96"/>
      <c r="E231" s="96"/>
      <c r="F231" s="96"/>
      <c r="G231" s="135"/>
      <c r="H231" s="135"/>
      <c r="I231" s="135"/>
      <c r="J231" s="135"/>
      <c r="K231" s="135"/>
      <c r="L231" s="135"/>
      <c r="M231" s="135"/>
      <c r="N231" s="135"/>
      <c r="O231" s="135"/>
      <c r="P231" s="135"/>
      <c r="Q231" s="135"/>
      <c r="R231" s="135"/>
      <c r="S231" s="135"/>
      <c r="T231" s="135"/>
      <c r="U231" s="165"/>
    </row>
    <row r="232" spans="2:21" ht="13.5" thickBot="1">
      <c r="B232" s="129" t="s">
        <v>159</v>
      </c>
      <c r="C232" s="113"/>
      <c r="D232" s="113"/>
      <c r="E232" s="113"/>
      <c r="F232" s="130" t="s">
        <v>155</v>
      </c>
      <c r="G232" s="362">
        <f>G225-D17</f>
        <v>-5791546.465673207</v>
      </c>
      <c r="H232" s="362">
        <f>H225-E17</f>
        <v>-10939637.54952982</v>
      </c>
      <c r="I232" s="362">
        <f>I225-F17</f>
        <v>-7864039.349065627</v>
      </c>
      <c r="J232" s="362">
        <f>J225-G17</f>
        <v>-5886229.868621727</v>
      </c>
      <c r="K232" s="362">
        <f>K225-H17</f>
        <v>-1980219.4262253176</v>
      </c>
      <c r="L232" s="362">
        <f>L225</f>
        <v>7194952.042190958</v>
      </c>
      <c r="M232" s="362">
        <f aca="true" t="shared" si="31" ref="M232:U232">M225</f>
        <v>20915682.769037116</v>
      </c>
      <c r="N232" s="362">
        <f t="shared" si="31"/>
        <v>28993692.99216254</v>
      </c>
      <c r="O232" s="362">
        <f t="shared" si="31"/>
        <v>20959966.380042907</v>
      </c>
      <c r="P232" s="362">
        <f t="shared" si="31"/>
        <v>2575600.089399221</v>
      </c>
      <c r="Q232" s="362">
        <f t="shared" si="31"/>
        <v>3856439.505457615</v>
      </c>
      <c r="R232" s="362">
        <f t="shared" si="31"/>
        <v>2831767.9726108997</v>
      </c>
      <c r="S232" s="362">
        <f t="shared" si="31"/>
        <v>526257.0237057903</v>
      </c>
      <c r="T232" s="362">
        <f t="shared" si="31"/>
        <v>575527.0966984909</v>
      </c>
      <c r="U232" s="363">
        <f t="shared" si="31"/>
        <v>2655663.9580123597</v>
      </c>
    </row>
    <row r="233" ht="13.5" thickBot="1"/>
    <row r="234" spans="2:3" ht="18" customHeight="1" thickBot="1">
      <c r="B234" s="364" t="s">
        <v>160</v>
      </c>
      <c r="C234" s="365">
        <f>IRR(G230:U230)</f>
        <v>0.0955922742763718</v>
      </c>
    </row>
    <row r="235" ht="13.5" thickBot="1"/>
    <row r="236" spans="2:3" s="202" customFormat="1" ht="18" customHeight="1" thickBot="1">
      <c r="B236" s="366" t="s">
        <v>161</v>
      </c>
      <c r="C236" s="351">
        <f>IRR(G232:U232)</f>
        <v>0.1996047434115718</v>
      </c>
    </row>
    <row r="240" spans="3:11" ht="12.75">
      <c r="C240" s="432">
        <f>IF('ERR &amp; Sensitivity Analysis'!$I$10="N","Note: Current calculations are based on user input and are not the original MCC estimates.",IF('ERR &amp; Sensitivity Analysis'!$I$11="N","Note: Current calculations are based on user input and are not the original MCC estimates.",0))</f>
        <v>0</v>
      </c>
      <c r="D240" s="432"/>
      <c r="E240" s="432"/>
      <c r="F240" s="432"/>
      <c r="G240" s="432"/>
      <c r="H240" s="432"/>
      <c r="I240" s="432"/>
      <c r="J240" s="432"/>
      <c r="K240" s="432"/>
    </row>
    <row r="285" spans="11:12" ht="12.75">
      <c r="K285" s="96"/>
      <c r="L285" s="96"/>
    </row>
    <row r="286" spans="11:12" ht="12.75">
      <c r="K286" s="96"/>
      <c r="L286" s="96"/>
    </row>
    <row r="287" spans="11:12" ht="12.75">
      <c r="K287" s="96"/>
      <c r="L287" s="96"/>
    </row>
    <row r="288" spans="11:12" ht="12.75">
      <c r="K288" s="96"/>
      <c r="L288" s="96"/>
    </row>
    <row r="289" spans="11:12" ht="12.75">
      <c r="K289" s="96"/>
      <c r="L289" s="96"/>
    </row>
    <row r="290" spans="11:12" ht="12.75">
      <c r="K290" s="96"/>
      <c r="L290" s="96"/>
    </row>
    <row r="291" spans="11:12" ht="12.75">
      <c r="K291" s="96"/>
      <c r="L291" s="96"/>
    </row>
    <row r="292" spans="11:12" ht="12.75">
      <c r="K292" s="96"/>
      <c r="L292" s="96"/>
    </row>
    <row r="293" spans="11:12" ht="12.75">
      <c r="K293" s="96"/>
      <c r="L293" s="96"/>
    </row>
    <row r="294" spans="11:12" ht="12.75">
      <c r="K294" s="96"/>
      <c r="L294" s="96"/>
    </row>
    <row r="295" spans="11:12" ht="12.75">
      <c r="K295" s="96"/>
      <c r="L295" s="96"/>
    </row>
    <row r="296" spans="11:12" ht="12.75">
      <c r="K296" s="96"/>
      <c r="L296" s="96"/>
    </row>
    <row r="297" spans="11:12" ht="12.75">
      <c r="K297" s="96"/>
      <c r="L297" s="96"/>
    </row>
    <row r="298" spans="11:12" ht="12.75">
      <c r="K298" s="96"/>
      <c r="L298" s="96"/>
    </row>
    <row r="299" spans="11:12" ht="12.75">
      <c r="K299" s="96"/>
      <c r="L299" s="96"/>
    </row>
    <row r="300" spans="11:12" ht="12.75">
      <c r="K300" s="96"/>
      <c r="L300" s="96"/>
    </row>
    <row r="301" spans="11:12" ht="12.75">
      <c r="K301" s="96"/>
      <c r="L301" s="96"/>
    </row>
    <row r="302" spans="11:12" ht="12.75">
      <c r="K302" s="96"/>
      <c r="L302" s="96"/>
    </row>
    <row r="303" spans="11:12" ht="12.75">
      <c r="K303" s="96"/>
      <c r="L303" s="96"/>
    </row>
    <row r="304" spans="11:12" ht="12.75">
      <c r="K304" s="96"/>
      <c r="L304" s="96"/>
    </row>
    <row r="305" spans="11:12" ht="12.75">
      <c r="K305" s="96"/>
      <c r="L305" s="96"/>
    </row>
  </sheetData>
  <mergeCells count="25">
    <mergeCell ref="M5:N5"/>
    <mergeCell ref="M6:N6"/>
    <mergeCell ref="B58:J58"/>
    <mergeCell ref="H122:P122"/>
    <mergeCell ref="I95:J95"/>
    <mergeCell ref="C240:K240"/>
    <mergeCell ref="E181:M181"/>
    <mergeCell ref="M95:N95"/>
    <mergeCell ref="C95:D95"/>
    <mergeCell ref="E95:F95"/>
    <mergeCell ref="G95:H95"/>
    <mergeCell ref="G115:H115"/>
    <mergeCell ref="I115:J115"/>
    <mergeCell ref="K115:L115"/>
    <mergeCell ref="K95:L95"/>
    <mergeCell ref="B2:K2"/>
    <mergeCell ref="M115:N115"/>
    <mergeCell ref="E114:F114"/>
    <mergeCell ref="C114:D114"/>
    <mergeCell ref="C115:D115"/>
    <mergeCell ref="E115:F115"/>
    <mergeCell ref="M114:N114"/>
    <mergeCell ref="K114:L114"/>
    <mergeCell ref="I114:J114"/>
    <mergeCell ref="G114:H114"/>
  </mergeCells>
  <conditionalFormatting sqref="B58 H122 C240 E181 B2">
    <cfRule type="cellIs" priority="1" dxfId="0" operator="equal" stopIfTrue="1">
      <formula>0</formula>
    </cfRule>
    <cfRule type="cellIs" priority="2" dxfId="1" operator="notEqual" stopIfTrue="1">
      <formula>0</formula>
    </cfRule>
  </conditionalFormatting>
  <printOptions/>
  <pageMargins left="0.34" right="0.42" top="1" bottom="1" header="0.5" footer="0.5"/>
  <pageSetup fitToHeight="1" fitToWidth="1" horizontalDpi="600" verticalDpi="600" orientation="landscape" scale="12" r:id="rId3"/>
  <ignoredErrors>
    <ignoredError sqref="D117:N117"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Anderson</dc:creator>
  <cp:keywords/>
  <dc:description>Created on 08/24/07 by renaming "Benin economic analysis v 7.0.xls"</dc:description>
  <cp:lastModifiedBy>Tim Breitbarth</cp:lastModifiedBy>
  <cp:lastPrinted>2005-11-10T15:31:06Z</cp:lastPrinted>
  <dcterms:created xsi:type="dcterms:W3CDTF">2005-07-31T13:39:49Z</dcterms:created>
  <dcterms:modified xsi:type="dcterms:W3CDTF">2008-06-16T16:05:19Z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