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Cover Page" sheetId="1" r:id="rId1"/>
    <sheet name="Index" sheetId="2" r:id="rId2"/>
    <sheet name="Regular Rate BD08" sheetId="3" r:id="rId3"/>
    <sheet name="Nonprofit BD08" sheetId="4" r:id="rId4"/>
    <sheet name="Classroom BD08" sheetId="5" r:id="rId5"/>
    <sheet name="IM FS Incentive " sheetId="6" r:id="rId6"/>
    <sheet name="Outside County" sheetId="7" r:id="rId7"/>
    <sheet name="Within County" sheetId="8" r:id="rId8"/>
    <sheet name="Passthroughs - OC Pcs" sheetId="9" r:id="rId9"/>
    <sheet name="Price % of Cst-Bundle-Contnr." sheetId="10" r:id="rId10"/>
    <sheet name="Passthroughs Within County" sheetId="11" r:id="rId11"/>
    <sheet name="Summary" sheetId="12" r:id="rId12"/>
  </sheets>
  <definedNames>
    <definedName name="_xlnm.Print_Area" localSheetId="4">'Classroom BD08'!$A$1:$I$131</definedName>
    <definedName name="_xlnm.Print_Area" localSheetId="0">'Cover Page'!$A$1:$L$16</definedName>
    <definedName name="_xlnm.Print_Area" localSheetId="3">'Nonprofit BD08'!$A$1:$I$131</definedName>
    <definedName name="_xlnm.Print_Area" localSheetId="6">'Outside County'!$A$3:$J$140</definedName>
    <definedName name="_xlnm.Print_Area" localSheetId="2">'Regular Rate BD08'!$A$1:$I$140</definedName>
    <definedName name="_xlnm.Print_Titles" localSheetId="4">'Classroom BD08'!$3:$3</definedName>
    <definedName name="_xlnm.Print_Titles" localSheetId="3">'Nonprofit BD08'!$3:$3</definedName>
    <definedName name="_xlnm.Print_Titles" localSheetId="6">'Outside County'!$3:$3</definedName>
    <definedName name="_xlnm.Print_Titles" localSheetId="2">'Regular Rate BD08'!$3:$3</definedName>
    <definedName name="Z_8832BA9C_6541_495D_B10E_07D064A9D002_.wvu.PrintArea" localSheetId="4" hidden="1">'Classroom BD08'!$A$3:$J$131</definedName>
    <definedName name="Z_8832BA9C_6541_495D_B10E_07D064A9D002_.wvu.PrintArea" localSheetId="0" hidden="1">'Cover Page'!$A$1:$L$16</definedName>
    <definedName name="Z_8832BA9C_6541_495D_B10E_07D064A9D002_.wvu.PrintArea" localSheetId="3" hidden="1">'Nonprofit BD08'!$A$3:$J$131</definedName>
    <definedName name="Z_8832BA9C_6541_495D_B10E_07D064A9D002_.wvu.PrintArea" localSheetId="6" hidden="1">'Outside County'!$A$3:$J$140</definedName>
    <definedName name="Z_8832BA9C_6541_495D_B10E_07D064A9D002_.wvu.PrintArea" localSheetId="2" hidden="1">'Regular Rate BD08'!$A$3:$I$136</definedName>
    <definedName name="Z_8832BA9C_6541_495D_B10E_07D064A9D002_.wvu.PrintTitles" localSheetId="4" hidden="1">'Classroom BD08'!$3:$3</definedName>
    <definedName name="Z_8832BA9C_6541_495D_B10E_07D064A9D002_.wvu.PrintTitles" localSheetId="3" hidden="1">'Nonprofit BD08'!$3:$3</definedName>
    <definedName name="Z_8832BA9C_6541_495D_B10E_07D064A9D002_.wvu.PrintTitles" localSheetId="6" hidden="1">'Outside County'!$3:$3</definedName>
    <definedName name="Z_8832BA9C_6541_495D_B10E_07D064A9D002_.wvu.PrintTitles" localSheetId="2" hidden="1">'Regular Rate BD08'!$3:$3</definedName>
  </definedNames>
  <calcPr fullCalcOnLoad="1"/>
</workbook>
</file>

<file path=xl/sharedStrings.xml><?xml version="1.0" encoding="utf-8"?>
<sst xmlns="http://schemas.openxmlformats.org/spreadsheetml/2006/main" count="1239" uniqueCount="246">
  <si>
    <t>Rate Element</t>
  </si>
  <si>
    <t>Type</t>
  </si>
  <si>
    <t>Pound Rates</t>
  </si>
  <si>
    <t xml:space="preserve">Advertising Pounds </t>
  </si>
  <si>
    <t>POUNDS</t>
  </si>
  <si>
    <t>Destinating Delivery Unit</t>
  </si>
  <si>
    <t>Destinating SCF</t>
  </si>
  <si>
    <t>Destinating ADC</t>
  </si>
  <si>
    <t>Zones 1&amp;2</t>
  </si>
  <si>
    <t xml:space="preserve">Zone 3 </t>
  </si>
  <si>
    <t xml:space="preserve">Zone 4 </t>
  </si>
  <si>
    <t xml:space="preserve">Zone 5 </t>
  </si>
  <si>
    <t xml:space="preserve">Zone 6 </t>
  </si>
  <si>
    <t xml:space="preserve">Zone 7 </t>
  </si>
  <si>
    <t xml:space="preserve">Zone 8 </t>
  </si>
  <si>
    <t>Editorial Pounds</t>
  </si>
  <si>
    <t>Other (Zone 1&amp;2 and up)</t>
  </si>
  <si>
    <t>PIECE RATES</t>
  </si>
  <si>
    <t>PIECES</t>
  </si>
  <si>
    <t>MIXED ADC BUNDLE PIECES</t>
  </si>
  <si>
    <t>Nonautomation Nonmachinable</t>
  </si>
  <si>
    <t>Nonautomation Machinable</t>
  </si>
  <si>
    <t>Automation Nonmachinable</t>
  </si>
  <si>
    <t>Automation Machinable</t>
  </si>
  <si>
    <t>Automation Letter</t>
  </si>
  <si>
    <t>ADC BUNDLE PIECES</t>
  </si>
  <si>
    <t>SCF/3-DIGIT BUNDLE PIECES</t>
  </si>
  <si>
    <t>5-DIGIT BUNDLE PIECES</t>
  </si>
  <si>
    <t>CARRIER ROUTE BUNDLE PIECES</t>
  </si>
  <si>
    <t>Basic</t>
  </si>
  <si>
    <t>High Density</t>
  </si>
  <si>
    <t>Saturation</t>
  </si>
  <si>
    <t>Firm Bundle</t>
  </si>
  <si>
    <t>PERCENTAGE EDITORIAL DISCOUNT(per-piece)</t>
  </si>
  <si>
    <t>PC DISC</t>
  </si>
  <si>
    <t>BUNDLE RATES</t>
  </si>
  <si>
    <t>BUNDLES</t>
  </si>
  <si>
    <t>Mixed ADC Sack</t>
  </si>
  <si>
    <t>Mixed ADC bundle</t>
  </si>
  <si>
    <t>ADC bundle</t>
  </si>
  <si>
    <t>3-Digit/SCF bundle</t>
  </si>
  <si>
    <t>5-Digit Bundle</t>
  </si>
  <si>
    <t>ADC Sack or Pallet</t>
  </si>
  <si>
    <t>Carrier Route bundle</t>
  </si>
  <si>
    <t>3-Digit/SCF Sack or Pallet</t>
  </si>
  <si>
    <t>5-Digit Sack or Pallet</t>
  </si>
  <si>
    <t>SACK RATES</t>
  </si>
  <si>
    <t>SACKS</t>
  </si>
  <si>
    <t>OSCF Entry</t>
  </si>
  <si>
    <t>OADC Entry</t>
  </si>
  <si>
    <t>ADC Sack</t>
  </si>
  <si>
    <t>OBMC Entry</t>
  </si>
  <si>
    <t>DBMC Entry</t>
  </si>
  <si>
    <t>DADC Entry</t>
  </si>
  <si>
    <t>3-Digit/SCF Sack</t>
  </si>
  <si>
    <t>DSCF Entry</t>
  </si>
  <si>
    <t>5-Digit/Carrier Route Sack</t>
  </si>
  <si>
    <t>DDU Entry</t>
  </si>
  <si>
    <t>PALLET RATES</t>
  </si>
  <si>
    <t>PALLETS</t>
  </si>
  <si>
    <t>ADC Pallet</t>
  </si>
  <si>
    <t>3-Digit/SCF Pallet</t>
  </si>
  <si>
    <t>5-Digit Pallet</t>
  </si>
  <si>
    <t>Calculated Revenue</t>
  </si>
  <si>
    <t>Ride-along Revenue</t>
  </si>
  <si>
    <t>RPN Revenue</t>
  </si>
  <si>
    <t>Total Revenue with Ride-along &amp; RPN</t>
  </si>
  <si>
    <t>Regular Rate</t>
  </si>
  <si>
    <t>Nonprofit</t>
  </si>
  <si>
    <t>Classroom</t>
  </si>
  <si>
    <t>Total</t>
  </si>
  <si>
    <t>DDU</t>
  </si>
  <si>
    <t>DSCF</t>
  </si>
  <si>
    <t>DADC</t>
  </si>
  <si>
    <t>Basic Automation Letters</t>
  </si>
  <si>
    <t>3-Digit Automation Letters</t>
  </si>
  <si>
    <t>5-Digit Automation Letters</t>
  </si>
  <si>
    <t>CR</t>
  </si>
  <si>
    <t>Science of Agriculture</t>
  </si>
  <si>
    <t>Pounds - Volume &amp; Revenue</t>
  </si>
  <si>
    <t>Pieces - Volume &amp; Revenue</t>
  </si>
  <si>
    <t>Bundles - Volume &amp; Revenue</t>
  </si>
  <si>
    <t>Sacks - Volume &amp; Revenue</t>
  </si>
  <si>
    <t>Pallets - Volume &amp; Revenue</t>
  </si>
  <si>
    <t>Preferred rate Discounts</t>
  </si>
  <si>
    <t>Preferred Rate Discount</t>
  </si>
  <si>
    <t xml:space="preserve"> </t>
  </si>
  <si>
    <t>CATEGORY</t>
  </si>
  <si>
    <t>Delivery Unit - Pound Rate</t>
  </si>
  <si>
    <t>General - Pound Rate</t>
  </si>
  <si>
    <t>Basic Nonautomation</t>
  </si>
  <si>
    <t>Automation Flats</t>
  </si>
  <si>
    <t>3-Digit Nonautomation</t>
  </si>
  <si>
    <t>3-Digit Automation Flats</t>
  </si>
  <si>
    <t>5-Digit Nonautomation</t>
  </si>
  <si>
    <t>5-Digit Automation Flats</t>
  </si>
  <si>
    <t>Carrier Route</t>
  </si>
  <si>
    <t>Carrier Route - High Density</t>
  </si>
  <si>
    <t>Carrier Route-Saturation</t>
  </si>
  <si>
    <t>Delivery Office Entry Discount</t>
  </si>
  <si>
    <t>Pieces</t>
  </si>
  <si>
    <t>Pounds</t>
  </si>
  <si>
    <t>Calculated Rev -including DDU Disc</t>
  </si>
  <si>
    <t>Ride-Along Revenue</t>
  </si>
  <si>
    <t>Repositionable Note Revenue</t>
  </si>
  <si>
    <t>Total With Ride-Along&amp; PRN Revenues</t>
  </si>
  <si>
    <t>MADC</t>
  </si>
  <si>
    <t>ADC</t>
  </si>
  <si>
    <t>DBMC</t>
  </si>
  <si>
    <t>Outside County</t>
  </si>
  <si>
    <t>Volume</t>
  </si>
  <si>
    <t>Within County</t>
  </si>
  <si>
    <t>Current Rate</t>
  </si>
  <si>
    <t>New Rate</t>
  </si>
  <si>
    <t>Revenue Current Rates</t>
  </si>
  <si>
    <t>Revenue New Rates</t>
  </si>
  <si>
    <t>Rev/Piece</t>
  </si>
  <si>
    <t>Increase</t>
  </si>
  <si>
    <t>PERCENTAGE EDITORIAL DISCOUNT (per-piece)</t>
  </si>
  <si>
    <t>POUND RATES</t>
  </si>
  <si>
    <t>Periodicals Cap Compliance</t>
  </si>
  <si>
    <t>Summary</t>
  </si>
  <si>
    <r>
      <t>Outside County</t>
    </r>
    <r>
      <rPr>
        <sz val="10"/>
        <rFont val="Arial"/>
        <family val="0"/>
      </rPr>
      <t xml:space="preserve"> - Combined Outside County Cap Calculation </t>
    </r>
  </si>
  <si>
    <r>
      <t>Within County</t>
    </r>
    <r>
      <rPr>
        <sz val="10"/>
        <rFont val="Arial"/>
        <family val="0"/>
      </rPr>
      <t xml:space="preserve"> - Cap Calculation for Within County</t>
    </r>
  </si>
  <si>
    <t>DESCRIPTION OF WORKSHEETS</t>
  </si>
  <si>
    <t>Annual Adoption</t>
  </si>
  <si>
    <t>Total Volume</t>
  </si>
  <si>
    <t>Qualifying Volume</t>
  </si>
  <si>
    <t>Letters</t>
  </si>
  <si>
    <t>Auto Flats</t>
  </si>
  <si>
    <t>CR Basic</t>
  </si>
  <si>
    <t>High Den.</t>
  </si>
  <si>
    <t>Revenue/Piece</t>
  </si>
  <si>
    <t>Workshare Discounts and Benchmarks--Periodicals Outside County Mail</t>
  </si>
  <si>
    <t>Type of Worksharing</t>
  </si>
  <si>
    <t>Benchmark</t>
  </si>
  <si>
    <t>Periodicals Outside County Mail</t>
  </si>
  <si>
    <t>Presorting (dollars / piece)</t>
  </si>
  <si>
    <t>Machinable Nonautomation ADC Flats</t>
  </si>
  <si>
    <t>Machinable Nonautomation MADC Flats</t>
  </si>
  <si>
    <t>Machinable Nonautomation 3D/SCF Flats</t>
  </si>
  <si>
    <t>Machinable Nonautomation 5D Flats</t>
  </si>
  <si>
    <t xml:space="preserve">Saturation                                                                                                          </t>
  </si>
  <si>
    <t>Machinable Automation ADC Flats</t>
  </si>
  <si>
    <t>Machinable Automation MADC Flats</t>
  </si>
  <si>
    <t>Machinable Automation 3D/SCF Flats</t>
  </si>
  <si>
    <t>Machinable Automation 5D Flats</t>
  </si>
  <si>
    <t>Nonmachinable Nonauto ADC Flats</t>
  </si>
  <si>
    <t>Nonmachinable Nonauto MADC Flats</t>
  </si>
  <si>
    <t>Nonmachinable Nonauto 3D/SCF Flats</t>
  </si>
  <si>
    <t>Nonmachinable Nonauto 5D Flats</t>
  </si>
  <si>
    <t>Nonmachinable Automation ADC Flats</t>
  </si>
  <si>
    <t>Nonmachinable Automation MADC Flats</t>
  </si>
  <si>
    <t>Nonmachinable Automation 3D/SCF Flats</t>
  </si>
  <si>
    <t>Nonmachinable Automation 5D Flats</t>
  </si>
  <si>
    <t>Pre-barcoding (dollars / piece)</t>
  </si>
  <si>
    <t>ADC Automation Letter</t>
  </si>
  <si>
    <t>Mixed ADC Automation Letter</t>
  </si>
  <si>
    <t>3-Digit Automation Letter</t>
  </si>
  <si>
    <t>5-Digit Automation Letter</t>
  </si>
  <si>
    <t>Discount / (Surcharge)[1]</t>
  </si>
  <si>
    <t>Passthrough</t>
  </si>
  <si>
    <t>Barcoded Letters</t>
  </si>
  <si>
    <t>Avoided Cost[2]</t>
  </si>
  <si>
    <t>Periodicals Bundle and Container Pricing[1]</t>
  </si>
  <si>
    <t>Bundle Pricing by Container Level</t>
  </si>
  <si>
    <t>Pallet Pricing by Entry Point</t>
  </si>
  <si>
    <t>Container Level</t>
  </si>
  <si>
    <t>Bundle Level</t>
  </si>
  <si>
    <t>Price[2]</t>
  </si>
  <si>
    <t>Bottom-up Cost[3]</t>
  </si>
  <si>
    <t>Price as Percent of Cost</t>
  </si>
  <si>
    <t>Pallet Level</t>
  </si>
  <si>
    <t>Entry Point</t>
  </si>
  <si>
    <t>Price</t>
  </si>
  <si>
    <t>Bottom-up Cost</t>
  </si>
  <si>
    <t>Mixed ADC</t>
  </si>
  <si>
    <t>3-D/SCF</t>
  </si>
  <si>
    <t>5-D</t>
  </si>
  <si>
    <t>5-D/CR</t>
  </si>
  <si>
    <t>Sack Pricing by Entry Point</t>
  </si>
  <si>
    <t>Sack Level</t>
  </si>
  <si>
    <t>OSCF</t>
  </si>
  <si>
    <t>OADC</t>
  </si>
  <si>
    <t>OBMC</t>
  </si>
  <si>
    <t xml:space="preserve">[1]   </t>
  </si>
  <si>
    <t xml:space="preserve">Based on Docket No. R2006-1, PRC-LR-14. Outside County Periodicals bundle and container rates </t>
  </si>
  <si>
    <t>were developed by passing through part of the respective costs, not cost differentials.</t>
  </si>
  <si>
    <t xml:space="preserve">[2] </t>
  </si>
  <si>
    <t xml:space="preserve">[3] </t>
  </si>
  <si>
    <t>[1] Calculated from New Prices - R2009-1</t>
  </si>
  <si>
    <t>Workshare Discounts and Benchmarks--Periodicals Within County Mail</t>
  </si>
  <si>
    <t>Periodicals Within County Mail</t>
  </si>
  <si>
    <t>3-Digit Presort</t>
  </si>
  <si>
    <t>Basic Presort</t>
  </si>
  <si>
    <t>5-Digit Presort</t>
  </si>
  <si>
    <t>Basic Automation Letter</t>
  </si>
  <si>
    <t>Basic Automation Flats</t>
  </si>
  <si>
    <t xml:space="preserve">Basic Nonautomation </t>
  </si>
  <si>
    <t xml:space="preserve">3-Digit Nonautomation </t>
  </si>
  <si>
    <t>5-Digit Nonautomation Flats</t>
  </si>
  <si>
    <t>DDU Dropship</t>
  </si>
  <si>
    <t>All other zones</t>
  </si>
  <si>
    <t>Note:</t>
  </si>
  <si>
    <t>Cost Avoidances are rounded to the same level as rates and discounts</t>
  </si>
  <si>
    <t>Current Prices</t>
  </si>
  <si>
    <t>Revenue Current Prices</t>
  </si>
  <si>
    <t>Adjusted Prices</t>
  </si>
  <si>
    <t>Revenue Adjusted Prices</t>
  </si>
  <si>
    <t>Limited Circulation Discount[1]</t>
  </si>
  <si>
    <t>[1] Limited Circulation discount annualized</t>
  </si>
  <si>
    <t>Partial-year adoption</t>
  </si>
  <si>
    <t>Revenue      Adjusted Prices</t>
  </si>
  <si>
    <t>Docket No. R2009-2</t>
  </si>
  <si>
    <t>Full-Service Adoption Fraction</t>
  </si>
  <si>
    <t>Full-Service Program Implementation Fraction</t>
  </si>
  <si>
    <t>Limited Circulation Preferred Discount</t>
  </si>
  <si>
    <t>[2] USPS-FY08-03 - Revised on February 6, 2009, Resp.CIR2.Qu.7.9.10.11.12</t>
  </si>
  <si>
    <t>Bundle &amp; Container Cost --Source: USPS-FY08-03, Revised: February 6, 2009, Resp.CIR2.Qu.7.9.10.11.12</t>
  </si>
  <si>
    <t>[2] USPS-FY08-03  - Revised on February 6, 2009, Resp.CIR2.Qu.7.9.10.11.12</t>
  </si>
  <si>
    <t>Source of Bundles &amp; Container Prices: Adjusted Prices</t>
  </si>
  <si>
    <t>&amp; Containers</t>
  </si>
  <si>
    <t>Page 1 of 2</t>
  </si>
  <si>
    <t>Page 2 of 2</t>
  </si>
  <si>
    <t>Passthroughs: Bundles</t>
  </si>
  <si>
    <t>Percent Change</t>
  </si>
  <si>
    <t>Volume[1]</t>
  </si>
  <si>
    <t xml:space="preserve">of an error in those Billing Determinants that will be corrected in the Postal Service’s response to Commission’s </t>
  </si>
  <si>
    <t xml:space="preserve">[1] Volumes in this worksheet do not exactly match the Billing Determinants filed with the ACR on Dec. 29, 2008, because </t>
  </si>
  <si>
    <t>Unused Pricing Authority Available Following this Price Change</t>
  </si>
  <si>
    <t>Available Price Change Authority</t>
  </si>
  <si>
    <t>Information Request No. 3, Question 5.</t>
  </si>
  <si>
    <t>Newly Generated Unused Authority</t>
  </si>
  <si>
    <t>Overall Price Adjustment Authority</t>
  </si>
  <si>
    <t>IM FS Incentive</t>
  </si>
  <si>
    <r>
      <t>Regular Rate BD08</t>
    </r>
    <r>
      <rPr>
        <sz val="10"/>
        <rFont val="Arial"/>
        <family val="0"/>
      </rPr>
      <t xml:space="preserve"> - Billing Determinants Data for Regular Rate and calculation of revenue based on current and new prices.</t>
    </r>
  </si>
  <si>
    <r>
      <t>Nonprofit BD08</t>
    </r>
    <r>
      <rPr>
        <sz val="10"/>
        <rFont val="Arial"/>
        <family val="0"/>
      </rPr>
      <t xml:space="preserve"> - Billing Determinants Data for Nonprofit and calculation of revenue based on current and new prices. </t>
    </r>
  </si>
  <si>
    <r>
      <t>Classroom BD08</t>
    </r>
    <r>
      <rPr>
        <sz val="10"/>
        <rFont val="Arial"/>
        <family val="0"/>
      </rPr>
      <t xml:space="preserve"> - Billing Determinants Data for Classroom and calculation of revenue based on current and new prices. </t>
    </r>
  </si>
  <si>
    <r>
      <t>IM FS Incentive</t>
    </r>
    <r>
      <rPr>
        <sz val="10"/>
        <rFont val="Arial"/>
        <family val="0"/>
      </rPr>
      <t xml:space="preserve"> - Calculates the dollar amount for the IM Full Service incentive for qualifying pieces. </t>
    </r>
  </si>
  <si>
    <r>
      <t xml:space="preserve">Passthroughs - OC Pcs </t>
    </r>
    <r>
      <rPr>
        <sz val="10"/>
        <rFont val="Arial"/>
        <family val="2"/>
      </rPr>
      <t>- Calculates passthroughs (discounts divided by avoided costs) for Outside County pieces.</t>
    </r>
  </si>
  <si>
    <r>
      <t>Price % of Cst-Bundle-Contnr.</t>
    </r>
    <r>
      <rPr>
        <sz val="10"/>
        <rFont val="Arial"/>
        <family val="0"/>
      </rPr>
      <t xml:space="preserve"> - Calculates the percent of cost reflected in Bundle, Sack, and Pallet prices</t>
    </r>
  </si>
  <si>
    <r>
      <t xml:space="preserve">Passthroughs - Within County </t>
    </r>
    <r>
      <rPr>
        <sz val="10"/>
        <rFont val="Arial"/>
        <family val="2"/>
      </rPr>
      <t>- Calculates passthroughs (discounts divided by avoided costs) for Within County pieces.</t>
    </r>
  </si>
  <si>
    <r>
      <t>Summary</t>
    </r>
    <r>
      <rPr>
        <sz val="10"/>
        <rFont val="Arial"/>
        <family val="0"/>
      </rPr>
      <t xml:space="preserve"> - Verifies that overall revenue increase does not exceed price adjustment authority.</t>
    </r>
  </si>
  <si>
    <t>IM FS Leakage</t>
  </si>
  <si>
    <t>Periodicals Price Change Authority</t>
  </si>
  <si>
    <t>USPS-R2009-2/3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</si>
</sst>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00"/>
    <numFmt numFmtId="169" formatCode="0.0%"/>
    <numFmt numFmtId="170" formatCode="0.000%"/>
    <numFmt numFmtId="171" formatCode="#,##0.00000000"/>
    <numFmt numFmtId="172" formatCode="#,##0.000000000"/>
    <numFmt numFmtId="173" formatCode="#,##0.0000000000"/>
    <numFmt numFmtId="174" formatCode="_(&quot;$&quot;* #,##0.000_);_(&quot;$&quot;* \(#,##0.000\);_(&quot;$&quot;* &quot;-&quot;??_);_(@_)"/>
    <numFmt numFmtId="175" formatCode="_(* #,##0.000_);_(* \(#,##0.000\);_(* &quot;-&quot;?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,##0.00000000_);\(#,##0.00000000\)"/>
    <numFmt numFmtId="179" formatCode="#,##0.000000000_);\(#,##0.000000000\)"/>
    <numFmt numFmtId="180" formatCode="_(&quot;$&quot;* #,##0.0000_);_(&quot;$&quot;* \(#,##0.0000\);_(&quot;$&quot;* &quot;-&quot;??_);_(@_)"/>
    <numFmt numFmtId="181" formatCode="0.000000%"/>
    <numFmt numFmtId="182" formatCode="#,##0.0_);\(#,##0.0\)"/>
    <numFmt numFmtId="183" formatCode="#,##0.000_);\(#,##0.000\)"/>
    <numFmt numFmtId="184" formatCode="_(* #,##0.000_);_(* \(#,##0.000\);_(* &quot;-&quot;??_);_(@_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&quot;$&quot;* #,##0.00000_);_(&quot;$&quot;* \(#,##0.00000\);_(&quot;$&quot;* &quot;-&quot;??_);_(@_)"/>
    <numFmt numFmtId="191" formatCode="_(&quot;$&quot;* #,##0.000000_);_(&quot;$&quot;* \(#,##0.000000\);_(&quot;$&quot;* &quot;-&quot;??_);_(@_)"/>
    <numFmt numFmtId="192" formatCode="_(&quot;$&quot;* #,##0.0000000_);_(&quot;$&quot;* \(#,##0.0000000\);_(&quot;$&quot;* &quot;-&quot;??_);_(@_)"/>
    <numFmt numFmtId="193" formatCode="_(&quot;$&quot;* #,##0.00000000_);_(&quot;$&quot;* \(#,##0.00000000\);_(&quot;$&quot;* &quot;-&quot;??_);_(@_)"/>
    <numFmt numFmtId="194" formatCode="_(&quot;$&quot;* #,##0.000000000_);_(&quot;$&quot;* \(#,##0.000000000\);_(&quot;$&quot;* &quot;-&quot;??_);_(@_)"/>
    <numFmt numFmtId="195" formatCode="0.0000%"/>
    <numFmt numFmtId="196" formatCode="&quot;$&quot;#,##0.000"/>
    <numFmt numFmtId="197" formatCode="&quot;$&quot;#,##0.000_);[Red]\(&quot;$&quot;#,##0.000\)"/>
    <numFmt numFmtId="198" formatCode="&quot;$&quot;#,##0.000000_);[Red]\(&quot;$&quot;#,##0.000000\)"/>
    <numFmt numFmtId="199" formatCode="&quot;$&quot;#,##0.00"/>
    <numFmt numFmtId="200" formatCode="0.0000"/>
    <numFmt numFmtId="201" formatCode="0.00000"/>
    <numFmt numFmtId="202" formatCode="0.000"/>
    <numFmt numFmtId="203" formatCode="&quot;$&quot;#,##0.0000_);[Red]\(&quot;$&quot;#,##0.0000\)"/>
    <numFmt numFmtId="204" formatCode="&quot;$&quot;#,##0.00000_);[Red]\(&quot;$&quot;#,##0.00000\)"/>
    <numFmt numFmtId="205" formatCode="0.00000%"/>
    <numFmt numFmtId="206" formatCode="_(&quot;$&quot;* #,##0.0000000000_);_(&quot;$&quot;* \(#,##0.0000000000\);_(&quot;$&quot;* &quot;-&quot;??_);_(@_)"/>
    <numFmt numFmtId="207" formatCode="_(&quot;$&quot;* #,##0.00000000000_);_(&quot;$&quot;* \(#,##0.0000000000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6" fontId="0" fillId="0" borderId="0" xfId="15" applyNumberFormat="1" applyAlignment="1">
      <alignment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0" fontId="0" fillId="0" borderId="0" xfId="22" applyNumberFormat="1" applyAlignment="1">
      <alignment/>
    </xf>
    <xf numFmtId="169" fontId="0" fillId="0" borderId="0" xfId="22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74" fontId="0" fillId="0" borderId="0" xfId="17" applyNumberFormat="1" applyAlignment="1">
      <alignment/>
    </xf>
    <xf numFmtId="164" fontId="4" fillId="0" borderId="0" xfId="0" applyNumberFormat="1" applyFont="1" applyAlignment="1">
      <alignment/>
    </xf>
    <xf numFmtId="175" fontId="0" fillId="0" borderId="0" xfId="0" applyNumberFormat="1" applyAlignment="1">
      <alignment/>
    </xf>
    <xf numFmtId="177" fontId="0" fillId="0" borderId="0" xfId="17" applyNumberFormat="1" applyAlignment="1">
      <alignment/>
    </xf>
    <xf numFmtId="177" fontId="0" fillId="0" borderId="0" xfId="0" applyNumberFormat="1" applyAlignment="1">
      <alignment/>
    </xf>
    <xf numFmtId="174" fontId="0" fillId="0" borderId="0" xfId="17" applyNumberFormat="1" applyAlignment="1">
      <alignment/>
    </xf>
    <xf numFmtId="177" fontId="0" fillId="0" borderId="0" xfId="17" applyNumberFormat="1" applyAlignment="1">
      <alignment/>
    </xf>
    <xf numFmtId="166" fontId="0" fillId="0" borderId="0" xfId="15" applyNumberFormat="1" applyAlignment="1">
      <alignment/>
    </xf>
    <xf numFmtId="169" fontId="0" fillId="0" borderId="0" xfId="22" applyNumberFormat="1" applyAlignment="1">
      <alignment/>
    </xf>
    <xf numFmtId="180" fontId="0" fillId="0" borderId="0" xfId="17" applyNumberFormat="1" applyAlignment="1">
      <alignment/>
    </xf>
    <xf numFmtId="18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4" fontId="0" fillId="0" borderId="0" xfId="17" applyNumberFormat="1" applyFont="1" applyAlignment="1">
      <alignment/>
    </xf>
    <xf numFmtId="0" fontId="0" fillId="0" borderId="1" xfId="0" applyBorder="1" applyAlignment="1">
      <alignment horizontal="right"/>
    </xf>
    <xf numFmtId="170" fontId="0" fillId="0" borderId="2" xfId="22" applyNumberFormat="1" applyBorder="1" applyAlignment="1">
      <alignment/>
    </xf>
    <xf numFmtId="191" fontId="0" fillId="0" borderId="0" xfId="17" applyNumberFormat="1" applyFill="1" applyAlignment="1">
      <alignment/>
    </xf>
    <xf numFmtId="191" fontId="0" fillId="0" borderId="0" xfId="17" applyNumberForma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74" fontId="0" fillId="0" borderId="0" xfId="17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0" xfId="17" applyNumberFormat="1" applyFont="1" applyAlignment="1">
      <alignment/>
    </xf>
    <xf numFmtId="177" fontId="0" fillId="0" borderId="0" xfId="17" applyNumberFormat="1" applyFill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74" fontId="0" fillId="0" borderId="0" xfId="17" applyNumberFormat="1" applyFont="1" applyAlignment="1">
      <alignment/>
    </xf>
    <xf numFmtId="10" fontId="0" fillId="0" borderId="0" xfId="0" applyNumberFormat="1" applyAlignment="1">
      <alignment/>
    </xf>
    <xf numFmtId="184" fontId="0" fillId="0" borderId="0" xfId="22" applyNumberFormat="1" applyAlignment="1">
      <alignment/>
    </xf>
    <xf numFmtId="184" fontId="0" fillId="0" borderId="0" xfId="0" applyNumberFormat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196" fontId="4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4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3" fontId="8" fillId="0" borderId="0" xfId="15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97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96" fontId="8" fillId="0" borderId="0" xfId="0" applyNumberFormat="1" applyFont="1" applyBorder="1" applyAlignment="1">
      <alignment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center" wrapText="1"/>
      <protection/>
    </xf>
    <xf numFmtId="0" fontId="7" fillId="0" borderId="0" xfId="21" applyFont="1" applyAlignment="1">
      <alignment horizontal="center"/>
      <protection/>
    </xf>
    <xf numFmtId="197" fontId="7" fillId="0" borderId="0" xfId="0" applyNumberFormat="1" applyFont="1" applyAlignment="1">
      <alignment/>
    </xf>
    <xf numFmtId="174" fontId="8" fillId="0" borderId="0" xfId="17" applyNumberFormat="1" applyFont="1" applyAlignment="1">
      <alignment/>
    </xf>
    <xf numFmtId="43" fontId="0" fillId="0" borderId="0" xfId="15" applyAlignment="1">
      <alignment/>
    </xf>
    <xf numFmtId="191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0" fillId="0" borderId="0" xfId="0" applyFont="1" applyAlignment="1">
      <alignment/>
    </xf>
    <xf numFmtId="177" fontId="0" fillId="0" borderId="0" xfId="22" applyNumberFormat="1" applyAlignment="1">
      <alignment/>
    </xf>
    <xf numFmtId="174" fontId="0" fillId="0" borderId="0" xfId="0" applyNumberFormat="1" applyFill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Alignment="1">
      <alignment/>
    </xf>
    <xf numFmtId="0" fontId="0" fillId="0" borderId="0" xfId="15" applyNumberFormat="1" applyAlignment="1">
      <alignment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t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15"/>
  <sheetViews>
    <sheetView tabSelected="1" workbookViewId="0" topLeftCell="A1">
      <selection activeCell="C8" sqref="C8"/>
    </sheetView>
  </sheetViews>
  <sheetFormatPr defaultColWidth="9.140625" defaultRowHeight="12.75"/>
  <sheetData>
    <row r="6" spans="3:10" ht="20.25">
      <c r="C6" s="82" t="s">
        <v>120</v>
      </c>
      <c r="D6" s="82"/>
      <c r="E6" s="82"/>
      <c r="F6" s="82"/>
      <c r="G6" s="82"/>
      <c r="H6" s="82"/>
      <c r="I6" s="82"/>
      <c r="J6" s="82"/>
    </row>
    <row r="7" spans="3:10" ht="20.25">
      <c r="C7" s="82" t="s">
        <v>245</v>
      </c>
      <c r="D7" s="82"/>
      <c r="E7" s="82"/>
      <c r="F7" s="82"/>
      <c r="G7" s="82"/>
      <c r="H7" s="82"/>
      <c r="I7" s="82"/>
      <c r="J7" s="82"/>
    </row>
    <row r="15" ht="12.75">
      <c r="J15" t="s">
        <v>213</v>
      </c>
    </row>
  </sheetData>
  <mergeCells count="2">
    <mergeCell ref="C6:J6"/>
    <mergeCell ref="C7:J7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zoomScale="75" zoomScaleNormal="75" workbookViewId="0" topLeftCell="A1">
      <selection activeCell="M24" sqref="M24"/>
    </sheetView>
  </sheetViews>
  <sheetFormatPr defaultColWidth="9.140625" defaultRowHeight="12.75"/>
  <cols>
    <col min="1" max="1" width="12.7109375" style="0" customWidth="1"/>
    <col min="2" max="2" width="13.7109375" style="0" customWidth="1"/>
    <col min="3" max="3" width="14.140625" style="0" customWidth="1"/>
    <col min="4" max="4" width="15.57421875" style="0" customWidth="1"/>
    <col min="5" max="5" width="16.140625" style="0" customWidth="1"/>
    <col min="6" max="6" width="4.57421875" style="0" customWidth="1"/>
    <col min="7" max="7" width="10.7109375" style="0" customWidth="1"/>
    <col min="8" max="8" width="11.28125" style="0" customWidth="1"/>
    <col min="9" max="9" width="10.8515625" style="0" customWidth="1"/>
    <col min="10" max="10" width="10.28125" style="0" customWidth="1"/>
    <col min="11" max="11" width="16.421875" style="0" customWidth="1"/>
  </cols>
  <sheetData>
    <row r="1" spans="1:11" ht="15.75">
      <c r="A1" s="55" t="s">
        <v>164</v>
      </c>
      <c r="B1" s="54"/>
      <c r="C1" s="54"/>
      <c r="D1" s="54"/>
      <c r="E1" s="54"/>
      <c r="F1" s="54"/>
      <c r="G1" s="56"/>
      <c r="H1" s="54"/>
      <c r="I1" s="54"/>
      <c r="J1" s="54" t="s">
        <v>224</v>
      </c>
      <c r="K1" s="54"/>
    </row>
    <row r="2" spans="1:11" ht="15">
      <c r="A2" s="54"/>
      <c r="B2" s="54"/>
      <c r="C2" s="54"/>
      <c r="D2" s="54"/>
      <c r="E2" s="54"/>
      <c r="F2" s="54"/>
      <c r="G2" s="56"/>
      <c r="H2" s="54"/>
      <c r="I2" s="54"/>
      <c r="J2" s="54" t="s">
        <v>221</v>
      </c>
      <c r="K2" s="54"/>
    </row>
    <row r="3" spans="1:11" ht="15">
      <c r="A3" s="54"/>
      <c r="B3" s="54"/>
      <c r="C3" s="54"/>
      <c r="D3" s="54"/>
      <c r="E3" s="54"/>
      <c r="F3" s="54"/>
      <c r="G3" s="56"/>
      <c r="H3" s="54"/>
      <c r="I3" s="54"/>
      <c r="J3" s="54" t="s">
        <v>222</v>
      </c>
      <c r="K3" s="54"/>
    </row>
    <row r="4" spans="1:11" ht="15.75">
      <c r="A4" s="55" t="s">
        <v>165</v>
      </c>
      <c r="B4" s="54"/>
      <c r="C4" s="54"/>
      <c r="D4" s="54"/>
      <c r="E4" s="54"/>
      <c r="F4" s="54"/>
      <c r="G4" s="55" t="s">
        <v>166</v>
      </c>
      <c r="H4" s="54"/>
      <c r="I4" s="54"/>
      <c r="J4" s="54"/>
      <c r="K4" s="54"/>
    </row>
    <row r="5" spans="1:11" ht="47.25">
      <c r="A5" s="48" t="s">
        <v>167</v>
      </c>
      <c r="B5" s="48" t="s">
        <v>168</v>
      </c>
      <c r="C5" s="48" t="s">
        <v>169</v>
      </c>
      <c r="D5" s="48" t="s">
        <v>170</v>
      </c>
      <c r="E5" s="48" t="s">
        <v>171</v>
      </c>
      <c r="F5" s="54"/>
      <c r="G5" s="48" t="s">
        <v>172</v>
      </c>
      <c r="H5" s="48" t="s">
        <v>173</v>
      </c>
      <c r="I5" s="48" t="s">
        <v>174</v>
      </c>
      <c r="J5" s="48" t="s">
        <v>175</v>
      </c>
      <c r="K5" s="48" t="s">
        <v>171</v>
      </c>
    </row>
    <row r="6" spans="1:8" ht="15.75">
      <c r="A6" s="55" t="s">
        <v>176</v>
      </c>
      <c r="B6" s="57"/>
      <c r="G6" s="55" t="s">
        <v>107</v>
      </c>
      <c r="H6" s="57"/>
    </row>
    <row r="7" spans="1:11" ht="15.75">
      <c r="A7" s="55"/>
      <c r="B7" s="55" t="s">
        <v>106</v>
      </c>
      <c r="C7" s="62">
        <f>'Outside County'!H60</f>
        <v>0.077</v>
      </c>
      <c r="D7" s="59">
        <f>ROUND(0.172972052319242,3)</f>
        <v>0.173</v>
      </c>
      <c r="E7" s="60">
        <f>+C7/D7</f>
        <v>0.44508670520231214</v>
      </c>
      <c r="G7" s="55"/>
      <c r="H7" s="55" t="s">
        <v>182</v>
      </c>
      <c r="I7" s="61">
        <f>'Outside County'!H107</f>
        <v>28</v>
      </c>
      <c r="J7" s="64">
        <f>ROUND(61.6081390741738,2)</f>
        <v>61.61</v>
      </c>
      <c r="K7" s="60">
        <f>+I7/J7</f>
        <v>0.4544716766758643</v>
      </c>
    </row>
    <row r="8" spans="1:11" ht="15.75">
      <c r="A8" s="55"/>
      <c r="B8" s="55" t="s">
        <v>107</v>
      </c>
      <c r="C8" s="62">
        <f>'Outside County'!H61</f>
        <v>0.201</v>
      </c>
      <c r="D8" s="59">
        <f>ROUND(0.449816772498635,3)</f>
        <v>0.45</v>
      </c>
      <c r="E8" s="60">
        <f>+C8/D8</f>
        <v>0.44666666666666666</v>
      </c>
      <c r="G8" s="55"/>
      <c r="H8" s="55" t="s">
        <v>183</v>
      </c>
      <c r="I8" s="61">
        <f>'Outside County'!H108</f>
        <v>28</v>
      </c>
      <c r="J8" s="64">
        <f>ROUND(55.2255137218382,2)</f>
        <v>55.23</v>
      </c>
      <c r="K8" s="60">
        <f>+I8/J8</f>
        <v>0.5069708491761724</v>
      </c>
    </row>
    <row r="9" spans="1:11" ht="15.75">
      <c r="A9" s="55"/>
      <c r="B9" s="55" t="s">
        <v>177</v>
      </c>
      <c r="C9" s="62">
        <f>'Outside County'!H62</f>
        <v>0.267</v>
      </c>
      <c r="D9" s="59">
        <f>ROUND(0.598174595064107,3)</f>
        <v>0.598</v>
      </c>
      <c r="E9" s="60">
        <f>+C9/D9</f>
        <v>0.4464882943143813</v>
      </c>
      <c r="G9" s="55"/>
      <c r="H9" s="55" t="s">
        <v>184</v>
      </c>
      <c r="I9" s="61">
        <f>'Outside County'!H109</f>
        <v>28</v>
      </c>
      <c r="J9" s="64">
        <f>ROUND(48.9074597980882,2)</f>
        <v>48.91</v>
      </c>
      <c r="K9" s="60">
        <f>+I9/J9</f>
        <v>0.5724800654262933</v>
      </c>
    </row>
    <row r="10" spans="1:11" ht="15.75">
      <c r="A10" s="55"/>
      <c r="B10" s="55" t="s">
        <v>178</v>
      </c>
      <c r="C10" s="62">
        <f>'Outside County'!H63</f>
        <v>0.276</v>
      </c>
      <c r="D10" s="59">
        <f>ROUND(0.618555084321204,3)</f>
        <v>0.619</v>
      </c>
      <c r="E10" s="60">
        <f>+C10/D10</f>
        <v>0.4458804523424879</v>
      </c>
      <c r="G10" s="55"/>
      <c r="H10" s="55" t="s">
        <v>108</v>
      </c>
      <c r="I10" s="61">
        <f>'Outside County'!H110</f>
        <v>22.4</v>
      </c>
      <c r="J10" s="64">
        <f>ROUND(41.0597684631667,2)</f>
        <v>41.06</v>
      </c>
      <c r="K10" s="60">
        <f>+I10/J10</f>
        <v>0.5455431076473453</v>
      </c>
    </row>
    <row r="11" spans="1:11" ht="15.75">
      <c r="A11" s="55"/>
      <c r="B11" s="55" t="s">
        <v>32</v>
      </c>
      <c r="C11" s="62">
        <f>'Outside County'!H64</f>
        <v>0.179</v>
      </c>
      <c r="D11" s="59">
        <f>ROUND(0.819261942877183,3)</f>
        <v>0.819</v>
      </c>
      <c r="E11" s="60">
        <f>+C11/D11</f>
        <v>0.21855921855921856</v>
      </c>
      <c r="G11" s="55"/>
      <c r="H11" s="55" t="s">
        <v>73</v>
      </c>
      <c r="I11" s="61">
        <f>'Outside County'!H111</f>
        <v>12.4</v>
      </c>
      <c r="J11" s="64">
        <f>ROUND(22.6907769083251,2)</f>
        <v>22.69</v>
      </c>
      <c r="K11" s="60">
        <f>+I11/J11</f>
        <v>0.5464962538563244</v>
      </c>
    </row>
    <row r="12" spans="1:11" ht="15.75">
      <c r="A12" s="55" t="s">
        <v>107</v>
      </c>
      <c r="B12" s="55"/>
      <c r="C12" s="62"/>
      <c r="D12" s="59"/>
      <c r="E12" s="60"/>
      <c r="G12" s="55" t="s">
        <v>177</v>
      </c>
      <c r="H12" s="55"/>
      <c r="J12" s="64"/>
      <c r="K12" s="60"/>
    </row>
    <row r="13" spans="1:11" ht="15.75">
      <c r="A13" s="55"/>
      <c r="B13" s="55" t="s">
        <v>107</v>
      </c>
      <c r="C13" s="62">
        <f>'Outside County'!H66</f>
        <v>0.111</v>
      </c>
      <c r="D13" s="59">
        <f>ROUND(0.248111296377948,3)</f>
        <v>0.248</v>
      </c>
      <c r="E13" s="60">
        <f>+C13/D13</f>
        <v>0.4475806451612903</v>
      </c>
      <c r="G13" s="55"/>
      <c r="H13" s="55" t="s">
        <v>182</v>
      </c>
      <c r="I13" s="61">
        <f>'Outside County'!H113</f>
        <v>33.36</v>
      </c>
      <c r="J13" s="64">
        <f>ROUND(72.3522565203204,2)</f>
        <v>72.35</v>
      </c>
      <c r="K13" s="60">
        <f aca="true" t="shared" si="0" ref="K13:K18">+I13/J13</f>
        <v>0.4610919143054596</v>
      </c>
    </row>
    <row r="14" spans="1:11" ht="15.75">
      <c r="A14" s="55"/>
      <c r="B14" s="55" t="s">
        <v>177</v>
      </c>
      <c r="C14" s="62">
        <f>'Outside County'!H67</f>
        <v>0.183</v>
      </c>
      <c r="D14" s="59">
        <f>ROUND(0.40983039513328,3)</f>
        <v>0.41</v>
      </c>
      <c r="E14" s="60">
        <f>+C14/D14</f>
        <v>0.44634146341463415</v>
      </c>
      <c r="G14" s="55"/>
      <c r="H14" s="55" t="s">
        <v>183</v>
      </c>
      <c r="I14" s="61">
        <f>'Outside County'!H114</f>
        <v>33.36</v>
      </c>
      <c r="J14" s="64">
        <f>ROUND(67.2243681100655,2)</f>
        <v>67.22</v>
      </c>
      <c r="K14" s="60">
        <f t="shared" si="0"/>
        <v>0.49628086878905087</v>
      </c>
    </row>
    <row r="15" spans="1:11" ht="15.75">
      <c r="A15" s="55"/>
      <c r="B15" s="55" t="s">
        <v>178</v>
      </c>
      <c r="C15" s="62">
        <f>'Outside County'!H68</f>
        <v>0.19899999999999998</v>
      </c>
      <c r="D15" s="59">
        <f>ROUND(0.444300021162267,3)</f>
        <v>0.444</v>
      </c>
      <c r="E15" s="60">
        <f>+C15/D15</f>
        <v>0.44819819819819817</v>
      </c>
      <c r="G15" s="55"/>
      <c r="H15" s="55" t="s">
        <v>184</v>
      </c>
      <c r="I15" s="61">
        <f>'Outside County'!H115</f>
        <v>33.36</v>
      </c>
      <c r="J15" s="64">
        <f>ROUND(56.1663072886172,2)</f>
        <v>56.17</v>
      </c>
      <c r="K15" s="60">
        <f t="shared" si="0"/>
        <v>0.5939113405732597</v>
      </c>
    </row>
    <row r="16" spans="1:11" ht="15.75">
      <c r="A16" s="55"/>
      <c r="B16" s="55" t="s">
        <v>77</v>
      </c>
      <c r="C16" s="62">
        <f>'Outside County'!H69</f>
        <v>0.314</v>
      </c>
      <c r="D16" s="59">
        <f>ROUND(0.703221868038085,3)</f>
        <v>0.703</v>
      </c>
      <c r="E16" s="60">
        <f>+C16/D16</f>
        <v>0.4466571834992888</v>
      </c>
      <c r="G16" s="55"/>
      <c r="H16" s="55" t="s">
        <v>108</v>
      </c>
      <c r="I16" s="61">
        <f>'Outside County'!H116</f>
        <v>23.8</v>
      </c>
      <c r="J16" s="64">
        <f>ROUND(43.5786090559974,2)</f>
        <v>43.58</v>
      </c>
      <c r="K16" s="60">
        <f t="shared" si="0"/>
        <v>0.5461220743460303</v>
      </c>
    </row>
    <row r="17" spans="1:11" ht="15.75">
      <c r="A17" s="55"/>
      <c r="B17" s="55" t="s">
        <v>32</v>
      </c>
      <c r="C17" s="62">
        <f>'Outside County'!H70</f>
        <v>0.149</v>
      </c>
      <c r="D17" s="59">
        <f>ROUND(0.683846268249154,3)</f>
        <v>0.684</v>
      </c>
      <c r="E17" s="60">
        <f>+C17/D17</f>
        <v>0.2178362573099415</v>
      </c>
      <c r="G17" s="55"/>
      <c r="H17" s="55" t="s">
        <v>73</v>
      </c>
      <c r="I17" s="61">
        <f>'Outside County'!H117</f>
        <v>20.7</v>
      </c>
      <c r="J17" s="64">
        <f>ROUND(37.9796538300323,2)</f>
        <v>37.98</v>
      </c>
      <c r="K17" s="60">
        <f t="shared" si="0"/>
        <v>0.5450236966824645</v>
      </c>
    </row>
    <row r="18" spans="1:11" ht="15.75">
      <c r="A18" s="55" t="s">
        <v>177</v>
      </c>
      <c r="B18" s="55"/>
      <c r="C18" s="62"/>
      <c r="D18" s="59"/>
      <c r="E18" s="60"/>
      <c r="G18" s="55"/>
      <c r="H18" s="55" t="s">
        <v>72</v>
      </c>
      <c r="I18" s="61">
        <f>'Outside County'!H118</f>
        <v>11.1</v>
      </c>
      <c r="J18" s="64">
        <f>ROUND(20.3883796744319,2)</f>
        <v>20.39</v>
      </c>
      <c r="K18" s="60">
        <f t="shared" si="0"/>
        <v>0.5443845022069642</v>
      </c>
    </row>
    <row r="19" spans="1:11" ht="15.75">
      <c r="A19" s="55"/>
      <c r="B19" s="55" t="s">
        <v>177</v>
      </c>
      <c r="C19" s="62">
        <f>'Outside County'!H72</f>
        <v>0.125</v>
      </c>
      <c r="D19" s="59">
        <f>ROUND(0.228770033424669,3)</f>
        <v>0.229</v>
      </c>
      <c r="E19" s="60">
        <f>+C19/D19</f>
        <v>0.5458515283842794</v>
      </c>
      <c r="G19" s="55" t="s">
        <v>179</v>
      </c>
      <c r="H19" s="55"/>
      <c r="J19" s="64"/>
      <c r="K19" s="60"/>
    </row>
    <row r="20" spans="1:11" ht="15.75">
      <c r="A20" s="55"/>
      <c r="B20" s="55" t="s">
        <v>178</v>
      </c>
      <c r="C20" s="62">
        <f>'Outside County'!H73</f>
        <v>0.145</v>
      </c>
      <c r="D20" s="59">
        <f>ROUND(0.265190864264937,3)</f>
        <v>0.265</v>
      </c>
      <c r="E20" s="60">
        <f>+C20/D20</f>
        <v>0.5471698113207547</v>
      </c>
      <c r="G20" s="55"/>
      <c r="H20" s="55" t="s">
        <v>182</v>
      </c>
      <c r="I20" s="61">
        <f>'Outside County'!H120</f>
        <v>42.13</v>
      </c>
      <c r="J20" s="64">
        <f>ROUND(91.6084607712037,2)</f>
        <v>91.61</v>
      </c>
      <c r="K20" s="60">
        <f aca="true" t="shared" si="1" ref="K20:K26">+I20/J20</f>
        <v>0.45988429210784854</v>
      </c>
    </row>
    <row r="21" spans="1:11" ht="15.75">
      <c r="A21" s="55"/>
      <c r="B21" s="55" t="s">
        <v>77</v>
      </c>
      <c r="C21" s="62">
        <f>'Outside County'!H74</f>
        <v>0.27899999999999997</v>
      </c>
      <c r="D21" s="59">
        <f>ROUND(0.511693195272237,3)</f>
        <v>0.512</v>
      </c>
      <c r="E21" s="60">
        <f>+C21/D21</f>
        <v>0.5449218749999999</v>
      </c>
      <c r="G21" s="55"/>
      <c r="H21" s="55" t="s">
        <v>183</v>
      </c>
      <c r="I21" s="61">
        <f>'Outside County'!H121</f>
        <v>42.13</v>
      </c>
      <c r="J21" s="64">
        <f>ROUND(80.3640980205406,2)</f>
        <v>80.36</v>
      </c>
      <c r="K21" s="60">
        <f t="shared" si="1"/>
        <v>0.5242658038825286</v>
      </c>
    </row>
    <row r="22" spans="1:11" ht="15.75">
      <c r="A22" s="55"/>
      <c r="B22" s="55" t="s">
        <v>32</v>
      </c>
      <c r="C22" s="62">
        <f>'Outside County'!H75</f>
        <v>0.13699999999999998</v>
      </c>
      <c r="D22" s="59">
        <f>ROUND(0.503431060098316,3)</f>
        <v>0.503</v>
      </c>
      <c r="E22" s="60">
        <f>+C22/D22</f>
        <v>0.27236580516898606</v>
      </c>
      <c r="G22" s="55"/>
      <c r="H22" s="55" t="s">
        <v>184</v>
      </c>
      <c r="I22" s="61">
        <f>'Outside County'!H122</f>
        <v>42.13</v>
      </c>
      <c r="J22" s="64">
        <f>ROUND(70.2487144066188,2)</f>
        <v>70.25</v>
      </c>
      <c r="K22" s="60">
        <f t="shared" si="1"/>
        <v>0.5997153024911033</v>
      </c>
    </row>
    <row r="23" spans="1:11" ht="15.75">
      <c r="A23" s="55" t="s">
        <v>179</v>
      </c>
      <c r="B23" s="55"/>
      <c r="C23" s="62"/>
      <c r="D23" s="59"/>
      <c r="E23" s="60"/>
      <c r="G23" s="55"/>
      <c r="H23" s="55" t="s">
        <v>108</v>
      </c>
      <c r="I23" s="61">
        <f>'Outside County'!H123</f>
        <v>31.9</v>
      </c>
      <c r="J23" s="64">
        <f>ROUND(58.6036933815256,2)</f>
        <v>58.6</v>
      </c>
      <c r="K23" s="60">
        <f t="shared" si="1"/>
        <v>0.5443686006825939</v>
      </c>
    </row>
    <row r="24" spans="1:11" ht="15.75">
      <c r="A24" s="55"/>
      <c r="B24" s="55" t="s">
        <v>178</v>
      </c>
      <c r="C24" s="62">
        <f>'Outside County'!H77</f>
        <v>0.14</v>
      </c>
      <c r="D24" s="59">
        <f>ROUND(0.284866313217299,3)</f>
        <v>0.285</v>
      </c>
      <c r="E24" s="60">
        <f>+C24/D24</f>
        <v>0.4912280701754387</v>
      </c>
      <c r="G24" s="55"/>
      <c r="H24" s="55" t="s">
        <v>73</v>
      </c>
      <c r="I24" s="61">
        <f>'Outside County'!H124</f>
        <v>30.2</v>
      </c>
      <c r="J24" s="64">
        <f>ROUND(55.3602820306719,2)</f>
        <v>55.36</v>
      </c>
      <c r="K24" s="60">
        <f t="shared" si="1"/>
        <v>0.5455202312138728</v>
      </c>
    </row>
    <row r="25" spans="1:11" ht="15.75">
      <c r="A25" s="55"/>
      <c r="B25" s="55" t="s">
        <v>77</v>
      </c>
      <c r="C25" s="62">
        <f>'Outside County'!H78</f>
        <v>0.147</v>
      </c>
      <c r="D25" s="59">
        <f>ROUND(0.269687980277539,3)</f>
        <v>0.27</v>
      </c>
      <c r="E25" s="60">
        <f>+C25/D25</f>
        <v>0.5444444444444444</v>
      </c>
      <c r="G25" s="55"/>
      <c r="H25" s="55" t="s">
        <v>72</v>
      </c>
      <c r="I25" s="61">
        <f>'Outside County'!H125</f>
        <v>20.4</v>
      </c>
      <c r="J25" s="64">
        <f>ROUND(37.4350044670786,2)</f>
        <v>37.44</v>
      </c>
      <c r="K25" s="60">
        <f t="shared" si="1"/>
        <v>0.5448717948717948</v>
      </c>
    </row>
    <row r="26" spans="1:11" ht="15.75">
      <c r="A26" s="55"/>
      <c r="B26" s="55" t="s">
        <v>32</v>
      </c>
      <c r="C26" s="62">
        <f>'Outside County'!H79</f>
        <v>0.077</v>
      </c>
      <c r="D26" s="59">
        <f>ROUND(0.281811817405719,3)</f>
        <v>0.282</v>
      </c>
      <c r="E26" s="60">
        <f>+C26/D26</f>
        <v>0.2730496453900709</v>
      </c>
      <c r="G26" s="22"/>
      <c r="H26" s="55" t="s">
        <v>71</v>
      </c>
      <c r="I26" s="61">
        <f>'Outside County'!H126</f>
        <v>1.6</v>
      </c>
      <c r="J26" s="64">
        <f>ROUND(2.91938600271571,2)</f>
        <v>2.92</v>
      </c>
      <c r="K26" s="60">
        <f t="shared" si="1"/>
        <v>0.5479452054794521</v>
      </c>
    </row>
    <row r="27" spans="1:2" ht="15.75">
      <c r="A27" s="55"/>
      <c r="B27" s="55"/>
    </row>
    <row r="28" spans="1:2" ht="15.75">
      <c r="A28" s="55"/>
      <c r="B28" s="55"/>
    </row>
    <row r="33" spans="1:2" ht="15.75">
      <c r="A33" s="55" t="s">
        <v>180</v>
      </c>
      <c r="B33" s="54"/>
    </row>
    <row r="34" spans="1:5" ht="47.25">
      <c r="A34" s="48" t="s">
        <v>181</v>
      </c>
      <c r="B34" s="48" t="s">
        <v>173</v>
      </c>
      <c r="C34" s="48" t="s">
        <v>174</v>
      </c>
      <c r="D34" s="48" t="s">
        <v>175</v>
      </c>
      <c r="E34" s="48" t="s">
        <v>171</v>
      </c>
    </row>
    <row r="35" spans="1:11" ht="15.75">
      <c r="A35" s="55" t="s">
        <v>176</v>
      </c>
      <c r="B35" s="48"/>
      <c r="J35" s="54" t="s">
        <v>224</v>
      </c>
      <c r="K35" s="54"/>
    </row>
    <row r="36" spans="1:11" ht="15.75">
      <c r="A36" s="55"/>
      <c r="B36" s="55" t="s">
        <v>182</v>
      </c>
      <c r="C36" s="61">
        <f>'Outside County'!H82</f>
        <v>0.42</v>
      </c>
      <c r="D36" s="64">
        <f>ROUND(2.39422300835803,2)</f>
        <v>2.39</v>
      </c>
      <c r="E36" s="60">
        <f>+C36/D36</f>
        <v>0.17573221757322174</v>
      </c>
      <c r="J36" s="54" t="s">
        <v>221</v>
      </c>
      <c r="K36" s="54"/>
    </row>
    <row r="37" spans="1:11" ht="15.75">
      <c r="A37" s="55"/>
      <c r="B37" s="55" t="s">
        <v>183</v>
      </c>
      <c r="C37" s="61">
        <f>'Outside County'!H83</f>
        <v>0.42</v>
      </c>
      <c r="D37" s="64">
        <f>ROUND(1.99329537870785,2)</f>
        <v>1.99</v>
      </c>
      <c r="E37" s="60">
        <f>+C37/D37</f>
        <v>0.21105527638190955</v>
      </c>
      <c r="J37" s="54" t="s">
        <v>223</v>
      </c>
      <c r="K37" s="54"/>
    </row>
    <row r="38" spans="1:5" ht="15.75">
      <c r="A38" s="55" t="s">
        <v>107</v>
      </c>
      <c r="B38" s="55"/>
      <c r="C38" s="51"/>
      <c r="D38" s="64"/>
      <c r="E38" s="63"/>
    </row>
    <row r="39" spans="1:5" ht="15.75">
      <c r="A39" s="55"/>
      <c r="B39" s="55" t="s">
        <v>182</v>
      </c>
      <c r="C39" s="61">
        <f>'Outside County'!H85</f>
        <v>2.01</v>
      </c>
      <c r="D39" s="64">
        <f>ROUND(5.61609300426024,2)</f>
        <v>5.62</v>
      </c>
      <c r="E39" s="60">
        <f>+C39/D39</f>
        <v>0.3576512455516014</v>
      </c>
    </row>
    <row r="40" spans="1:5" ht="15.75">
      <c r="A40" s="55"/>
      <c r="B40" s="55" t="s">
        <v>183</v>
      </c>
      <c r="C40" s="61">
        <f>'Outside County'!H86</f>
        <v>2.01</v>
      </c>
      <c r="D40" s="64">
        <f>ROUND(5.4757609604085,2)</f>
        <v>5.48</v>
      </c>
      <c r="E40" s="60">
        <f>+C40/D40</f>
        <v>0.3667883211678831</v>
      </c>
    </row>
    <row r="41" spans="1:5" ht="15.75">
      <c r="A41" s="55"/>
      <c r="B41" s="55" t="s">
        <v>184</v>
      </c>
      <c r="C41" s="61">
        <f>'Outside County'!H87</f>
        <v>2.01</v>
      </c>
      <c r="D41" s="64">
        <f>ROUND(4.84671402763216,2)</f>
        <v>4.85</v>
      </c>
      <c r="E41" s="60">
        <f>+C41/D41</f>
        <v>0.4144329896907216</v>
      </c>
    </row>
    <row r="42" spans="1:5" ht="15.75">
      <c r="A42" s="55"/>
      <c r="B42" s="55" t="s">
        <v>108</v>
      </c>
      <c r="C42" s="61">
        <f>'Outside County'!H88</f>
        <v>1.4</v>
      </c>
      <c r="D42" s="64">
        <f>ROUND(3.61925528076288,2)</f>
        <v>3.62</v>
      </c>
      <c r="E42" s="60">
        <f>+C42/D42</f>
        <v>0.38674033149171266</v>
      </c>
    </row>
    <row r="43" spans="1:5" ht="15.75">
      <c r="A43" s="55"/>
      <c r="B43" s="55" t="s">
        <v>73</v>
      </c>
      <c r="C43" s="61">
        <f>'Outside County'!H89</f>
        <v>0.8</v>
      </c>
      <c r="D43" s="64">
        <f>ROUND(1.99329537870785,2)</f>
        <v>1.99</v>
      </c>
      <c r="E43" s="60">
        <f>+C43/D43</f>
        <v>0.4020100502512563</v>
      </c>
    </row>
    <row r="44" spans="1:5" ht="15.75">
      <c r="A44" s="55" t="s">
        <v>177</v>
      </c>
      <c r="B44" s="55"/>
      <c r="C44" s="51"/>
      <c r="D44" s="64"/>
      <c r="E44" s="63"/>
    </row>
    <row r="45" spans="1:5" ht="15.75">
      <c r="A45" s="55"/>
      <c r="B45" s="55" t="s">
        <v>182</v>
      </c>
      <c r="C45" s="61">
        <f>'Outside County'!H91</f>
        <v>2.1</v>
      </c>
      <c r="D45" s="64">
        <f>ROUND(6.01506345181078,2)</f>
        <v>6.02</v>
      </c>
      <c r="E45" s="60">
        <f aca="true" t="shared" si="2" ref="E45:E50">+C45/D45</f>
        <v>0.34883720930232565</v>
      </c>
    </row>
    <row r="46" spans="1:5" ht="15.75">
      <c r="A46" s="55"/>
      <c r="B46" s="55" t="s">
        <v>183</v>
      </c>
      <c r="C46" s="61">
        <f>'Outside County'!H92</f>
        <v>2.1</v>
      </c>
      <c r="D46" s="64">
        <f>ROUND(5.74061027276066,2)</f>
        <v>5.74</v>
      </c>
      <c r="E46" s="60">
        <f t="shared" si="2"/>
        <v>0.36585365853658536</v>
      </c>
    </row>
    <row r="47" spans="1:5" ht="15.75">
      <c r="A47" s="55"/>
      <c r="B47" s="55" t="s">
        <v>184</v>
      </c>
      <c r="C47" s="61">
        <f>'Outside County'!H93</f>
        <v>2.1</v>
      </c>
      <c r="D47" s="64">
        <f>ROUND(5.03193579555531,2)</f>
        <v>5.03</v>
      </c>
      <c r="E47" s="60">
        <f t="shared" si="2"/>
        <v>0.41749502982107356</v>
      </c>
    </row>
    <row r="48" spans="1:5" ht="15.75">
      <c r="A48" s="55"/>
      <c r="B48" s="55" t="s">
        <v>108</v>
      </c>
      <c r="C48" s="61">
        <f>'Outside County'!H94</f>
        <v>1.5</v>
      </c>
      <c r="D48" s="64">
        <f>ROUND(3.72484950425702,2)</f>
        <v>3.72</v>
      </c>
      <c r="E48" s="60">
        <f t="shared" si="2"/>
        <v>0.4032258064516129</v>
      </c>
    </row>
    <row r="49" spans="1:5" ht="15.75">
      <c r="A49" s="55"/>
      <c r="B49" s="55" t="s">
        <v>73</v>
      </c>
      <c r="C49" s="61">
        <f>'Outside County'!H95</f>
        <v>1.2</v>
      </c>
      <c r="D49" s="64">
        <f>ROUND(3.10036612673901,2)</f>
        <v>3.1</v>
      </c>
      <c r="E49" s="60">
        <f t="shared" si="2"/>
        <v>0.3870967741935484</v>
      </c>
    </row>
    <row r="50" spans="1:5" ht="15.75">
      <c r="A50" s="55"/>
      <c r="B50" s="55" t="s">
        <v>72</v>
      </c>
      <c r="C50" s="61">
        <f>'Outside County'!H96</f>
        <v>0.8</v>
      </c>
      <c r="D50" s="64">
        <f>ROUND(1.99329537870785,2)</f>
        <v>1.99</v>
      </c>
      <c r="E50" s="60">
        <f t="shared" si="2"/>
        <v>0.4020100502512563</v>
      </c>
    </row>
    <row r="51" spans="1:5" ht="15.75">
      <c r="A51" s="55" t="s">
        <v>179</v>
      </c>
      <c r="B51" s="55"/>
      <c r="C51" s="51"/>
      <c r="D51" s="64"/>
      <c r="E51" s="63"/>
    </row>
    <row r="52" spans="1:5" ht="15.75">
      <c r="A52" s="55"/>
      <c r="B52" s="55" t="s">
        <v>182</v>
      </c>
      <c r="C52" s="61">
        <f>'Outside County'!H98</f>
        <v>2.7</v>
      </c>
      <c r="D52" s="64">
        <f>ROUND(7.60867104866097,2)</f>
        <v>7.61</v>
      </c>
      <c r="E52" s="60">
        <f aca="true" t="shared" si="3" ref="E52:E58">+C52/D52</f>
        <v>0.354796320630749</v>
      </c>
    </row>
    <row r="53" spans="1:5" ht="15.75">
      <c r="A53" s="55"/>
      <c r="B53" s="55" t="s">
        <v>183</v>
      </c>
      <c r="C53" s="61">
        <f>'Outside County'!H99</f>
        <v>2.7</v>
      </c>
      <c r="D53" s="64">
        <f>ROUND(7.0078093008335,2)</f>
        <v>7.01</v>
      </c>
      <c r="E53" s="60">
        <f t="shared" si="3"/>
        <v>0.38516405135520687</v>
      </c>
    </row>
    <row r="54" spans="1:5" ht="15.75">
      <c r="A54" s="55"/>
      <c r="B54" s="55" t="s">
        <v>184</v>
      </c>
      <c r="C54" s="61">
        <f>'Outside County'!H100</f>
        <v>2.7</v>
      </c>
      <c r="D54" s="64">
        <f>ROUND(6.34111635435118,2)</f>
        <v>6.34</v>
      </c>
      <c r="E54" s="60">
        <f t="shared" si="3"/>
        <v>0.42586750788643535</v>
      </c>
    </row>
    <row r="55" spans="1:5" ht="15.75">
      <c r="A55" s="55"/>
      <c r="B55" s="55" t="s">
        <v>108</v>
      </c>
      <c r="C55" s="61">
        <f>'Outside County'!H101</f>
        <v>2</v>
      </c>
      <c r="D55" s="64">
        <f>ROUND(5.07601159377591,2)</f>
        <v>5.08</v>
      </c>
      <c r="E55" s="60">
        <f t="shared" si="3"/>
        <v>0.39370078740157477</v>
      </c>
    </row>
    <row r="56" spans="1:5" ht="15.75">
      <c r="A56" s="55"/>
      <c r="B56" s="55" t="s">
        <v>73</v>
      </c>
      <c r="C56" s="61">
        <f>'Outside County'!H102</f>
        <v>1.7</v>
      </c>
      <c r="D56" s="64">
        <f>ROUND(4.34777238975144,2)</f>
        <v>4.35</v>
      </c>
      <c r="E56" s="60">
        <f t="shared" si="3"/>
        <v>0.39080459770114945</v>
      </c>
    </row>
    <row r="57" spans="1:5" ht="15.75">
      <c r="A57" s="55"/>
      <c r="B57" s="55" t="s">
        <v>72</v>
      </c>
      <c r="C57" s="61">
        <f>'Outside County'!H103</f>
        <v>1.3</v>
      </c>
      <c r="D57" s="64">
        <f>ROUND(3.3228688168688,2)</f>
        <v>3.32</v>
      </c>
      <c r="E57" s="60">
        <f t="shared" si="3"/>
        <v>0.391566265060241</v>
      </c>
    </row>
    <row r="58" spans="1:5" ht="15.75">
      <c r="A58" s="22"/>
      <c r="B58" s="55" t="s">
        <v>71</v>
      </c>
      <c r="C58" s="61">
        <f>'Outside County'!H104</f>
        <v>0.9</v>
      </c>
      <c r="D58" s="64">
        <f>ROUND(2.26623398203988,2)</f>
        <v>2.27</v>
      </c>
      <c r="E58" s="60">
        <f t="shared" si="3"/>
        <v>0.39647577092511016</v>
      </c>
    </row>
    <row r="60" spans="1:2" ht="15">
      <c r="A60" s="54" t="s">
        <v>185</v>
      </c>
      <c r="B60" s="54" t="s">
        <v>186</v>
      </c>
    </row>
    <row r="61" spans="1:2" ht="15">
      <c r="A61" s="54"/>
      <c r="B61" s="54" t="s">
        <v>187</v>
      </c>
    </row>
    <row r="62" spans="1:2" ht="15">
      <c r="A62" s="54" t="s">
        <v>188</v>
      </c>
      <c r="B62" s="65" t="s">
        <v>220</v>
      </c>
    </row>
    <row r="63" spans="1:2" ht="15">
      <c r="A63" s="54" t="s">
        <v>189</v>
      </c>
      <c r="B63" s="58" t="s">
        <v>218</v>
      </c>
    </row>
  </sheetData>
  <printOptions/>
  <pageMargins left="0.22" right="0.17" top="1" bottom="0.26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33" sqref="D33"/>
    </sheetView>
  </sheetViews>
  <sheetFormatPr defaultColWidth="9.140625" defaultRowHeight="12.75"/>
  <cols>
    <col min="1" max="2" width="3.57421875" style="0" customWidth="1"/>
    <col min="3" max="3" width="36.7109375" style="0" customWidth="1"/>
    <col min="4" max="4" width="29.57421875" style="0" customWidth="1"/>
    <col min="5" max="5" width="16.7109375" style="0" customWidth="1"/>
    <col min="6" max="6" width="19.00390625" style="0" customWidth="1"/>
    <col min="7" max="7" width="15.00390625" style="0" customWidth="1"/>
  </cols>
  <sheetData>
    <row r="1" spans="1:7" ht="15.75">
      <c r="A1" s="66" t="s">
        <v>191</v>
      </c>
      <c r="C1" s="54"/>
      <c r="D1" s="54"/>
      <c r="E1" s="54"/>
      <c r="F1" s="54"/>
      <c r="G1" s="54"/>
    </row>
    <row r="2" spans="3:7" ht="15">
      <c r="C2" s="54"/>
      <c r="D2" s="67"/>
      <c r="E2" s="67"/>
      <c r="F2" s="67"/>
      <c r="G2" s="54"/>
    </row>
    <row r="3" spans="3:7" ht="15">
      <c r="C3" s="54"/>
      <c r="D3" s="54"/>
      <c r="E3" s="54"/>
      <c r="F3" s="54"/>
      <c r="G3" s="54"/>
    </row>
    <row r="4" spans="3:7" ht="47.25">
      <c r="C4" s="68" t="s">
        <v>134</v>
      </c>
      <c r="D4" s="68" t="s">
        <v>135</v>
      </c>
      <c r="E4" s="69" t="s">
        <v>160</v>
      </c>
      <c r="F4" s="48" t="s">
        <v>163</v>
      </c>
      <c r="G4" s="70" t="s">
        <v>161</v>
      </c>
    </row>
    <row r="5" spans="3:7" ht="15.75">
      <c r="C5" s="55"/>
      <c r="D5" s="55"/>
      <c r="E5" s="71"/>
      <c r="F5" s="55"/>
      <c r="G5" s="55"/>
    </row>
    <row r="6" spans="1:7" ht="15.75">
      <c r="A6" s="55" t="s">
        <v>192</v>
      </c>
      <c r="C6" s="55"/>
      <c r="D6" s="55"/>
      <c r="E6" s="71"/>
      <c r="F6" s="55"/>
      <c r="G6" s="55"/>
    </row>
    <row r="7" spans="1:7" ht="15.75">
      <c r="A7" s="55"/>
      <c r="C7" s="55"/>
      <c r="D7" s="55"/>
      <c r="E7" s="71"/>
      <c r="F7" s="55"/>
      <c r="G7" s="55"/>
    </row>
    <row r="8" spans="2:7" ht="15.75">
      <c r="B8" s="55" t="s">
        <v>137</v>
      </c>
      <c r="D8" s="55"/>
      <c r="E8" s="71"/>
      <c r="F8" s="55"/>
      <c r="G8" s="55"/>
    </row>
    <row r="9" spans="3:7" ht="15">
      <c r="C9" s="54" t="s">
        <v>193</v>
      </c>
      <c r="D9" s="54" t="s">
        <v>194</v>
      </c>
      <c r="E9" s="72">
        <f>'Within County'!F10-'Within County'!F13</f>
        <v>0.01200000000000001</v>
      </c>
      <c r="F9" s="59">
        <f>ROUND(0.0656223382359498,3)</f>
        <v>0.066</v>
      </c>
      <c r="G9" s="60">
        <f>+E9/F9</f>
        <v>0.18181818181818196</v>
      </c>
    </row>
    <row r="10" spans="3:7" ht="15">
      <c r="C10" s="54" t="s">
        <v>195</v>
      </c>
      <c r="D10" s="54" t="s">
        <v>193</v>
      </c>
      <c r="E10" s="72">
        <f>'Within County'!F13-'Within County'!F16</f>
        <v>0.012999999999999998</v>
      </c>
      <c r="F10" s="59">
        <f>ROUND(0.138739380077164,3)</f>
        <v>0.139</v>
      </c>
      <c r="G10" s="60">
        <f aca="true" t="shared" si="0" ref="G10:G16">+E10/F10</f>
        <v>0.09352517985611508</v>
      </c>
    </row>
    <row r="11" spans="3:7" ht="15">
      <c r="C11" s="54" t="s">
        <v>130</v>
      </c>
      <c r="D11" s="54" t="s">
        <v>195</v>
      </c>
      <c r="E11" s="72">
        <f>'Within County'!F16-'Within County'!F19</f>
        <v>0.046</v>
      </c>
      <c r="F11" s="59">
        <f>ROUND(0.149896564585542,3)</f>
        <v>0.15</v>
      </c>
      <c r="G11" s="60">
        <f t="shared" si="0"/>
        <v>0.3066666666666667</v>
      </c>
    </row>
    <row r="12" spans="3:7" ht="15">
      <c r="C12" s="54" t="s">
        <v>30</v>
      </c>
      <c r="D12" s="54" t="s">
        <v>130</v>
      </c>
      <c r="E12" s="72">
        <f>'Within County'!F19-'Within County'!F20</f>
        <v>0.015</v>
      </c>
      <c r="F12" s="59">
        <f>ROUND(0.0271084056402783,3)</f>
        <v>0.027</v>
      </c>
      <c r="G12" s="60">
        <f t="shared" si="0"/>
        <v>0.5555555555555556</v>
      </c>
    </row>
    <row r="13" spans="3:7" ht="15">
      <c r="C13" s="54" t="s">
        <v>142</v>
      </c>
      <c r="D13" s="54" t="s">
        <v>30</v>
      </c>
      <c r="E13" s="72">
        <f>'Within County'!F20-'Within County'!F21</f>
        <v>0.013999999999999999</v>
      </c>
      <c r="F13" s="59">
        <f>ROUND(0.0186630453069844,3)</f>
        <v>0.019</v>
      </c>
      <c r="G13" s="60">
        <f t="shared" si="0"/>
        <v>0.7368421052631579</v>
      </c>
    </row>
    <row r="14" spans="3:7" ht="15">
      <c r="C14" s="54"/>
      <c r="D14" s="54"/>
      <c r="E14" s="72"/>
      <c r="F14" s="59"/>
      <c r="G14" s="60"/>
    </row>
    <row r="15" spans="3:7" ht="15">
      <c r="C15" s="54" t="s">
        <v>158</v>
      </c>
      <c r="D15" s="54" t="s">
        <v>196</v>
      </c>
      <c r="E15" s="72">
        <f>'Within County'!F11-'Within County'!F14</f>
        <v>0.009000000000000001</v>
      </c>
      <c r="F15" s="59">
        <f>ROUND(0.0109910846429248,3)</f>
        <v>0.011</v>
      </c>
      <c r="G15" s="60">
        <f t="shared" si="0"/>
        <v>0.8181818181818183</v>
      </c>
    </row>
    <row r="16" spans="3:7" ht="15">
      <c r="C16" s="54" t="s">
        <v>159</v>
      </c>
      <c r="D16" s="54" t="s">
        <v>158</v>
      </c>
      <c r="E16" s="72">
        <f>'Within County'!F14-'Within County'!F17</f>
        <v>0.0020000000000000018</v>
      </c>
      <c r="F16" s="59">
        <f>ROUND(0.01799,3)</f>
        <v>0.018</v>
      </c>
      <c r="G16" s="60">
        <f t="shared" si="0"/>
        <v>0.11111111111111122</v>
      </c>
    </row>
    <row r="17" spans="3:7" ht="15">
      <c r="C17" s="54"/>
      <c r="D17" s="54"/>
      <c r="E17" s="72"/>
      <c r="F17" s="59"/>
      <c r="G17" s="60"/>
    </row>
    <row r="18" spans="3:7" ht="15">
      <c r="C18" s="54"/>
      <c r="D18" s="54"/>
      <c r="E18" s="72"/>
      <c r="F18" s="59"/>
      <c r="G18" s="60"/>
    </row>
    <row r="19" spans="3:7" ht="15">
      <c r="C19" s="54" t="s">
        <v>197</v>
      </c>
      <c r="D19" s="54" t="s">
        <v>198</v>
      </c>
      <c r="E19" s="72">
        <f>'Within County'!F10-'Within County'!F12</f>
        <v>0.016</v>
      </c>
      <c r="F19" s="59">
        <f>ROUND(0.11564817393371,3)</f>
        <v>0.116</v>
      </c>
      <c r="G19" s="60">
        <f>+E19/F19</f>
        <v>0.13793103448275862</v>
      </c>
    </row>
    <row r="20" spans="3:7" ht="15">
      <c r="C20" s="54" t="s">
        <v>93</v>
      </c>
      <c r="D20" s="54" t="s">
        <v>199</v>
      </c>
      <c r="E20" s="72">
        <f>'Within County'!F13-'Within County'!F15</f>
        <v>0.011999999999999997</v>
      </c>
      <c r="F20" s="59">
        <f>ROUND(0.0720395604114265,3)</f>
        <v>0.072</v>
      </c>
      <c r="G20" s="60">
        <f>+E20/F20</f>
        <v>0.16666666666666663</v>
      </c>
    </row>
    <row r="21" spans="3:7" ht="15">
      <c r="C21" s="54" t="s">
        <v>95</v>
      </c>
      <c r="D21" s="54" t="s">
        <v>200</v>
      </c>
      <c r="E21" s="72">
        <f>'Within County'!F16-'Within County'!F18</f>
        <v>0.0059999999999999915</v>
      </c>
      <c r="F21" s="59">
        <f>ROUND(0.0262197799371381,3)</f>
        <v>0.026</v>
      </c>
      <c r="G21" s="60">
        <f>+E21/F21</f>
        <v>0.23076923076923045</v>
      </c>
    </row>
    <row r="22" spans="3:7" ht="15">
      <c r="C22" s="54"/>
      <c r="D22" s="54"/>
      <c r="E22" s="72"/>
      <c r="F22" s="59"/>
      <c r="G22" s="60"/>
    </row>
    <row r="23" spans="3:7" ht="15">
      <c r="C23" s="54" t="s">
        <v>201</v>
      </c>
      <c r="D23" s="54" t="s">
        <v>202</v>
      </c>
      <c r="E23" s="72">
        <f>-'Within County'!F22</f>
        <v>0.008</v>
      </c>
      <c r="F23" s="59">
        <f>ROUND(0.0156607773858269,3)</f>
        <v>0.016</v>
      </c>
      <c r="G23" s="60">
        <f>+E23/F23</f>
        <v>0.5</v>
      </c>
    </row>
    <row r="25" ht="12.75">
      <c r="A25" t="s">
        <v>203</v>
      </c>
    </row>
    <row r="26" ht="12.75">
      <c r="A26" t="s">
        <v>190</v>
      </c>
    </row>
    <row r="27" ht="12.75">
      <c r="A27" t="s">
        <v>219</v>
      </c>
    </row>
    <row r="28" ht="12.75">
      <c r="B28" t="s">
        <v>204</v>
      </c>
    </row>
  </sheetData>
  <printOptions horizontalCentered="1" verticalCentered="1"/>
  <pageMargins left="0.24" right="0.26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6">
      <selection activeCell="G20" sqref="G20"/>
    </sheetView>
  </sheetViews>
  <sheetFormatPr defaultColWidth="9.140625" defaultRowHeight="12.75"/>
  <cols>
    <col min="1" max="1" width="16.57421875" style="0" customWidth="1"/>
    <col min="2" max="2" width="13.421875" style="0" bestFit="1" customWidth="1"/>
    <col min="3" max="3" width="15.140625" style="0" customWidth="1"/>
    <col min="4" max="4" width="15.00390625" style="0" bestFit="1" customWidth="1"/>
    <col min="5" max="5" width="10.8515625" style="0" bestFit="1" customWidth="1"/>
  </cols>
  <sheetData>
    <row r="1" spans="1:5" ht="38.25">
      <c r="A1" s="34" t="s">
        <v>121</v>
      </c>
      <c r="B1" s="4" t="s">
        <v>110</v>
      </c>
      <c r="C1" s="21" t="s">
        <v>206</v>
      </c>
      <c r="D1" s="21" t="s">
        <v>212</v>
      </c>
      <c r="E1" s="21" t="s">
        <v>225</v>
      </c>
    </row>
    <row r="3" spans="1:5" ht="12.75">
      <c r="A3" t="s">
        <v>109</v>
      </c>
      <c r="B3" s="2">
        <f>'Outside County'!E128</f>
        <v>7774339432</v>
      </c>
      <c r="C3" s="12">
        <f>'Outside County'!G138</f>
        <v>2223547944.4227595</v>
      </c>
      <c r="D3" s="12">
        <f>'Outside County'!I138</f>
        <v>2311886817.0703654</v>
      </c>
      <c r="E3" s="23">
        <f>(D3/C3)-1</f>
        <v>0.039728791488028437</v>
      </c>
    </row>
    <row r="4" spans="1:5" ht="12.75">
      <c r="A4" t="s">
        <v>111</v>
      </c>
      <c r="B4" s="2">
        <f>'Within County'!C24</f>
        <v>830887260</v>
      </c>
      <c r="C4" s="12">
        <f>'Within County'!E29</f>
        <v>92931902.0011403</v>
      </c>
      <c r="D4" s="12">
        <f>'Within County'!G29</f>
        <v>96465455.59789062</v>
      </c>
      <c r="E4" s="23">
        <f>(D4/C4)-1</f>
        <v>0.038023041825905546</v>
      </c>
    </row>
    <row r="5" spans="3:5" ht="12.75">
      <c r="C5" s="13">
        <f>SUM(C3:C4)</f>
        <v>2316479846.4238997</v>
      </c>
      <c r="D5" s="13">
        <f>SUM(D3:D4)</f>
        <v>2408352272.668256</v>
      </c>
      <c r="E5" s="5">
        <f>(D5/C5)-1</f>
        <v>0.03966036069175627</v>
      </c>
    </row>
    <row r="6" ht="12.75">
      <c r="A6" t="s">
        <v>132</v>
      </c>
    </row>
    <row r="7" spans="1:5" ht="12.75">
      <c r="A7" t="s">
        <v>109</v>
      </c>
      <c r="C7" s="39">
        <f>C3/$B$3</f>
        <v>0.2860111735371885</v>
      </c>
      <c r="D7" s="39">
        <f>D3/$B$3</f>
        <v>0.29737405181389376</v>
      </c>
      <c r="E7" s="23">
        <f>(D7/C7)-1</f>
        <v>0.039728791488028214</v>
      </c>
    </row>
    <row r="8" spans="1:5" ht="12.75">
      <c r="A8" t="s">
        <v>111</v>
      </c>
      <c r="C8" s="39">
        <f>C4/$B$4</f>
        <v>0.11184658433821731</v>
      </c>
      <c r="D8" s="39">
        <f>D4/$B$4</f>
        <v>0.11609933169259402</v>
      </c>
      <c r="E8" s="23">
        <f>(D8/C8)-1</f>
        <v>0.038023041825905546</v>
      </c>
    </row>
    <row r="9" spans="1:5" ht="12.75">
      <c r="A9" t="s">
        <v>70</v>
      </c>
      <c r="C9" s="39">
        <f>C5/($B$3+$B$4)</f>
        <v>0.26919451739458017</v>
      </c>
      <c r="D9" s="39">
        <f>D5/($B$3+$B$4)</f>
        <v>0.27987086905069253</v>
      </c>
      <c r="E9" s="5">
        <f>(D9/C9)-1</f>
        <v>0.03966036069175649</v>
      </c>
    </row>
    <row r="12" spans="1:5" ht="12.75">
      <c r="A12" t="s">
        <v>230</v>
      </c>
      <c r="E12" s="23">
        <v>0.038</v>
      </c>
    </row>
    <row r="13" spans="1:5" ht="12.75">
      <c r="A13" t="s">
        <v>244</v>
      </c>
      <c r="E13" s="23">
        <f>0.00176</f>
        <v>0.00176</v>
      </c>
    </row>
    <row r="14" spans="1:5" ht="12.75">
      <c r="A14" t="s">
        <v>233</v>
      </c>
      <c r="E14" s="23">
        <f>E12+E13</f>
        <v>0.03976</v>
      </c>
    </row>
    <row r="15" spans="1:5" ht="12.75">
      <c r="A15" t="s">
        <v>232</v>
      </c>
      <c r="B15" s="2"/>
      <c r="C15" s="13"/>
      <c r="D15" s="13"/>
      <c r="E15" s="23">
        <f>E12-E9</f>
        <v>-0.001660360691756492</v>
      </c>
    </row>
    <row r="16" spans="1:5" ht="12.75">
      <c r="A16" t="s">
        <v>229</v>
      </c>
      <c r="E16" s="23">
        <f>E13+E12-E9</f>
        <v>9.96393082435057E-05</v>
      </c>
    </row>
    <row r="17" spans="3:5" ht="12.75">
      <c r="C17" s="13"/>
      <c r="D17" s="13"/>
      <c r="E17" s="23"/>
    </row>
    <row r="18" ht="12.75">
      <c r="C18" s="33"/>
    </row>
    <row r="21" spans="2:5" ht="12.75">
      <c r="B21" s="2"/>
      <c r="C21" s="13"/>
      <c r="D21" s="13"/>
      <c r="E21" s="23"/>
    </row>
    <row r="22" spans="2:5" ht="12.75">
      <c r="B22" s="2"/>
      <c r="C22" s="13"/>
      <c r="D22" s="13"/>
      <c r="E22" s="23"/>
    </row>
    <row r="23" spans="3:5" ht="12.75">
      <c r="C23" s="13"/>
      <c r="D23" s="13"/>
      <c r="E23" s="23"/>
    </row>
    <row r="25" spans="3:5" ht="12.75">
      <c r="C25" s="39"/>
      <c r="D25" s="39"/>
      <c r="E25" s="23"/>
    </row>
    <row r="26" spans="3:5" ht="12.75">
      <c r="C26" s="39"/>
      <c r="D26" s="39"/>
      <c r="E26" s="23"/>
    </row>
    <row r="27" spans="3:5" ht="12.75">
      <c r="C27" s="39"/>
      <c r="D27" s="39"/>
      <c r="E27" s="23"/>
    </row>
    <row r="30" ht="12.75">
      <c r="E30" s="23"/>
    </row>
    <row r="31" ht="12.75">
      <c r="E31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25" sqref="A25"/>
    </sheetView>
  </sheetViews>
  <sheetFormatPr defaultColWidth="9.140625" defaultRowHeight="12.75"/>
  <sheetData>
    <row r="1" ht="12.75">
      <c r="A1" s="22" t="s">
        <v>124</v>
      </c>
    </row>
    <row r="6" ht="12.75">
      <c r="A6" s="22" t="s">
        <v>235</v>
      </c>
    </row>
    <row r="8" ht="12.75">
      <c r="A8" s="22" t="s">
        <v>236</v>
      </c>
    </row>
    <row r="10" ht="12.75">
      <c r="A10" s="22" t="s">
        <v>237</v>
      </c>
    </row>
    <row r="12" ht="12.75">
      <c r="A12" s="22" t="s">
        <v>238</v>
      </c>
    </row>
    <row r="14" ht="12.75">
      <c r="A14" s="22" t="s">
        <v>122</v>
      </c>
    </row>
    <row r="16" ht="12.75">
      <c r="A16" s="22" t="s">
        <v>123</v>
      </c>
    </row>
    <row r="17" ht="12.75">
      <c r="A17" s="22"/>
    </row>
    <row r="18" ht="12.75">
      <c r="A18" s="22" t="s">
        <v>239</v>
      </c>
    </row>
    <row r="19" ht="12.75">
      <c r="A19" s="22"/>
    </row>
    <row r="20" ht="12.75">
      <c r="A20" s="22" t="s">
        <v>240</v>
      </c>
    </row>
    <row r="21" ht="12.75">
      <c r="A21" s="22"/>
    </row>
    <row r="22" ht="12.75">
      <c r="A22" s="22" t="s">
        <v>241</v>
      </c>
    </row>
    <row r="24" ht="12.75">
      <c r="A24" s="22" t="s">
        <v>242</v>
      </c>
    </row>
    <row r="28" ht="15">
      <c r="A28" s="54"/>
    </row>
  </sheetData>
  <printOptions/>
  <pageMargins left="0.75" right="0.5" top="1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3"/>
  <sheetViews>
    <sheetView workbookViewId="0" topLeftCell="A1">
      <selection activeCell="I139" sqref="I139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2.140625" style="0" customWidth="1"/>
    <col min="4" max="4" width="10.7109375" style="0" customWidth="1"/>
    <col min="5" max="5" width="14.57421875" style="0" customWidth="1"/>
    <col min="6" max="6" width="10.421875" style="0" bestFit="1" customWidth="1"/>
    <col min="7" max="7" width="14.7109375" style="0" customWidth="1"/>
    <col min="8" max="8" width="9.00390625" style="0" customWidth="1"/>
    <col min="9" max="9" width="15.00390625" style="0" customWidth="1"/>
    <col min="10" max="10" width="10.57421875" style="0" customWidth="1"/>
  </cols>
  <sheetData>
    <row r="1" ht="12.75">
      <c r="A1" s="22" t="s">
        <v>67</v>
      </c>
    </row>
    <row r="3" spans="1:9" ht="38.25">
      <c r="A3" s="10" t="s">
        <v>0</v>
      </c>
      <c r="B3" s="10"/>
      <c r="C3" s="22"/>
      <c r="D3" s="10" t="s">
        <v>1</v>
      </c>
      <c r="E3" s="21" t="s">
        <v>110</v>
      </c>
      <c r="F3" s="21" t="s">
        <v>205</v>
      </c>
      <c r="G3" s="21" t="s">
        <v>206</v>
      </c>
      <c r="H3" s="21" t="s">
        <v>207</v>
      </c>
      <c r="I3" s="21" t="s">
        <v>208</v>
      </c>
    </row>
    <row r="4" spans="1:4" ht="12.75">
      <c r="A4" s="8" t="s">
        <v>2</v>
      </c>
      <c r="B4" s="8"/>
      <c r="D4" s="8"/>
    </row>
    <row r="5" spans="2:4" ht="12.75">
      <c r="B5" s="8" t="s">
        <v>3</v>
      </c>
      <c r="D5" s="8"/>
    </row>
    <row r="6" spans="3:11" ht="12.75">
      <c r="C6" s="8" t="s">
        <v>5</v>
      </c>
      <c r="D6" s="8" t="s">
        <v>4</v>
      </c>
      <c r="E6" s="2">
        <v>14298311.687178576</v>
      </c>
      <c r="F6" s="9">
        <v>0.165</v>
      </c>
      <c r="G6" s="12">
        <f>E6*F6</f>
        <v>2359221.428384465</v>
      </c>
      <c r="H6" s="9">
        <f>'Outside County'!H6</f>
        <v>0.131</v>
      </c>
      <c r="I6" s="2">
        <f>H6*E6</f>
        <v>1873078.8310203936</v>
      </c>
      <c r="J6" s="2"/>
      <c r="K6" s="1"/>
    </row>
    <row r="7" spans="3:11" ht="12.75">
      <c r="C7" s="8" t="s">
        <v>6</v>
      </c>
      <c r="D7" s="8" t="s">
        <v>4</v>
      </c>
      <c r="E7" s="2">
        <v>817539153.6853551</v>
      </c>
      <c r="F7" s="9">
        <v>0.215</v>
      </c>
      <c r="G7" s="12">
        <f aca="true" t="shared" si="0" ref="G7:G15">E7*F7</f>
        <v>175770918.04235134</v>
      </c>
      <c r="H7" s="9">
        <f>'Outside County'!H7</f>
        <v>0.2</v>
      </c>
      <c r="I7" s="2">
        <f aca="true" t="shared" si="1" ref="I7:I15">H7*E7</f>
        <v>163507830.73707104</v>
      </c>
      <c r="J7" s="2"/>
      <c r="K7" s="1"/>
    </row>
    <row r="8" spans="3:11" ht="12.75">
      <c r="C8" s="8" t="s">
        <v>7</v>
      </c>
      <c r="D8" s="8" t="s">
        <v>4</v>
      </c>
      <c r="E8" s="2">
        <v>156644606.28414816</v>
      </c>
      <c r="F8" s="9">
        <v>0.225</v>
      </c>
      <c r="G8" s="12">
        <f t="shared" si="0"/>
        <v>35245036.41393334</v>
      </c>
      <c r="H8" s="9">
        <f>'Outside County'!H8</f>
        <v>0.212</v>
      </c>
      <c r="I8" s="2">
        <f t="shared" si="1"/>
        <v>33208656.532239407</v>
      </c>
      <c r="J8" s="2"/>
      <c r="K8" s="1"/>
    </row>
    <row r="9" spans="3:11" ht="12.75">
      <c r="C9" s="8" t="s">
        <v>8</v>
      </c>
      <c r="D9" s="8" t="s">
        <v>4</v>
      </c>
      <c r="E9" s="2">
        <v>85794347.36043434</v>
      </c>
      <c r="F9" s="9">
        <v>0.246</v>
      </c>
      <c r="G9" s="12">
        <f t="shared" si="0"/>
        <v>21105409.45066685</v>
      </c>
      <c r="H9" s="9">
        <f>'Outside County'!H9</f>
        <v>0.237</v>
      </c>
      <c r="I9" s="2">
        <f t="shared" si="1"/>
        <v>20333260.324422937</v>
      </c>
      <c r="J9" s="2"/>
      <c r="K9" s="1"/>
    </row>
    <row r="10" spans="3:11" ht="12.75">
      <c r="C10" s="8" t="s">
        <v>9</v>
      </c>
      <c r="D10" s="8" t="s">
        <v>4</v>
      </c>
      <c r="E10" s="2">
        <v>42609412.448834576</v>
      </c>
      <c r="F10" s="9">
        <v>0.265</v>
      </c>
      <c r="G10" s="12">
        <f t="shared" si="0"/>
        <v>11291494.298941163</v>
      </c>
      <c r="H10" s="9">
        <f>'Outside County'!H10</f>
        <v>0.259</v>
      </c>
      <c r="I10" s="2">
        <f t="shared" si="1"/>
        <v>11035837.824248156</v>
      </c>
      <c r="J10" s="2"/>
      <c r="K10" s="1"/>
    </row>
    <row r="11" spans="3:11" ht="12.75">
      <c r="C11" s="8" t="s">
        <v>10</v>
      </c>
      <c r="D11" s="8" t="s">
        <v>4</v>
      </c>
      <c r="E11" s="2">
        <v>53495703.300740354</v>
      </c>
      <c r="F11" s="9">
        <v>0.312</v>
      </c>
      <c r="G11" s="12">
        <f t="shared" si="0"/>
        <v>16690659.42983099</v>
      </c>
      <c r="H11" s="9">
        <f>'Outside County'!H11</f>
        <v>0.317</v>
      </c>
      <c r="I11" s="2">
        <f t="shared" si="1"/>
        <v>16958137.946334694</v>
      </c>
      <c r="J11" s="2"/>
      <c r="K11" s="1"/>
    </row>
    <row r="12" spans="3:11" ht="12.75">
      <c r="C12" s="8" t="s">
        <v>11</v>
      </c>
      <c r="D12" s="8" t="s">
        <v>4</v>
      </c>
      <c r="E12" s="2">
        <v>53650276.66492449</v>
      </c>
      <c r="F12" s="9">
        <v>0.383</v>
      </c>
      <c r="G12" s="12">
        <f t="shared" si="0"/>
        <v>20548055.96266608</v>
      </c>
      <c r="H12" s="9">
        <f>'Outside County'!H12</f>
        <v>0.404</v>
      </c>
      <c r="I12" s="2">
        <f t="shared" si="1"/>
        <v>21674711.772629496</v>
      </c>
      <c r="J12" s="2"/>
      <c r="K12" s="1"/>
    </row>
    <row r="13" spans="3:11" ht="12.75">
      <c r="C13" s="8" t="s">
        <v>12</v>
      </c>
      <c r="D13" s="8" t="s">
        <v>4</v>
      </c>
      <c r="E13" s="2">
        <v>21082486.41470237</v>
      </c>
      <c r="F13" s="9">
        <v>0.459</v>
      </c>
      <c r="G13" s="12">
        <f t="shared" si="0"/>
        <v>9676861.264348388</v>
      </c>
      <c r="H13" s="9">
        <f>'Outside County'!H13</f>
        <v>0.496</v>
      </c>
      <c r="I13" s="2">
        <f t="shared" si="1"/>
        <v>10456913.261692375</v>
      </c>
      <c r="J13" s="2"/>
      <c r="K13" s="1"/>
    </row>
    <row r="14" spans="3:11" ht="12.75">
      <c r="C14" s="8" t="s">
        <v>13</v>
      </c>
      <c r="D14" s="8" t="s">
        <v>4</v>
      </c>
      <c r="E14" s="2">
        <v>15204078.985084457</v>
      </c>
      <c r="F14" s="9">
        <v>0.55</v>
      </c>
      <c r="G14" s="12">
        <f t="shared" si="0"/>
        <v>8362243.441796452</v>
      </c>
      <c r="H14" s="9">
        <f>'Outside County'!H14</f>
        <v>0.607</v>
      </c>
      <c r="I14" s="2">
        <f t="shared" si="1"/>
        <v>9228875.943946265</v>
      </c>
      <c r="J14" s="2"/>
      <c r="K14" s="1"/>
    </row>
    <row r="15" spans="3:11" ht="12.75">
      <c r="C15" s="8" t="s">
        <v>14</v>
      </c>
      <c r="D15" s="8" t="s">
        <v>4</v>
      </c>
      <c r="E15" s="2">
        <v>20479622.09803481</v>
      </c>
      <c r="F15" s="9">
        <v>0.628</v>
      </c>
      <c r="G15" s="12">
        <f t="shared" si="0"/>
        <v>12861202.677565861</v>
      </c>
      <c r="H15" s="9">
        <f>'Outside County'!H15</f>
        <v>0.701</v>
      </c>
      <c r="I15" s="2">
        <f t="shared" si="1"/>
        <v>14356215.0907224</v>
      </c>
      <c r="J15" s="2"/>
      <c r="K15" s="1"/>
    </row>
    <row r="16" spans="2:11" ht="12.75">
      <c r="B16" s="8" t="s">
        <v>15</v>
      </c>
      <c r="D16" s="8"/>
      <c r="F16" s="9"/>
      <c r="H16" s="9"/>
      <c r="J16" s="2"/>
      <c r="K16" s="1"/>
    </row>
    <row r="17" spans="3:11" ht="12.75">
      <c r="C17" s="8" t="s">
        <v>5</v>
      </c>
      <c r="D17" s="8" t="s">
        <v>4</v>
      </c>
      <c r="E17" s="2">
        <v>10377696.395308938</v>
      </c>
      <c r="F17" s="9">
        <v>0.137</v>
      </c>
      <c r="G17" s="12">
        <f>E17*F17</f>
        <v>1421744.4061573246</v>
      </c>
      <c r="H17" s="9">
        <f>'Outside County'!H17</f>
        <v>0.109</v>
      </c>
      <c r="I17" s="2">
        <f>H17*E17</f>
        <v>1131168.9070886741</v>
      </c>
      <c r="J17" s="2"/>
      <c r="K17" s="1"/>
    </row>
    <row r="18" spans="3:11" ht="12.75">
      <c r="C18" s="8" t="s">
        <v>6</v>
      </c>
      <c r="D18" s="8" t="s">
        <v>4</v>
      </c>
      <c r="E18" s="2">
        <v>930060685.6135879</v>
      </c>
      <c r="F18" s="9">
        <v>0.179</v>
      </c>
      <c r="G18" s="12">
        <f>E18*F18</f>
        <v>166480862.7248322</v>
      </c>
      <c r="H18" s="9">
        <f>'Outside County'!H18</f>
        <v>0.166</v>
      </c>
      <c r="I18" s="2">
        <f>H18*E18</f>
        <v>154390073.81185558</v>
      </c>
      <c r="J18" s="2"/>
      <c r="K18" s="1"/>
    </row>
    <row r="19" spans="3:11" ht="12.75">
      <c r="C19" s="8" t="s">
        <v>7</v>
      </c>
      <c r="D19" s="8" t="s">
        <v>4</v>
      </c>
      <c r="E19" s="2">
        <v>198336412.00626862</v>
      </c>
      <c r="F19" s="9">
        <v>0.187</v>
      </c>
      <c r="G19" s="12">
        <f>E19*F19</f>
        <v>37088909.04517223</v>
      </c>
      <c r="H19" s="9">
        <f>'Outside County'!H19</f>
        <v>0.176</v>
      </c>
      <c r="I19" s="2">
        <f>H19*E19</f>
        <v>34907208.51310328</v>
      </c>
      <c r="J19" s="2"/>
      <c r="K19" s="1"/>
    </row>
    <row r="20" spans="3:11" ht="12.75">
      <c r="C20" s="8" t="s">
        <v>16</v>
      </c>
      <c r="D20" s="8" t="s">
        <v>4</v>
      </c>
      <c r="E20" s="2">
        <v>451811001.2775506</v>
      </c>
      <c r="F20" s="9">
        <v>0.205</v>
      </c>
      <c r="G20" s="12">
        <f>E20*F20</f>
        <v>92621255.26189786</v>
      </c>
      <c r="H20" s="9">
        <f>'Outside County'!H20</f>
        <v>0.197</v>
      </c>
      <c r="I20" s="2">
        <f>H20*E20</f>
        <v>89006767.25167747</v>
      </c>
      <c r="J20" s="2"/>
      <c r="K20" s="1"/>
    </row>
    <row r="21" spans="1:11" ht="12.75">
      <c r="A21" t="s">
        <v>78</v>
      </c>
      <c r="C21" s="8"/>
      <c r="D21" s="8"/>
      <c r="F21" s="9"/>
      <c r="H21" s="9"/>
      <c r="J21" s="2"/>
      <c r="K21" s="1"/>
    </row>
    <row r="22" spans="2:11" ht="12.75">
      <c r="B22" s="8" t="s">
        <v>3</v>
      </c>
      <c r="D22" s="8"/>
      <c r="F22" s="9"/>
      <c r="H22" s="9"/>
      <c r="J22" s="2"/>
      <c r="K22" s="1"/>
    </row>
    <row r="23" spans="3:11" ht="12.75">
      <c r="C23" s="8" t="s">
        <v>5</v>
      </c>
      <c r="D23" s="8" t="s">
        <v>4</v>
      </c>
      <c r="E23" s="2">
        <v>59427.273397621764</v>
      </c>
      <c r="F23" s="9">
        <v>0.124</v>
      </c>
      <c r="G23" s="12">
        <f>E23*F23</f>
        <v>7368.981901305098</v>
      </c>
      <c r="H23" s="9">
        <f>'Outside County'!H23</f>
        <v>0.098</v>
      </c>
      <c r="I23" s="2">
        <f>H23*E23</f>
        <v>5823.872792966933</v>
      </c>
      <c r="J23" s="2"/>
      <c r="K23" s="1"/>
    </row>
    <row r="24" spans="3:11" ht="12.75">
      <c r="C24" s="8" t="s">
        <v>6</v>
      </c>
      <c r="D24" s="8" t="s">
        <v>4</v>
      </c>
      <c r="E24" s="2">
        <v>1372501.096676832</v>
      </c>
      <c r="F24" s="9">
        <v>0.162</v>
      </c>
      <c r="G24" s="12">
        <f>E24*F24</f>
        <v>222345.1776616468</v>
      </c>
      <c r="H24" s="9">
        <f>'Outside County'!H24</f>
        <v>0.15</v>
      </c>
      <c r="I24" s="2">
        <f>H24*E24</f>
        <v>205875.1645015248</v>
      </c>
      <c r="J24" s="2"/>
      <c r="K24" s="1"/>
    </row>
    <row r="25" spans="3:11" ht="12.75">
      <c r="C25" s="8" t="s">
        <v>7</v>
      </c>
      <c r="D25" s="8" t="s">
        <v>4</v>
      </c>
      <c r="E25" s="2">
        <v>411411.5887751572</v>
      </c>
      <c r="F25" s="9">
        <v>0.169</v>
      </c>
      <c r="G25" s="12">
        <f>E25*F25</f>
        <v>69528.55850300156</v>
      </c>
      <c r="H25" s="9">
        <f>'Outside County'!H25</f>
        <v>0.159</v>
      </c>
      <c r="I25" s="2">
        <f>H25*E25</f>
        <v>65414.442615249995</v>
      </c>
      <c r="J25" s="2"/>
      <c r="K25" s="1"/>
    </row>
    <row r="26" spans="3:11" ht="12.75">
      <c r="C26" s="8" t="s">
        <v>8</v>
      </c>
      <c r="D26" s="8" t="s">
        <v>4</v>
      </c>
      <c r="E26" s="2">
        <v>5740170.8189973235</v>
      </c>
      <c r="F26" s="9">
        <v>0.184</v>
      </c>
      <c r="G26" s="12">
        <f>E26*F26</f>
        <v>1056191.4306955074</v>
      </c>
      <c r="H26" s="9">
        <f>'Outside County'!H26</f>
        <v>0.178</v>
      </c>
      <c r="I26" s="2">
        <f>H26*E26</f>
        <v>1021750.4057815236</v>
      </c>
      <c r="J26" s="2"/>
      <c r="K26" s="1"/>
    </row>
    <row r="27" spans="1:11" ht="12.75">
      <c r="A27" s="8" t="s">
        <v>17</v>
      </c>
      <c r="B27" s="8"/>
      <c r="D27" s="8"/>
      <c r="F27" s="9"/>
      <c r="H27" s="9"/>
      <c r="K27" s="1"/>
    </row>
    <row r="28" spans="2:11" ht="12.75">
      <c r="B28" s="8" t="s">
        <v>19</v>
      </c>
      <c r="D28" s="8"/>
      <c r="F28" s="9"/>
      <c r="H28" s="9"/>
      <c r="K28" s="1"/>
    </row>
    <row r="29" spans="3:11" ht="12.75">
      <c r="C29" s="8" t="s">
        <v>20</v>
      </c>
      <c r="D29" s="8" t="s">
        <v>18</v>
      </c>
      <c r="E29" s="1">
        <v>21210230.161410462</v>
      </c>
      <c r="F29" s="9">
        <v>0.55</v>
      </c>
      <c r="G29" s="12">
        <f>E29*F29</f>
        <v>11665626.588775756</v>
      </c>
      <c r="H29" s="9">
        <f>'Outside County'!H29</f>
        <v>0.606</v>
      </c>
      <c r="I29" s="2">
        <f>H29*E29</f>
        <v>12853399.47781474</v>
      </c>
      <c r="J29" s="2"/>
      <c r="K29" s="1"/>
    </row>
    <row r="30" spans="3:11" ht="12.75">
      <c r="C30" s="8" t="s">
        <v>21</v>
      </c>
      <c r="D30" s="8" t="s">
        <v>18</v>
      </c>
      <c r="E30" s="1">
        <v>24552803.927529</v>
      </c>
      <c r="F30" s="9">
        <v>0.444</v>
      </c>
      <c r="G30" s="12">
        <f>E30*F30</f>
        <v>10901444.943822876</v>
      </c>
      <c r="H30" s="9">
        <f>'Outside County'!H30</f>
        <v>0.435</v>
      </c>
      <c r="I30" s="2">
        <f>H30*E30</f>
        <v>10680469.708475115</v>
      </c>
      <c r="J30" s="2"/>
      <c r="K30" s="1"/>
    </row>
    <row r="31" spans="3:11" ht="12.75">
      <c r="C31" s="8" t="s">
        <v>22</v>
      </c>
      <c r="D31" s="8" t="s">
        <v>18</v>
      </c>
      <c r="E31" s="1">
        <v>3701447.4666621815</v>
      </c>
      <c r="F31" s="9">
        <v>0.519</v>
      </c>
      <c r="G31" s="12">
        <f>E31*F31</f>
        <v>1921051.2351976724</v>
      </c>
      <c r="H31" s="9">
        <f>'Outside County'!H31</f>
        <v>0.561</v>
      </c>
      <c r="I31" s="2">
        <f>H31*E31</f>
        <v>2076512.028797484</v>
      </c>
      <c r="J31" s="2"/>
      <c r="K31" s="1"/>
    </row>
    <row r="32" spans="3:11" ht="12.75">
      <c r="C32" s="8" t="s">
        <v>23</v>
      </c>
      <c r="D32" s="8" t="s">
        <v>18</v>
      </c>
      <c r="E32" s="1">
        <v>34425006.69167536</v>
      </c>
      <c r="F32" s="9">
        <v>0.416</v>
      </c>
      <c r="G32" s="12">
        <f>E32*F32</f>
        <v>14320802.783736948</v>
      </c>
      <c r="H32" s="9">
        <f>'Outside County'!H32</f>
        <v>0.403</v>
      </c>
      <c r="I32" s="2">
        <f>H32*E32</f>
        <v>13873277.69674517</v>
      </c>
      <c r="J32" s="2"/>
      <c r="K32" s="1"/>
    </row>
    <row r="33" spans="3:11" ht="12.75">
      <c r="C33" s="8" t="s">
        <v>24</v>
      </c>
      <c r="D33" s="8" t="s">
        <v>18</v>
      </c>
      <c r="E33" s="1">
        <v>20758540.32553012</v>
      </c>
      <c r="F33" s="9">
        <v>0.337</v>
      </c>
      <c r="G33" s="12">
        <f>E33*F33</f>
        <v>6995628.08970365</v>
      </c>
      <c r="H33" s="9">
        <f>'Outside County'!H33</f>
        <v>0.315</v>
      </c>
      <c r="I33" s="2">
        <f>H33*E33</f>
        <v>6538940.202541987</v>
      </c>
      <c r="J33" s="2"/>
      <c r="K33" s="1"/>
    </row>
    <row r="34" spans="2:11" ht="12.75">
      <c r="B34" s="8" t="s">
        <v>25</v>
      </c>
      <c r="D34" s="8"/>
      <c r="E34" s="1"/>
      <c r="F34" s="9"/>
      <c r="H34" s="9"/>
      <c r="J34" s="2"/>
      <c r="K34" s="1"/>
    </row>
    <row r="35" spans="3:11" ht="12.75">
      <c r="C35" s="8" t="s">
        <v>20</v>
      </c>
      <c r="D35" s="8" t="s">
        <v>18</v>
      </c>
      <c r="E35" s="1">
        <v>14512317.789870929</v>
      </c>
      <c r="F35" s="9">
        <v>0.445</v>
      </c>
      <c r="G35" s="12">
        <f>E35*F35</f>
        <v>6457981.416492564</v>
      </c>
      <c r="H35" s="9">
        <f>'Outside County'!H35</f>
        <v>0.491</v>
      </c>
      <c r="I35" s="2">
        <f>H35*E35</f>
        <v>7125548.034826626</v>
      </c>
      <c r="J35" s="2"/>
      <c r="K35" s="1"/>
    </row>
    <row r="36" spans="3:11" ht="12.75">
      <c r="C36" s="8" t="s">
        <v>21</v>
      </c>
      <c r="D36" s="8" t="s">
        <v>18</v>
      </c>
      <c r="E36" s="1">
        <v>15709435.45458544</v>
      </c>
      <c r="F36" s="9">
        <v>0.381</v>
      </c>
      <c r="G36" s="12">
        <f>E36*F36</f>
        <v>5985294.908197053</v>
      </c>
      <c r="H36" s="9">
        <f>'Outside County'!H36</f>
        <v>0.4</v>
      </c>
      <c r="I36" s="2">
        <f>H36*E36</f>
        <v>6283774.181834176</v>
      </c>
      <c r="J36" s="2"/>
      <c r="K36" s="1"/>
    </row>
    <row r="37" spans="3:11" ht="12.75">
      <c r="C37" s="8" t="s">
        <v>22</v>
      </c>
      <c r="D37" s="8" t="s">
        <v>18</v>
      </c>
      <c r="E37" s="1">
        <v>5065309.115839245</v>
      </c>
      <c r="F37" s="9">
        <v>0.424</v>
      </c>
      <c r="G37" s="12">
        <f>E37*F37</f>
        <v>2147691.0651158397</v>
      </c>
      <c r="H37" s="9">
        <f>'Outside County'!H37</f>
        <v>0.46699999999999997</v>
      </c>
      <c r="I37" s="2">
        <f>H37*E37</f>
        <v>2365499.3570969272</v>
      </c>
      <c r="J37" s="2"/>
      <c r="K37" s="1"/>
    </row>
    <row r="38" spans="3:11" ht="12.75">
      <c r="C38" s="8" t="s">
        <v>23</v>
      </c>
      <c r="D38" s="8" t="s">
        <v>18</v>
      </c>
      <c r="E38" s="1">
        <v>60875402.93030481</v>
      </c>
      <c r="F38" s="9">
        <v>0.36</v>
      </c>
      <c r="G38" s="12">
        <f>E38*F38</f>
        <v>21915145.054909732</v>
      </c>
      <c r="H38" s="9">
        <f>'Outside County'!H38</f>
        <v>0.377</v>
      </c>
      <c r="I38" s="2">
        <f>H38*E38</f>
        <v>22950026.904724915</v>
      </c>
      <c r="J38" s="2"/>
      <c r="K38" s="1"/>
    </row>
    <row r="39" spans="3:11" ht="12.75">
      <c r="C39" s="8" t="s">
        <v>24</v>
      </c>
      <c r="D39" s="8" t="s">
        <v>18</v>
      </c>
      <c r="E39" s="1">
        <v>9441647.196825685</v>
      </c>
      <c r="F39" s="9">
        <v>0.298</v>
      </c>
      <c r="G39" s="12">
        <f>E39*F39</f>
        <v>2813610.864654054</v>
      </c>
      <c r="H39" s="9">
        <f>'Outside County'!H39</f>
        <v>0.275</v>
      </c>
      <c r="I39" s="2">
        <f>H39*E39</f>
        <v>2596452.9791270634</v>
      </c>
      <c r="J39" s="2"/>
      <c r="K39" s="1"/>
    </row>
    <row r="40" spans="2:11" ht="12.75">
      <c r="B40" s="8" t="s">
        <v>26</v>
      </c>
      <c r="D40" s="8"/>
      <c r="E40" s="1"/>
      <c r="F40" s="9"/>
      <c r="H40" s="9"/>
      <c r="J40" s="2"/>
      <c r="K40" s="1"/>
    </row>
    <row r="41" spans="3:11" ht="12.75">
      <c r="C41" s="8" t="s">
        <v>20</v>
      </c>
      <c r="D41" s="8" t="s">
        <v>18</v>
      </c>
      <c r="E41" s="1">
        <v>39939488.19208454</v>
      </c>
      <c r="F41" s="9">
        <v>0.384</v>
      </c>
      <c r="G41" s="12">
        <f>E41*F41</f>
        <v>15336763.465760466</v>
      </c>
      <c r="H41" s="9">
        <f>'Outside County'!H41</f>
        <v>0.417</v>
      </c>
      <c r="I41" s="2">
        <f>H41*E41</f>
        <v>16654766.576099254</v>
      </c>
      <c r="J41" s="2"/>
      <c r="K41" s="1"/>
    </row>
    <row r="42" spans="3:11" ht="12.75">
      <c r="C42" s="8" t="s">
        <v>21</v>
      </c>
      <c r="D42" s="8" t="s">
        <v>18</v>
      </c>
      <c r="E42" s="1">
        <v>62207158.718107134</v>
      </c>
      <c r="F42" s="9">
        <v>0.358</v>
      </c>
      <c r="G42" s="12">
        <f>E42*F42</f>
        <v>22270162.821082354</v>
      </c>
      <c r="H42" s="9">
        <f>'Outside County'!H42</f>
        <v>0.383</v>
      </c>
      <c r="I42" s="2">
        <f>H42*E42</f>
        <v>23825341.789035033</v>
      </c>
      <c r="J42" s="2"/>
      <c r="K42" s="1"/>
    </row>
    <row r="43" spans="3:11" ht="12.75">
      <c r="C43" s="8" t="s">
        <v>22</v>
      </c>
      <c r="D43" s="8" t="s">
        <v>18</v>
      </c>
      <c r="E43" s="1">
        <v>40996989.88733941</v>
      </c>
      <c r="F43" s="9">
        <v>0.373</v>
      </c>
      <c r="G43" s="12">
        <f>E43*F43</f>
        <v>15291877.227977602</v>
      </c>
      <c r="H43" s="9">
        <f>'Outside County'!H43</f>
        <v>0.407</v>
      </c>
      <c r="I43" s="2">
        <f>H43*E43</f>
        <v>16685774.88414714</v>
      </c>
      <c r="J43" s="2"/>
      <c r="K43" s="1"/>
    </row>
    <row r="44" spans="3:11" ht="12.75">
      <c r="C44" s="8" t="s">
        <v>23</v>
      </c>
      <c r="D44" s="8" t="s">
        <v>18</v>
      </c>
      <c r="E44" s="1">
        <v>639656529.0927912</v>
      </c>
      <c r="F44" s="9">
        <v>0.341</v>
      </c>
      <c r="G44" s="12">
        <f>E44*F44</f>
        <v>218122876.4206418</v>
      </c>
      <c r="H44" s="9">
        <f>'Outside County'!H44</f>
        <v>0.362</v>
      </c>
      <c r="I44" s="2">
        <f>H44*E44</f>
        <v>231555663.5315904</v>
      </c>
      <c r="J44" s="2"/>
      <c r="K44" s="1"/>
    </row>
    <row r="45" spans="3:11" ht="12.75">
      <c r="C45" s="8" t="s">
        <v>24</v>
      </c>
      <c r="D45" s="8" t="s">
        <v>18</v>
      </c>
      <c r="E45" s="1">
        <v>12676494.050314609</v>
      </c>
      <c r="F45" s="9">
        <v>0.283</v>
      </c>
      <c r="G45" s="12">
        <f>E45*F45</f>
        <v>3587447.816239034</v>
      </c>
      <c r="H45" s="9">
        <f>'Outside County'!H45</f>
        <v>0.255</v>
      </c>
      <c r="I45" s="2">
        <f>H45*E45</f>
        <v>3232505.9828302255</v>
      </c>
      <c r="J45" s="2"/>
      <c r="K45" s="1"/>
    </row>
    <row r="46" spans="2:11" ht="12.75">
      <c r="B46" s="8" t="s">
        <v>27</v>
      </c>
      <c r="D46" s="8"/>
      <c r="E46" s="1"/>
      <c r="F46" s="9"/>
      <c r="H46" s="9"/>
      <c r="J46" s="2"/>
      <c r="K46" s="1"/>
    </row>
    <row r="47" spans="3:11" ht="12.75">
      <c r="C47" s="8" t="s">
        <v>20</v>
      </c>
      <c r="D47" s="8" t="s">
        <v>18</v>
      </c>
      <c r="E47" s="1">
        <v>42136663.12864627</v>
      </c>
      <c r="F47" s="9">
        <v>0.298</v>
      </c>
      <c r="G47" s="12">
        <f>E47*F47</f>
        <v>12556725.612336587</v>
      </c>
      <c r="H47" s="9">
        <f>'Outside County'!H47</f>
        <v>0.301</v>
      </c>
      <c r="I47" s="2">
        <f>H47*E47</f>
        <v>12683135.601722527</v>
      </c>
      <c r="J47" s="2"/>
      <c r="K47" s="1"/>
    </row>
    <row r="48" spans="3:11" ht="12.75">
      <c r="C48" s="8" t="s">
        <v>21</v>
      </c>
      <c r="D48" s="8" t="s">
        <v>18</v>
      </c>
      <c r="E48" s="1">
        <v>100040159.140322</v>
      </c>
      <c r="F48" s="9">
        <v>0.284</v>
      </c>
      <c r="G48" s="12">
        <f>E48*F48</f>
        <v>28411405.195851445</v>
      </c>
      <c r="H48" s="9">
        <f>'Outside County'!H48</f>
        <v>0.286</v>
      </c>
      <c r="I48" s="2">
        <f>H48*E48</f>
        <v>28611485.51413209</v>
      </c>
      <c r="J48" s="2"/>
      <c r="K48" s="1"/>
    </row>
    <row r="49" spans="3:11" ht="12.75">
      <c r="C49" s="8" t="s">
        <v>22</v>
      </c>
      <c r="D49" s="8" t="s">
        <v>18</v>
      </c>
      <c r="E49" s="1">
        <v>7493077.567231057</v>
      </c>
      <c r="F49" s="9">
        <v>0.293</v>
      </c>
      <c r="G49" s="12">
        <f>E49*F49</f>
        <v>2195471.7271986995</v>
      </c>
      <c r="H49" s="9">
        <f>'Outside County'!H49</f>
        <v>0.3</v>
      </c>
      <c r="I49" s="2">
        <f>H49*E49</f>
        <v>2247923.2701693173</v>
      </c>
      <c r="J49" s="2"/>
      <c r="K49" s="1"/>
    </row>
    <row r="50" spans="3:11" ht="12.75">
      <c r="C50" s="8" t="s">
        <v>23</v>
      </c>
      <c r="D50" s="8" t="s">
        <v>18</v>
      </c>
      <c r="E50" s="1">
        <v>1903371366.118693</v>
      </c>
      <c r="F50" s="9">
        <v>0.276</v>
      </c>
      <c r="G50" s="12">
        <f>E50*F50</f>
        <v>525330497.04875934</v>
      </c>
      <c r="H50" s="9">
        <f>'Outside County'!H50</f>
        <v>0.276</v>
      </c>
      <c r="I50" s="2">
        <f>H50*E50</f>
        <v>525330497.04875934</v>
      </c>
      <c r="J50" s="2"/>
      <c r="K50" s="1"/>
    </row>
    <row r="51" spans="3:11" ht="12.75">
      <c r="C51" s="8" t="s">
        <v>24</v>
      </c>
      <c r="D51" s="8" t="s">
        <v>18</v>
      </c>
      <c r="E51" s="1">
        <v>497669.7727068537</v>
      </c>
      <c r="F51" s="9">
        <v>0.217</v>
      </c>
      <c r="G51" s="12">
        <f>E51*F51</f>
        <v>107994.34067738726</v>
      </c>
      <c r="H51" s="9">
        <f>'Outside County'!H51</f>
        <v>0.195</v>
      </c>
      <c r="I51" s="2">
        <f>H51*E51</f>
        <v>97045.60567783647</v>
      </c>
      <c r="J51" s="2"/>
      <c r="K51" s="1"/>
    </row>
    <row r="52" spans="2:11" ht="12.75">
      <c r="B52" s="8" t="s">
        <v>28</v>
      </c>
      <c r="D52" s="8"/>
      <c r="E52" s="1"/>
      <c r="F52" s="9"/>
      <c r="H52" s="9"/>
      <c r="J52" s="2"/>
      <c r="K52" s="1"/>
    </row>
    <row r="53" spans="3:11" ht="12.75">
      <c r="C53" s="8" t="s">
        <v>29</v>
      </c>
      <c r="D53" s="8" t="s">
        <v>18</v>
      </c>
      <c r="E53" s="1">
        <v>2807195715.439372</v>
      </c>
      <c r="F53" s="9">
        <v>0.174</v>
      </c>
      <c r="G53" s="12">
        <f>E53*F53</f>
        <v>488452054.48645073</v>
      </c>
      <c r="H53" s="9">
        <f>'Outside County'!H53</f>
        <v>0.178</v>
      </c>
      <c r="I53" s="2">
        <f>H53*E53</f>
        <v>499680837.3482082</v>
      </c>
      <c r="J53" s="2"/>
      <c r="K53" s="1"/>
    </row>
    <row r="54" spans="3:11" ht="12.75">
      <c r="C54" s="8" t="s">
        <v>30</v>
      </c>
      <c r="D54" s="8" t="s">
        <v>18</v>
      </c>
      <c r="E54" s="1">
        <v>70030570.61667828</v>
      </c>
      <c r="F54" s="9">
        <v>0.153</v>
      </c>
      <c r="G54" s="12">
        <f>E54*F54</f>
        <v>10714677.304351777</v>
      </c>
      <c r="H54" s="9">
        <f>'Outside County'!H54</f>
        <v>0.151</v>
      </c>
      <c r="I54" s="2">
        <f>H54*E54</f>
        <v>10574616.16311842</v>
      </c>
      <c r="J54" s="2"/>
      <c r="K54" s="1"/>
    </row>
    <row r="55" spans="3:11" ht="12.75">
      <c r="C55" s="8" t="s">
        <v>31</v>
      </c>
      <c r="D55" s="8" t="s">
        <v>18</v>
      </c>
      <c r="E55" s="1">
        <v>22327622.606993526</v>
      </c>
      <c r="F55" s="9">
        <v>0.135</v>
      </c>
      <c r="G55" s="12">
        <f>E55*F55</f>
        <v>3014229.0519441264</v>
      </c>
      <c r="H55" s="9">
        <f>'Outside County'!H55</f>
        <v>0.132</v>
      </c>
      <c r="I55" s="2">
        <f>H55*E55</f>
        <v>2947246.1841231454</v>
      </c>
      <c r="J55" s="2"/>
      <c r="K55" s="1"/>
    </row>
    <row r="56" spans="3:11" ht="12.75">
      <c r="C56" s="8" t="s">
        <v>32</v>
      </c>
      <c r="D56" s="8" t="s">
        <v>18</v>
      </c>
      <c r="E56" s="1">
        <v>21629936.608486645</v>
      </c>
      <c r="F56" s="9">
        <v>0.174</v>
      </c>
      <c r="G56" s="12">
        <f>E56*F56</f>
        <v>3763608.969876676</v>
      </c>
      <c r="H56" s="9">
        <f>'Outside County'!H56</f>
        <v>0.178</v>
      </c>
      <c r="I56" s="2">
        <f>H56*E56</f>
        <v>3850128.7163106226</v>
      </c>
      <c r="J56" s="2"/>
      <c r="K56" s="1"/>
    </row>
    <row r="57" spans="3:11" ht="12.75">
      <c r="C57" s="8" t="s">
        <v>33</v>
      </c>
      <c r="D57" s="8" t="s">
        <v>34</v>
      </c>
      <c r="E57" s="1">
        <v>3514346457.385251</v>
      </c>
      <c r="F57" s="9">
        <v>-0.094</v>
      </c>
      <c r="G57" s="12">
        <f>E57*F57</f>
        <v>-330348566.9942136</v>
      </c>
      <c r="H57" s="9">
        <f>'Outside County'!H57</f>
        <v>-0.098</v>
      </c>
      <c r="I57" s="2">
        <f>H57*E57</f>
        <v>-344405952.8237546</v>
      </c>
      <c r="J57" s="2"/>
      <c r="K57" s="1"/>
    </row>
    <row r="58" spans="1:11" ht="12.75">
      <c r="A58" s="8" t="s">
        <v>35</v>
      </c>
      <c r="D58" s="8"/>
      <c r="E58" s="1"/>
      <c r="F58" s="9"/>
      <c r="H58" s="9"/>
      <c r="J58" s="2"/>
      <c r="K58" s="1"/>
    </row>
    <row r="59" spans="2:11" ht="12.75">
      <c r="B59" s="8" t="s">
        <v>37</v>
      </c>
      <c r="D59" s="8"/>
      <c r="E59" s="1"/>
      <c r="F59" s="9"/>
      <c r="H59" s="9"/>
      <c r="J59" s="2"/>
      <c r="K59" s="1"/>
    </row>
    <row r="60" spans="3:11" ht="12.75">
      <c r="C60" s="8" t="s">
        <v>38</v>
      </c>
      <c r="D60" s="8" t="s">
        <v>36</v>
      </c>
      <c r="E60" s="1">
        <v>6013227.438139494</v>
      </c>
      <c r="F60" s="9">
        <v>0.103</v>
      </c>
      <c r="G60" s="12">
        <f>E60*F60</f>
        <v>619362.4261283678</v>
      </c>
      <c r="H60" s="9">
        <f>'Outside County'!H60</f>
        <v>0.077</v>
      </c>
      <c r="I60" s="2">
        <f aca="true" t="shared" si="2" ref="I60:I79">H60*E60</f>
        <v>463018.512736741</v>
      </c>
      <c r="J60" s="2"/>
      <c r="K60" s="1"/>
    </row>
    <row r="61" spans="3:11" ht="12.75">
      <c r="C61" s="8" t="s">
        <v>39</v>
      </c>
      <c r="D61" s="8" t="s">
        <v>36</v>
      </c>
      <c r="E61" s="1">
        <v>5403879.378052095</v>
      </c>
      <c r="F61" s="9">
        <v>0.133</v>
      </c>
      <c r="G61" s="12">
        <f>E61*F61</f>
        <v>718715.9572809286</v>
      </c>
      <c r="H61" s="9">
        <f>'Outside County'!H61</f>
        <v>0.201</v>
      </c>
      <c r="I61" s="2">
        <f t="shared" si="2"/>
        <v>1086179.754988471</v>
      </c>
      <c r="J61" s="2"/>
      <c r="K61" s="1"/>
    </row>
    <row r="62" spans="3:11" ht="12.75">
      <c r="C62" s="8" t="s">
        <v>40</v>
      </c>
      <c r="D62" s="8" t="s">
        <v>36</v>
      </c>
      <c r="E62" s="1">
        <v>5015586.401750764</v>
      </c>
      <c r="F62" s="9">
        <v>0.138</v>
      </c>
      <c r="G62" s="12">
        <f>E62*F62</f>
        <v>692150.9234416055</v>
      </c>
      <c r="H62" s="9">
        <f>'Outside County'!H62</f>
        <v>0.267</v>
      </c>
      <c r="I62" s="2">
        <f t="shared" si="2"/>
        <v>1339161.569267454</v>
      </c>
      <c r="J62" s="2"/>
      <c r="K62" s="1"/>
    </row>
    <row r="63" spans="3:11" ht="12.75">
      <c r="C63" s="8" t="s">
        <v>41</v>
      </c>
      <c r="D63" s="8" t="s">
        <v>36</v>
      </c>
      <c r="E63" s="1">
        <v>1452934.7724208382</v>
      </c>
      <c r="F63" s="9">
        <v>0.166</v>
      </c>
      <c r="G63" s="12">
        <f>E63*F63</f>
        <v>241187.17222185916</v>
      </c>
      <c r="H63" s="9">
        <f>'Outside County'!H63</f>
        <v>0.276</v>
      </c>
      <c r="I63" s="2">
        <f t="shared" si="2"/>
        <v>401009.9971881514</v>
      </c>
      <c r="J63" s="2"/>
      <c r="K63" s="1"/>
    </row>
    <row r="64" spans="3:11" ht="12.75">
      <c r="C64" s="8" t="s">
        <v>32</v>
      </c>
      <c r="D64" s="8" t="s">
        <v>36</v>
      </c>
      <c r="E64" s="1">
        <v>2968814.0300080264</v>
      </c>
      <c r="F64" s="9">
        <v>0.081</v>
      </c>
      <c r="G64" s="12">
        <f>E64*F64</f>
        <v>240473.93643065015</v>
      </c>
      <c r="H64" s="9">
        <f>'Outside County'!H64</f>
        <v>0.179</v>
      </c>
      <c r="I64" s="2">
        <f t="shared" si="2"/>
        <v>531417.7113714367</v>
      </c>
      <c r="J64" s="2"/>
      <c r="K64" s="1"/>
    </row>
    <row r="65" spans="2:11" ht="12.75">
      <c r="B65" s="8" t="s">
        <v>42</v>
      </c>
      <c r="D65" s="8"/>
      <c r="E65" s="1"/>
      <c r="F65" s="9"/>
      <c r="H65" s="9"/>
      <c r="J65" s="2"/>
      <c r="K65" s="1"/>
    </row>
    <row r="66" spans="3:11" ht="12.75">
      <c r="C66" s="8" t="s">
        <v>39</v>
      </c>
      <c r="D66" s="8" t="s">
        <v>36</v>
      </c>
      <c r="E66" s="1">
        <v>4153725.1448515896</v>
      </c>
      <c r="F66" s="9">
        <v>0.039</v>
      </c>
      <c r="G66" s="12">
        <f>E66*F66</f>
        <v>161995.28064921199</v>
      </c>
      <c r="H66" s="9">
        <f>'Outside County'!H66</f>
        <v>0.111</v>
      </c>
      <c r="I66" s="2">
        <f t="shared" si="2"/>
        <v>461063.4910785264</v>
      </c>
      <c r="J66" s="2"/>
      <c r="K66" s="1"/>
    </row>
    <row r="67" spans="3:11" ht="12.75">
      <c r="C67" s="8" t="s">
        <v>40</v>
      </c>
      <c r="D67" s="8" t="s">
        <v>36</v>
      </c>
      <c r="E67" s="1">
        <v>21001537.74553965</v>
      </c>
      <c r="F67" s="9">
        <v>0.065</v>
      </c>
      <c r="G67" s="12">
        <f>E67*F67</f>
        <v>1365099.9534600773</v>
      </c>
      <c r="H67" s="9">
        <f>'Outside County'!H67</f>
        <v>0.183</v>
      </c>
      <c r="I67" s="2">
        <f t="shared" si="2"/>
        <v>3843281.4074337557</v>
      </c>
      <c r="J67" s="2"/>
      <c r="K67" s="1"/>
    </row>
    <row r="68" spans="3:11" ht="12.75">
      <c r="C68" s="8" t="s">
        <v>41</v>
      </c>
      <c r="D68" s="8" t="s">
        <v>36</v>
      </c>
      <c r="E68" s="1">
        <v>36846165.48823966</v>
      </c>
      <c r="F68" s="9">
        <v>0.098</v>
      </c>
      <c r="G68" s="12">
        <f>E68*F68</f>
        <v>3610924.217847487</v>
      </c>
      <c r="H68" s="9">
        <f>'Outside County'!H68</f>
        <v>0.19899999999999998</v>
      </c>
      <c r="I68" s="2">
        <f t="shared" si="2"/>
        <v>7332386.932159692</v>
      </c>
      <c r="J68" s="2"/>
      <c r="K68" s="1"/>
    </row>
    <row r="69" spans="3:11" ht="12.75">
      <c r="C69" s="8" t="s">
        <v>43</v>
      </c>
      <c r="D69" s="8" t="s">
        <v>36</v>
      </c>
      <c r="E69" s="1">
        <v>14819322.360278837</v>
      </c>
      <c r="F69" s="9">
        <v>0.107</v>
      </c>
      <c r="G69" s="12">
        <f>E69*F69</f>
        <v>1585667.4925498355</v>
      </c>
      <c r="H69" s="9">
        <f>'Outside County'!H69</f>
        <v>0.314</v>
      </c>
      <c r="I69" s="2">
        <f t="shared" si="2"/>
        <v>4653267.221127555</v>
      </c>
      <c r="J69" s="2"/>
      <c r="K69" s="1"/>
    </row>
    <row r="70" spans="3:11" ht="12.75">
      <c r="C70" s="8" t="s">
        <v>32</v>
      </c>
      <c r="D70" s="8" t="s">
        <v>36</v>
      </c>
      <c r="E70" s="1">
        <v>5602384.241567899</v>
      </c>
      <c r="F70" s="9">
        <v>0.049</v>
      </c>
      <c r="G70" s="12">
        <f>E70*F70</f>
        <v>274516.827836827</v>
      </c>
      <c r="H70" s="9">
        <f>'Outside County'!H70</f>
        <v>0.149</v>
      </c>
      <c r="I70" s="2">
        <f t="shared" si="2"/>
        <v>834755.2519936168</v>
      </c>
      <c r="J70" s="2"/>
      <c r="K70" s="1"/>
    </row>
    <row r="71" spans="2:11" ht="12.75">
      <c r="B71" s="8" t="s">
        <v>44</v>
      </c>
      <c r="D71" s="8"/>
      <c r="E71" s="1"/>
      <c r="F71" s="9"/>
      <c r="H71" s="9"/>
      <c r="J71" s="2"/>
      <c r="K71" s="1"/>
    </row>
    <row r="72" spans="3:11" ht="12.75">
      <c r="C72" s="8" t="s">
        <v>40</v>
      </c>
      <c r="D72" s="8" t="s">
        <v>36</v>
      </c>
      <c r="E72" s="1">
        <v>24645602.016501635</v>
      </c>
      <c r="F72" s="9">
        <v>0.04</v>
      </c>
      <c r="G72" s="12">
        <f>E72*F72</f>
        <v>985824.0806600654</v>
      </c>
      <c r="H72" s="9">
        <f>'Outside County'!H72</f>
        <v>0.125</v>
      </c>
      <c r="I72" s="2">
        <f t="shared" si="2"/>
        <v>3080700.2520627044</v>
      </c>
      <c r="J72" s="2"/>
      <c r="K72" s="1"/>
    </row>
    <row r="73" spans="3:11" ht="12.75">
      <c r="C73" s="8" t="s">
        <v>41</v>
      </c>
      <c r="D73" s="8" t="s">
        <v>36</v>
      </c>
      <c r="E73" s="1">
        <v>98026318.42104295</v>
      </c>
      <c r="F73" s="9">
        <v>0.086</v>
      </c>
      <c r="G73" s="12">
        <f>E73*F73</f>
        <v>8430263.384209692</v>
      </c>
      <c r="H73" s="9">
        <f>'Outside County'!H73</f>
        <v>0.145</v>
      </c>
      <c r="I73" s="2">
        <f t="shared" si="2"/>
        <v>14213816.171051227</v>
      </c>
      <c r="J73" s="2"/>
      <c r="K73" s="1"/>
    </row>
    <row r="74" spans="3:11" ht="12.75">
      <c r="C74" s="8" t="s">
        <v>43</v>
      </c>
      <c r="D74" s="8" t="s">
        <v>36</v>
      </c>
      <c r="E74" s="1">
        <v>204184099.79348266</v>
      </c>
      <c r="F74" s="9">
        <v>0.098</v>
      </c>
      <c r="G74" s="12">
        <f>E74*F74</f>
        <v>20010041.779761303</v>
      </c>
      <c r="H74" s="9">
        <f>'Outside County'!H74</f>
        <v>0.27899999999999997</v>
      </c>
      <c r="I74" s="2">
        <f t="shared" si="2"/>
        <v>56967363.842381656</v>
      </c>
      <c r="J74" s="2"/>
      <c r="K74" s="1"/>
    </row>
    <row r="75" spans="3:11" ht="12.75">
      <c r="C75" s="8" t="s">
        <v>32</v>
      </c>
      <c r="D75" s="8" t="s">
        <v>36</v>
      </c>
      <c r="E75" s="1">
        <v>9927764.247906547</v>
      </c>
      <c r="F75" s="9">
        <v>0.046</v>
      </c>
      <c r="G75" s="12">
        <f>E75*F75</f>
        <v>456677.1554037012</v>
      </c>
      <c r="H75" s="9">
        <f>'Outside County'!H75</f>
        <v>0.13699999999999998</v>
      </c>
      <c r="I75" s="2">
        <f t="shared" si="2"/>
        <v>1360103.7019631967</v>
      </c>
      <c r="J75" s="2"/>
      <c r="K75" s="1"/>
    </row>
    <row r="76" spans="2:11" ht="12.75">
      <c r="B76" s="8" t="s">
        <v>45</v>
      </c>
      <c r="D76" s="8"/>
      <c r="E76" s="1"/>
      <c r="F76" s="9"/>
      <c r="H76" s="9"/>
      <c r="J76" s="2"/>
      <c r="K76" s="1"/>
    </row>
    <row r="77" spans="3:11" ht="12.75">
      <c r="C77" s="8" t="s">
        <v>41</v>
      </c>
      <c r="D77" s="8" t="s">
        <v>36</v>
      </c>
      <c r="E77" s="1">
        <v>6197984.230952278</v>
      </c>
      <c r="F77" s="9">
        <v>0.008</v>
      </c>
      <c r="G77" s="12">
        <f>E77*F77</f>
        <v>49583.873847618226</v>
      </c>
      <c r="H77" s="9">
        <f>'Outside County'!H77</f>
        <v>0.14</v>
      </c>
      <c r="I77" s="2">
        <f t="shared" si="2"/>
        <v>867717.792333319</v>
      </c>
      <c r="J77" s="2"/>
      <c r="K77" s="1"/>
    </row>
    <row r="78" spans="3:11" ht="12.75">
      <c r="C78" s="8" t="s">
        <v>43</v>
      </c>
      <c r="D78" s="8" t="s">
        <v>36</v>
      </c>
      <c r="E78" s="1">
        <v>33148090.342223085</v>
      </c>
      <c r="F78" s="9">
        <v>0.04</v>
      </c>
      <c r="G78" s="12">
        <f>E78*F78</f>
        <v>1325923.6136889234</v>
      </c>
      <c r="H78" s="9">
        <f>'Outside County'!H78</f>
        <v>0.147</v>
      </c>
      <c r="I78" s="2">
        <f t="shared" si="2"/>
        <v>4872769.280306794</v>
      </c>
      <c r="J78" s="2"/>
      <c r="K78" s="1"/>
    </row>
    <row r="79" spans="3:11" ht="12.75">
      <c r="C79" s="8" t="s">
        <v>32</v>
      </c>
      <c r="D79" s="8" t="s">
        <v>36</v>
      </c>
      <c r="E79" s="1">
        <v>1426523.8465038103</v>
      </c>
      <c r="F79" s="9">
        <v>0.028</v>
      </c>
      <c r="G79" s="12">
        <f>E79*F79</f>
        <v>39942.667702106686</v>
      </c>
      <c r="H79" s="9">
        <f>'Outside County'!H79</f>
        <v>0.077</v>
      </c>
      <c r="I79" s="2">
        <f t="shared" si="2"/>
        <v>109842.33618079338</v>
      </c>
      <c r="J79" s="2"/>
      <c r="K79" s="1"/>
    </row>
    <row r="80" spans="1:11" ht="12.75">
      <c r="A80" s="10" t="s">
        <v>46</v>
      </c>
      <c r="D80" s="8"/>
      <c r="E80" s="1"/>
      <c r="F80" s="9"/>
      <c r="H80" s="9"/>
      <c r="J80" s="2"/>
      <c r="K80" s="1"/>
    </row>
    <row r="81" spans="2:11" ht="12.75">
      <c r="B81" s="8" t="s">
        <v>37</v>
      </c>
      <c r="D81" s="8"/>
      <c r="E81" s="1"/>
      <c r="F81" s="9"/>
      <c r="H81" s="9"/>
      <c r="J81" s="2"/>
      <c r="K81" s="1"/>
    </row>
    <row r="82" spans="3:11" ht="12.75">
      <c r="C82" s="8" t="s">
        <v>48</v>
      </c>
      <c r="D82" s="8" t="s">
        <v>47</v>
      </c>
      <c r="E82" s="1">
        <v>1053866.557425202</v>
      </c>
      <c r="F82" s="9">
        <v>0.432</v>
      </c>
      <c r="G82" s="12">
        <f>E82*F82</f>
        <v>455270.3528076873</v>
      </c>
      <c r="H82" s="9">
        <f>'Outside County'!H82</f>
        <v>0.42</v>
      </c>
      <c r="I82" s="2">
        <f>H82*E82</f>
        <v>442623.95411858486</v>
      </c>
      <c r="J82" s="2"/>
      <c r="K82" s="1"/>
    </row>
    <row r="83" spans="3:11" ht="12.75">
      <c r="C83" s="8" t="s">
        <v>49</v>
      </c>
      <c r="D83" s="8" t="s">
        <v>47</v>
      </c>
      <c r="E83" s="1">
        <v>4009660.3298430773</v>
      </c>
      <c r="F83" s="9">
        <v>0.432</v>
      </c>
      <c r="G83" s="12">
        <f>E83*F83</f>
        <v>1732173.2624922094</v>
      </c>
      <c r="H83" s="9">
        <f>'Outside County'!H83</f>
        <v>0.42</v>
      </c>
      <c r="I83" s="2">
        <f>H83*E83</f>
        <v>1684057.3385340925</v>
      </c>
      <c r="J83" s="2"/>
      <c r="K83" s="1"/>
    </row>
    <row r="84" spans="2:11" ht="12.75">
      <c r="B84" s="8" t="s">
        <v>50</v>
      </c>
      <c r="D84" s="8"/>
      <c r="E84" s="1"/>
      <c r="F84" s="9"/>
      <c r="G84" s="11"/>
      <c r="H84" s="9"/>
      <c r="J84" s="2"/>
      <c r="K84" s="1"/>
    </row>
    <row r="85" spans="3:11" ht="12.75">
      <c r="C85" s="8" t="s">
        <v>48</v>
      </c>
      <c r="D85" s="8" t="s">
        <v>47</v>
      </c>
      <c r="E85" s="1">
        <v>702587.8931335965</v>
      </c>
      <c r="F85" s="9">
        <v>1.853</v>
      </c>
      <c r="G85" s="12">
        <f>E85*F85</f>
        <v>1301895.3659765543</v>
      </c>
      <c r="H85" s="9">
        <f>'Outside County'!H85</f>
        <v>2.01</v>
      </c>
      <c r="I85" s="2">
        <f>H85*E85</f>
        <v>1412201.665198529</v>
      </c>
      <c r="J85" s="2"/>
      <c r="K85" s="1"/>
    </row>
    <row r="86" spans="3:11" ht="12.75">
      <c r="C86" s="8" t="s">
        <v>49</v>
      </c>
      <c r="D86" s="8" t="s">
        <v>47</v>
      </c>
      <c r="E86" s="1">
        <v>112513.69086293</v>
      </c>
      <c r="F86" s="9">
        <v>1.853</v>
      </c>
      <c r="G86" s="12">
        <f>E86*F86</f>
        <v>208487.8691690093</v>
      </c>
      <c r="H86" s="9">
        <f>'Outside County'!H86</f>
        <v>2.01</v>
      </c>
      <c r="I86" s="2">
        <f>H86*E86</f>
        <v>226152.51863448927</v>
      </c>
      <c r="J86" s="2"/>
      <c r="K86" s="1"/>
    </row>
    <row r="87" spans="3:11" ht="12.75">
      <c r="C87" s="8" t="s">
        <v>51</v>
      </c>
      <c r="D87" s="8" t="s">
        <v>47</v>
      </c>
      <c r="E87" s="1">
        <v>2792343.491709321</v>
      </c>
      <c r="F87" s="9">
        <v>1.853</v>
      </c>
      <c r="G87" s="12">
        <f>E87*F87</f>
        <v>5174212.490137371</v>
      </c>
      <c r="H87" s="9">
        <f>'Outside County'!H87</f>
        <v>2.01</v>
      </c>
      <c r="I87" s="2">
        <f>H87*E87</f>
        <v>5612610.418335734</v>
      </c>
      <c r="J87" s="2"/>
      <c r="K87" s="1"/>
    </row>
    <row r="88" spans="3:11" ht="12.75">
      <c r="C88" s="8" t="s">
        <v>52</v>
      </c>
      <c r="D88" s="8" t="s">
        <v>47</v>
      </c>
      <c r="E88" s="1">
        <v>4139.098483705485</v>
      </c>
      <c r="F88" s="9">
        <v>1.1320000000000001</v>
      </c>
      <c r="G88" s="12">
        <f>E88*F88</f>
        <v>4685.4594835546095</v>
      </c>
      <c r="H88" s="9">
        <f>'Outside County'!H88</f>
        <v>1.4</v>
      </c>
      <c r="I88" s="2">
        <f>H88*E88</f>
        <v>5794.737877187678</v>
      </c>
      <c r="J88" s="2"/>
      <c r="K88" s="1"/>
    </row>
    <row r="89" spans="3:11" ht="12.75">
      <c r="C89" s="8" t="s">
        <v>53</v>
      </c>
      <c r="D89" s="8" t="s">
        <v>47</v>
      </c>
      <c r="E89" s="1">
        <v>69406.05667070494</v>
      </c>
      <c r="F89" s="9">
        <v>0.618</v>
      </c>
      <c r="G89" s="12">
        <f>E89*F89</f>
        <v>42892.94302249565</v>
      </c>
      <c r="H89" s="9">
        <f>'Outside County'!H89</f>
        <v>0.8</v>
      </c>
      <c r="I89" s="2">
        <f>H89*E89</f>
        <v>55524.84533656396</v>
      </c>
      <c r="J89" s="2"/>
      <c r="K89" s="1"/>
    </row>
    <row r="90" spans="2:11" ht="12.75">
      <c r="B90" s="8" t="s">
        <v>54</v>
      </c>
      <c r="D90" s="8"/>
      <c r="E90" s="1"/>
      <c r="F90" s="9"/>
      <c r="G90" s="11"/>
      <c r="H90" s="9"/>
      <c r="J90" s="2"/>
      <c r="K90" s="1"/>
    </row>
    <row r="91" spans="3:11" ht="12.75">
      <c r="C91" s="8" t="s">
        <v>48</v>
      </c>
      <c r="D91" s="8" t="s">
        <v>47</v>
      </c>
      <c r="E91" s="1">
        <v>2047210.672471291</v>
      </c>
      <c r="F91" s="9">
        <v>1.956</v>
      </c>
      <c r="G91" s="12">
        <f aca="true" t="shared" si="3" ref="G91:G96">E91*F91</f>
        <v>4004344.075353845</v>
      </c>
      <c r="H91" s="9">
        <f>'Outside County'!H91</f>
        <v>2.1</v>
      </c>
      <c r="I91" s="2">
        <f aca="true" t="shared" si="4" ref="I91:I96">H91*E91</f>
        <v>4299142.412189711</v>
      </c>
      <c r="J91" s="2"/>
      <c r="K91" s="1"/>
    </row>
    <row r="92" spans="3:11" ht="12.75">
      <c r="C92" s="8" t="s">
        <v>49</v>
      </c>
      <c r="D92" s="8" t="s">
        <v>47</v>
      </c>
      <c r="E92" s="1">
        <v>311091.33692192397</v>
      </c>
      <c r="F92" s="9">
        <v>1.956</v>
      </c>
      <c r="G92" s="12">
        <f t="shared" si="3"/>
        <v>608494.6550192833</v>
      </c>
      <c r="H92" s="9">
        <f>'Outside County'!H92</f>
        <v>2.1</v>
      </c>
      <c r="I92" s="2">
        <f t="shared" si="4"/>
        <v>653291.8075360403</v>
      </c>
      <c r="J92" s="2"/>
      <c r="K92" s="1"/>
    </row>
    <row r="93" spans="3:11" ht="12.75">
      <c r="C93" s="8" t="s">
        <v>51</v>
      </c>
      <c r="D93" s="8" t="s">
        <v>47</v>
      </c>
      <c r="E93" s="1">
        <v>8793485.662089502</v>
      </c>
      <c r="F93" s="9">
        <v>1.956</v>
      </c>
      <c r="G93" s="12">
        <f t="shared" si="3"/>
        <v>17200057.955047067</v>
      </c>
      <c r="H93" s="9">
        <f>'Outside County'!H93</f>
        <v>2.1</v>
      </c>
      <c r="I93" s="2">
        <f t="shared" si="4"/>
        <v>18466319.890387956</v>
      </c>
      <c r="J93" s="2"/>
      <c r="K93" s="1"/>
    </row>
    <row r="94" spans="3:11" ht="12.75">
      <c r="C94" s="8" t="s">
        <v>52</v>
      </c>
      <c r="D94" s="8" t="s">
        <v>47</v>
      </c>
      <c r="E94" s="1">
        <v>9497.255890462364</v>
      </c>
      <c r="F94" s="9">
        <v>1.236</v>
      </c>
      <c r="G94" s="12">
        <f t="shared" si="3"/>
        <v>11738.608280611481</v>
      </c>
      <c r="H94" s="9">
        <f>'Outside County'!H94</f>
        <v>1.5</v>
      </c>
      <c r="I94" s="2">
        <f t="shared" si="4"/>
        <v>14245.883835693545</v>
      </c>
      <c r="J94" s="2"/>
      <c r="K94" s="1"/>
    </row>
    <row r="95" spans="3:11" ht="12.75">
      <c r="C95" s="8" t="s">
        <v>53</v>
      </c>
      <c r="D95" s="8" t="s">
        <v>47</v>
      </c>
      <c r="E95" s="1">
        <v>306368.5956316376</v>
      </c>
      <c r="F95" s="9">
        <v>1.03</v>
      </c>
      <c r="G95" s="12">
        <f t="shared" si="3"/>
        <v>315559.65350058675</v>
      </c>
      <c r="H95" s="9">
        <f>'Outside County'!H95</f>
        <v>1.2</v>
      </c>
      <c r="I95" s="2">
        <f t="shared" si="4"/>
        <v>367642.3147579651</v>
      </c>
      <c r="J95" s="2"/>
      <c r="K95" s="1"/>
    </row>
    <row r="96" spans="3:11" ht="12.75">
      <c r="C96" s="8" t="s">
        <v>55</v>
      </c>
      <c r="D96" s="8" t="s">
        <v>47</v>
      </c>
      <c r="E96" s="1">
        <v>1579717.3639022764</v>
      </c>
      <c r="F96" s="9">
        <v>0.618</v>
      </c>
      <c r="G96" s="12">
        <f t="shared" si="3"/>
        <v>976265.3308916067</v>
      </c>
      <c r="H96" s="9">
        <f>'Outside County'!H96</f>
        <v>0.8</v>
      </c>
      <c r="I96" s="2">
        <f t="shared" si="4"/>
        <v>1263773.8911218212</v>
      </c>
      <c r="J96" s="2"/>
      <c r="K96" s="1"/>
    </row>
    <row r="97" spans="2:11" ht="12.75">
      <c r="B97" s="8" t="s">
        <v>56</v>
      </c>
      <c r="D97" s="8"/>
      <c r="E97" s="1"/>
      <c r="F97" s="9"/>
      <c r="H97" s="9"/>
      <c r="J97" s="2"/>
      <c r="K97" s="1"/>
    </row>
    <row r="98" spans="3:11" ht="12.75">
      <c r="C98" s="8" t="s">
        <v>48</v>
      </c>
      <c r="D98" s="8" t="s">
        <v>47</v>
      </c>
      <c r="E98" s="1">
        <v>945899.3816484753</v>
      </c>
      <c r="F98" s="9">
        <v>2.306</v>
      </c>
      <c r="G98" s="12">
        <f aca="true" t="shared" si="5" ref="G98:G104">E98*F98</f>
        <v>2181243.974081384</v>
      </c>
      <c r="H98" s="9">
        <f>'Outside County'!H98</f>
        <v>2.7</v>
      </c>
      <c r="I98" s="2">
        <f aca="true" t="shared" si="6" ref="I98:I104">H98*E98</f>
        <v>2553928.3304508836</v>
      </c>
      <c r="J98" s="2"/>
      <c r="K98" s="1"/>
    </row>
    <row r="99" spans="3:11" ht="12.75">
      <c r="C99" s="8" t="s">
        <v>49</v>
      </c>
      <c r="D99" s="8" t="s">
        <v>47</v>
      </c>
      <c r="E99" s="1">
        <v>101790.55909177549</v>
      </c>
      <c r="F99" s="9">
        <v>2.306</v>
      </c>
      <c r="G99" s="12">
        <f t="shared" si="5"/>
        <v>234729.02926563428</v>
      </c>
      <c r="H99" s="9">
        <f>'Outside County'!H99</f>
        <v>2.7</v>
      </c>
      <c r="I99" s="2">
        <f t="shared" si="6"/>
        <v>274834.50954779383</v>
      </c>
      <c r="J99" s="2"/>
      <c r="K99" s="1"/>
    </row>
    <row r="100" spans="3:11" ht="12.75">
      <c r="C100" s="8" t="s">
        <v>51</v>
      </c>
      <c r="D100" s="8" t="s">
        <v>47</v>
      </c>
      <c r="E100" s="1">
        <v>2219655.5636100112</v>
      </c>
      <c r="F100" s="9">
        <v>2.306</v>
      </c>
      <c r="G100" s="12">
        <f t="shared" si="5"/>
        <v>5118525.729684686</v>
      </c>
      <c r="H100" s="9">
        <f>'Outside County'!H100</f>
        <v>2.7</v>
      </c>
      <c r="I100" s="2">
        <f t="shared" si="6"/>
        <v>5993070.02174703</v>
      </c>
      <c r="J100" s="2"/>
      <c r="K100" s="1"/>
    </row>
    <row r="101" spans="3:11" ht="12.75">
      <c r="C101" s="8" t="s">
        <v>52</v>
      </c>
      <c r="D101" s="8" t="s">
        <v>47</v>
      </c>
      <c r="E101" s="1">
        <v>4726.057705282288</v>
      </c>
      <c r="F101" s="9">
        <v>1.544</v>
      </c>
      <c r="G101" s="12">
        <f t="shared" si="5"/>
        <v>7297.033096955854</v>
      </c>
      <c r="H101" s="9">
        <f>'Outside County'!H101</f>
        <v>2</v>
      </c>
      <c r="I101" s="2">
        <f t="shared" si="6"/>
        <v>9452.115410564576</v>
      </c>
      <c r="J101" s="2"/>
      <c r="K101" s="1"/>
    </row>
    <row r="102" spans="3:11" ht="12.75">
      <c r="C102" s="8" t="s">
        <v>53</v>
      </c>
      <c r="D102" s="8" t="s">
        <v>47</v>
      </c>
      <c r="E102" s="1">
        <v>248782.21969349036</v>
      </c>
      <c r="F102" s="9">
        <v>1.338</v>
      </c>
      <c r="G102" s="12">
        <f t="shared" si="5"/>
        <v>332870.6099498901</v>
      </c>
      <c r="H102" s="9">
        <f>'Outside County'!H102</f>
        <v>1.7</v>
      </c>
      <c r="I102" s="2">
        <f t="shared" si="6"/>
        <v>422929.7734789336</v>
      </c>
      <c r="J102" s="2"/>
      <c r="K102" s="1"/>
    </row>
    <row r="103" spans="3:11" ht="12.75">
      <c r="C103" s="8" t="s">
        <v>55</v>
      </c>
      <c r="D103" s="8" t="s">
        <v>47</v>
      </c>
      <c r="E103" s="1">
        <v>1597583.7155494362</v>
      </c>
      <c r="F103" s="9">
        <v>0.927</v>
      </c>
      <c r="G103" s="12">
        <f t="shared" si="5"/>
        <v>1480960.1043143275</v>
      </c>
      <c r="H103" s="9">
        <f>'Outside County'!H103</f>
        <v>1.3</v>
      </c>
      <c r="I103" s="2">
        <f t="shared" si="6"/>
        <v>2076858.8302142671</v>
      </c>
      <c r="J103" s="2"/>
      <c r="K103" s="1"/>
    </row>
    <row r="104" spans="3:11" ht="12.75">
      <c r="C104" s="8" t="s">
        <v>57</v>
      </c>
      <c r="D104" s="8" t="s">
        <v>47</v>
      </c>
      <c r="E104" s="1">
        <v>507312.7010853813</v>
      </c>
      <c r="F104" s="9">
        <v>0.721</v>
      </c>
      <c r="G104" s="12">
        <f t="shared" si="5"/>
        <v>365772.4574825599</v>
      </c>
      <c r="H104" s="9">
        <f>'Outside County'!H104</f>
        <v>0.9</v>
      </c>
      <c r="I104" s="2">
        <f t="shared" si="6"/>
        <v>456581.4309768432</v>
      </c>
      <c r="J104" s="2"/>
      <c r="K104" s="1"/>
    </row>
    <row r="105" spans="1:11" ht="12.75">
      <c r="A105" s="8" t="s">
        <v>58</v>
      </c>
      <c r="D105" s="8"/>
      <c r="E105" s="1"/>
      <c r="F105" s="9"/>
      <c r="H105" s="9"/>
      <c r="J105" s="2"/>
      <c r="K105" s="1"/>
    </row>
    <row r="106" spans="2:11" ht="12.75">
      <c r="B106" s="8" t="s">
        <v>60</v>
      </c>
      <c r="D106" s="8"/>
      <c r="E106" s="1"/>
      <c r="F106" s="9"/>
      <c r="H106" s="9"/>
      <c r="J106" s="2"/>
      <c r="K106" s="1"/>
    </row>
    <row r="107" spans="3:11" ht="12.75">
      <c r="C107" s="8" t="s">
        <v>48</v>
      </c>
      <c r="D107" s="8" t="s">
        <v>59</v>
      </c>
      <c r="E107" s="1">
        <v>43836.36221755046</v>
      </c>
      <c r="F107" s="9">
        <v>19.161</v>
      </c>
      <c r="G107" s="12">
        <f>E107*F107</f>
        <v>839948.5364504844</v>
      </c>
      <c r="H107" s="9">
        <f>'Outside County'!H107</f>
        <v>28</v>
      </c>
      <c r="I107" s="2">
        <f>H107*E107</f>
        <v>1227418.1420914128</v>
      </c>
      <c r="J107" s="2"/>
      <c r="K107" s="1"/>
    </row>
    <row r="108" spans="3:11" ht="12.75">
      <c r="C108" s="8" t="s">
        <v>49</v>
      </c>
      <c r="D108" s="8" t="s">
        <v>59</v>
      </c>
      <c r="E108" s="1">
        <v>29581.724016889162</v>
      </c>
      <c r="F108" s="9">
        <v>19.161</v>
      </c>
      <c r="G108" s="12">
        <f>E108*F108</f>
        <v>566815.4138876132</v>
      </c>
      <c r="H108" s="9">
        <f>'Outside County'!H108</f>
        <v>28</v>
      </c>
      <c r="I108" s="2">
        <f>H108*E108</f>
        <v>828288.2724728965</v>
      </c>
      <c r="J108" s="2"/>
      <c r="K108" s="1"/>
    </row>
    <row r="109" spans="3:11" ht="12.75">
      <c r="C109" s="8" t="s">
        <v>51</v>
      </c>
      <c r="D109" s="8" t="s">
        <v>59</v>
      </c>
      <c r="E109" s="1">
        <v>238557.12554359518</v>
      </c>
      <c r="F109" s="9">
        <v>19.161</v>
      </c>
      <c r="G109" s="12">
        <f>E109*F109</f>
        <v>4570993.082540828</v>
      </c>
      <c r="H109" s="9">
        <f>'Outside County'!H109</f>
        <v>28</v>
      </c>
      <c r="I109" s="2">
        <f>H109*E109</f>
        <v>6679599.515220664</v>
      </c>
      <c r="J109" s="2"/>
      <c r="K109" s="1"/>
    </row>
    <row r="110" spans="3:11" ht="12.75">
      <c r="C110" s="8" t="s">
        <v>52</v>
      </c>
      <c r="D110" s="8" t="s">
        <v>59</v>
      </c>
      <c r="E110" s="1">
        <v>2272.265124929288</v>
      </c>
      <c r="F110" s="9">
        <v>13.385</v>
      </c>
      <c r="G110" s="12">
        <f>E110*F110</f>
        <v>30414.26869717852</v>
      </c>
      <c r="H110" s="9">
        <f>'Outside County'!H110</f>
        <v>22.4</v>
      </c>
      <c r="I110" s="2">
        <f>H110*E110</f>
        <v>50898.73879841605</v>
      </c>
      <c r="J110" s="2"/>
      <c r="K110" s="1"/>
    </row>
    <row r="111" spans="3:11" ht="12.75">
      <c r="C111" s="8" t="s">
        <v>53</v>
      </c>
      <c r="D111" s="8" t="s">
        <v>59</v>
      </c>
      <c r="E111" s="1">
        <v>378119.1152587519</v>
      </c>
      <c r="F111" s="9">
        <v>9.163</v>
      </c>
      <c r="G111" s="12">
        <f>E111*F111</f>
        <v>3464705.453115944</v>
      </c>
      <c r="H111" s="9">
        <f>'Outside County'!H111</f>
        <v>12.4</v>
      </c>
      <c r="I111" s="2">
        <f>H111*E111</f>
        <v>4688677.029208524</v>
      </c>
      <c r="J111" s="2"/>
      <c r="K111" s="1"/>
    </row>
    <row r="112" spans="2:11" ht="12.75">
      <c r="B112" s="8" t="s">
        <v>61</v>
      </c>
      <c r="D112" s="8"/>
      <c r="E112" s="1"/>
      <c r="F112" s="9"/>
      <c r="H112" s="9"/>
      <c r="J112" s="2"/>
      <c r="K112" s="1"/>
    </row>
    <row r="113" spans="3:11" ht="12.75">
      <c r="C113" s="8" t="s">
        <v>48</v>
      </c>
      <c r="D113" s="8" t="s">
        <v>59</v>
      </c>
      <c r="E113" s="1">
        <v>82900.33521085707</v>
      </c>
      <c r="F113" s="9">
        <v>23.66</v>
      </c>
      <c r="G113" s="12">
        <f aca="true" t="shared" si="7" ref="G113:G118">E113*F113</f>
        <v>1961421.9310888783</v>
      </c>
      <c r="H113" s="9">
        <f>'Outside County'!H113</f>
        <v>33.36</v>
      </c>
      <c r="I113" s="2">
        <f aca="true" t="shared" si="8" ref="I113:I118">H113*E113</f>
        <v>2765555.1826341916</v>
      </c>
      <c r="J113" s="2"/>
      <c r="K113" s="1"/>
    </row>
    <row r="114" spans="3:11" ht="12.75">
      <c r="C114" s="8" t="s">
        <v>49</v>
      </c>
      <c r="D114" s="8" t="s">
        <v>59</v>
      </c>
      <c r="E114" s="1">
        <v>36724.80748375886</v>
      </c>
      <c r="F114" s="9">
        <v>23.66</v>
      </c>
      <c r="G114" s="12">
        <f t="shared" si="7"/>
        <v>868908.9450657346</v>
      </c>
      <c r="H114" s="9">
        <f>'Outside County'!H114</f>
        <v>33.36</v>
      </c>
      <c r="I114" s="2">
        <f t="shared" si="8"/>
        <v>1225139.5776581955</v>
      </c>
      <c r="J114" s="2"/>
      <c r="K114" s="1"/>
    </row>
    <row r="115" spans="3:11" ht="12.75">
      <c r="C115" s="8" t="s">
        <v>51</v>
      </c>
      <c r="D115" s="8" t="s">
        <v>59</v>
      </c>
      <c r="E115" s="1">
        <v>214187.11079511562</v>
      </c>
      <c r="F115" s="9">
        <v>23.66</v>
      </c>
      <c r="G115" s="12">
        <f t="shared" si="7"/>
        <v>5067667.0414124355</v>
      </c>
      <c r="H115" s="9">
        <f>'Outside County'!H115</f>
        <v>33.36</v>
      </c>
      <c r="I115" s="2">
        <f t="shared" si="8"/>
        <v>7145282.016125057</v>
      </c>
      <c r="J115" s="2"/>
      <c r="K115" s="1"/>
    </row>
    <row r="116" spans="3:11" ht="12.75">
      <c r="C116" s="8" t="s">
        <v>52</v>
      </c>
      <c r="D116" s="8" t="s">
        <v>59</v>
      </c>
      <c r="E116" s="1">
        <v>4870.932732399953</v>
      </c>
      <c r="F116" s="9">
        <v>14.826</v>
      </c>
      <c r="G116" s="12">
        <f t="shared" si="7"/>
        <v>72216.44869056171</v>
      </c>
      <c r="H116" s="9">
        <f>'Outside County'!H116</f>
        <v>23.8</v>
      </c>
      <c r="I116" s="2">
        <f t="shared" si="8"/>
        <v>115928.19903111889</v>
      </c>
      <c r="J116" s="2"/>
      <c r="K116" s="1"/>
    </row>
    <row r="117" spans="3:11" ht="12.75">
      <c r="C117" s="8" t="s">
        <v>53</v>
      </c>
      <c r="D117" s="8" t="s">
        <v>59</v>
      </c>
      <c r="E117" s="1">
        <v>254879.04289597593</v>
      </c>
      <c r="F117" s="9">
        <v>12.561</v>
      </c>
      <c r="G117" s="12">
        <f t="shared" si="7"/>
        <v>3201535.6578163537</v>
      </c>
      <c r="H117" s="9">
        <f>'Outside County'!H117</f>
        <v>20.7</v>
      </c>
      <c r="I117" s="2">
        <f t="shared" si="8"/>
        <v>5275996.187946701</v>
      </c>
      <c r="J117" s="2"/>
      <c r="K117" s="1"/>
    </row>
    <row r="118" spans="3:11" ht="12.75">
      <c r="C118" s="8" t="s">
        <v>55</v>
      </c>
      <c r="D118" s="8" t="s">
        <v>59</v>
      </c>
      <c r="E118" s="1">
        <v>1170620.4267681036</v>
      </c>
      <c r="F118" s="9">
        <v>6.898</v>
      </c>
      <c r="G118" s="12">
        <f t="shared" si="7"/>
        <v>8074939.703846378</v>
      </c>
      <c r="H118" s="9">
        <f>'Outside County'!H118</f>
        <v>11.1</v>
      </c>
      <c r="I118" s="2">
        <f t="shared" si="8"/>
        <v>12993886.73712595</v>
      </c>
      <c r="J118" s="2"/>
      <c r="K118" s="1"/>
    </row>
    <row r="119" spans="2:11" ht="12.75">
      <c r="B119" s="8" t="s">
        <v>62</v>
      </c>
      <c r="D119" s="8"/>
      <c r="E119" s="1"/>
      <c r="F119" s="9"/>
      <c r="H119" s="9"/>
      <c r="J119" s="2"/>
      <c r="K119" s="1"/>
    </row>
    <row r="120" spans="3:11" ht="12.75">
      <c r="C120" s="8" t="s">
        <v>48</v>
      </c>
      <c r="D120" s="8" t="s">
        <v>59</v>
      </c>
      <c r="E120" s="1">
        <v>8082.35550761405</v>
      </c>
      <c r="F120" s="9">
        <v>27.748</v>
      </c>
      <c r="G120" s="12">
        <f aca="true" t="shared" si="9" ref="G120:G126">E120*F120</f>
        <v>224269.20062527468</v>
      </c>
      <c r="H120" s="9">
        <f>'Outside County'!H120</f>
        <v>42.13</v>
      </c>
      <c r="I120" s="2">
        <f aca="true" t="shared" si="10" ref="I120:I126">H120*E120</f>
        <v>340509.63753577997</v>
      </c>
      <c r="J120" s="2"/>
      <c r="K120" s="1"/>
    </row>
    <row r="121" spans="3:11" ht="12.75">
      <c r="C121" s="8" t="s">
        <v>49</v>
      </c>
      <c r="D121" s="8" t="s">
        <v>59</v>
      </c>
      <c r="E121" s="1">
        <v>1933.7269105645103</v>
      </c>
      <c r="F121" s="9">
        <v>27.748</v>
      </c>
      <c r="G121" s="12">
        <f t="shared" si="9"/>
        <v>53657.05431434403</v>
      </c>
      <c r="H121" s="9">
        <f>'Outside County'!H121</f>
        <v>42.13</v>
      </c>
      <c r="I121" s="2">
        <f t="shared" si="10"/>
        <v>81467.91474208282</v>
      </c>
      <c r="J121" s="2"/>
      <c r="K121" s="1"/>
    </row>
    <row r="122" spans="3:11" ht="12.75">
      <c r="C122" s="8" t="s">
        <v>51</v>
      </c>
      <c r="D122" s="8" t="s">
        <v>59</v>
      </c>
      <c r="E122" s="1">
        <v>16760.23371580818</v>
      </c>
      <c r="F122" s="9">
        <v>27.748</v>
      </c>
      <c r="G122" s="12">
        <f t="shared" si="9"/>
        <v>465062.9651462454</v>
      </c>
      <c r="H122" s="9">
        <f>'Outside County'!H122</f>
        <v>42.13</v>
      </c>
      <c r="I122" s="2">
        <f t="shared" si="10"/>
        <v>706108.6464469986</v>
      </c>
      <c r="J122" s="2"/>
      <c r="K122" s="1"/>
    </row>
    <row r="123" spans="3:11" ht="12.75">
      <c r="C123" s="8" t="s">
        <v>52</v>
      </c>
      <c r="D123" s="8" t="s">
        <v>59</v>
      </c>
      <c r="E123" s="1">
        <v>1127.0402768819154</v>
      </c>
      <c r="F123" s="9">
        <v>18.018</v>
      </c>
      <c r="G123" s="12">
        <f t="shared" si="9"/>
        <v>20307.01170885835</v>
      </c>
      <c r="H123" s="9">
        <f>'Outside County'!H123</f>
        <v>31.9</v>
      </c>
      <c r="I123" s="2">
        <f t="shared" si="10"/>
        <v>35952.584832533095</v>
      </c>
      <c r="J123" s="2"/>
      <c r="K123" s="1"/>
    </row>
    <row r="124" spans="3:11" ht="12.75">
      <c r="C124" s="8" t="s">
        <v>53</v>
      </c>
      <c r="D124" s="8" t="s">
        <v>59</v>
      </c>
      <c r="E124" s="1">
        <v>20991.732143973426</v>
      </c>
      <c r="F124" s="9">
        <v>15.959</v>
      </c>
      <c r="G124" s="12">
        <f t="shared" si="9"/>
        <v>335007.0532856719</v>
      </c>
      <c r="H124" s="9">
        <f>'Outside County'!H124</f>
        <v>30.2</v>
      </c>
      <c r="I124" s="2">
        <f t="shared" si="10"/>
        <v>633950.3107479975</v>
      </c>
      <c r="J124" s="2"/>
      <c r="K124" s="1"/>
    </row>
    <row r="125" spans="3:11" ht="12.75">
      <c r="C125" s="8" t="s">
        <v>55</v>
      </c>
      <c r="D125" s="8" t="s">
        <v>59</v>
      </c>
      <c r="E125" s="1">
        <v>356195.394412903</v>
      </c>
      <c r="F125" s="9">
        <v>8.237</v>
      </c>
      <c r="G125" s="12">
        <f t="shared" si="9"/>
        <v>2933981.463779082</v>
      </c>
      <c r="H125" s="9">
        <f>'Outside County'!H125</f>
        <v>20.4</v>
      </c>
      <c r="I125" s="2">
        <f t="shared" si="10"/>
        <v>7266386.046023221</v>
      </c>
      <c r="J125" s="2"/>
      <c r="K125" s="1"/>
    </row>
    <row r="126" spans="3:11" ht="12.75">
      <c r="C126" s="8" t="s">
        <v>57</v>
      </c>
      <c r="D126" s="8" t="s">
        <v>59</v>
      </c>
      <c r="E126" s="1">
        <v>18263.999691057863</v>
      </c>
      <c r="F126" s="9">
        <v>1.236</v>
      </c>
      <c r="G126" s="12">
        <f t="shared" si="9"/>
        <v>22574.303618147518</v>
      </c>
      <c r="H126" s="9">
        <f>'Outside County'!H126</f>
        <v>1.6</v>
      </c>
      <c r="I126" s="2">
        <f t="shared" si="10"/>
        <v>29222.39950569258</v>
      </c>
      <c r="J126" s="2"/>
      <c r="K126" s="1"/>
    </row>
    <row r="127" spans="3:9" ht="12.75">
      <c r="C127" s="8" t="s">
        <v>79</v>
      </c>
      <c r="E127" s="1">
        <f>SUM(E6:E15,E17:E20,E23:E26)</f>
        <v>2878967305</v>
      </c>
      <c r="F127" s="9"/>
      <c r="G127" s="12">
        <f>SUM(G6:G15,G17:G20,G23:G26)</f>
        <v>612879307.9973061</v>
      </c>
      <c r="H127" s="9"/>
      <c r="I127" s="12">
        <f>SUM(I6:I15,I17:I20,I23:I26)</f>
        <v>583367600.6337434</v>
      </c>
    </row>
    <row r="128" spans="3:9" ht="12.75">
      <c r="C128" s="8" t="s">
        <v>80</v>
      </c>
      <c r="E128" s="1">
        <f>SUM(E29:E33,E35:E39,E41:E45,E47:E51,E53:E56)</f>
        <v>5980451582</v>
      </c>
      <c r="F128" s="9"/>
      <c r="G128" s="12">
        <f>SUM(G29:G33,G35:G39,G41:G45,G47:G51,G53:G57)</f>
        <v>1103931501.4455407</v>
      </c>
      <c r="H128" s="9"/>
      <c r="I128" s="12">
        <f>SUM(I29:I33,I35:I39,I41:I45,I47:I51,I53:I57)</f>
        <v>1120914915.9641533</v>
      </c>
    </row>
    <row r="129" spans="3:9" ht="12.75">
      <c r="C129" s="8" t="s">
        <v>81</v>
      </c>
      <c r="E129" s="1">
        <f>SUM(E60:E64,E66:E70,E72:E75,E77:E79)</f>
        <v>480833959.8994618</v>
      </c>
      <c r="F129" s="9"/>
      <c r="G129" s="12">
        <f>SUM(G60:G64,G66:G70,G72:G75,G77:G79)</f>
        <v>40808350.74312026</v>
      </c>
      <c r="H129" s="9"/>
      <c r="I129" s="12">
        <f>SUM(I60:I64,I66:I70,I72:I75,I77:I79)</f>
        <v>102417855.22562508</v>
      </c>
    </row>
    <row r="130" spans="3:9" ht="12.75">
      <c r="C130" s="8" t="s">
        <v>82</v>
      </c>
      <c r="E130" s="1">
        <f>SUM(E82:E83,E85:E89,E91:E96,E98:E104)</f>
        <v>27417638.20341948</v>
      </c>
      <c r="F130" s="9"/>
      <c r="G130" s="12">
        <f>SUM(G82:G83,G85:G89,G91:G96,G98:G104)</f>
        <v>41757476.959057316</v>
      </c>
      <c r="H130" s="9"/>
      <c r="I130" s="12">
        <f>SUM(I82:I83,I85:I89,I91:I96,I98:I104)</f>
        <v>46291036.68969069</v>
      </c>
    </row>
    <row r="131" spans="3:9" ht="12.75">
      <c r="C131" s="8" t="s">
        <v>83</v>
      </c>
      <c r="E131" s="1">
        <f>SUM(E107:E111,E113:E118,E120:E126)</f>
        <v>2879903.73070673</v>
      </c>
      <c r="F131" s="9"/>
      <c r="G131" s="12">
        <f>SUM(G107:G111,G113:G118,G120:G126)</f>
        <v>32774425.535090018</v>
      </c>
      <c r="H131" s="9"/>
      <c r="I131" s="12">
        <f>SUM(I107:I111,I113:I118,I120:I126)</f>
        <v>52090267.13814742</v>
      </c>
    </row>
    <row r="132" spans="3:9" ht="12.75">
      <c r="C132" s="8" t="s">
        <v>63</v>
      </c>
      <c r="E132" s="1"/>
      <c r="F132" s="9"/>
      <c r="G132" s="13">
        <f>SUM(G127:G131)</f>
        <v>1832151062.6801143</v>
      </c>
      <c r="H132" s="9"/>
      <c r="I132" s="13">
        <f>SUM(I127:I131)</f>
        <v>1905081675.6513596</v>
      </c>
    </row>
    <row r="133" spans="3:9" ht="12.75">
      <c r="C133" s="8" t="s">
        <v>64</v>
      </c>
      <c r="E133" s="1">
        <v>87191494.5631976</v>
      </c>
      <c r="F133" s="9">
        <v>0.159</v>
      </c>
      <c r="G133" s="12">
        <f>E133*F133</f>
        <v>13863447.635548418</v>
      </c>
      <c r="H133" s="9">
        <f>'Outside County'!H133</f>
        <v>0.165</v>
      </c>
      <c r="I133" s="2">
        <f>H133*E133</f>
        <v>14386596.602927605</v>
      </c>
    </row>
    <row r="134" spans="3:9" ht="12.75">
      <c r="C134" s="8" t="s">
        <v>65</v>
      </c>
      <c r="E134" s="1">
        <v>2151449</v>
      </c>
      <c r="F134" s="9">
        <v>0.015</v>
      </c>
      <c r="G134" s="12">
        <f>E134*F134</f>
        <v>32271.735</v>
      </c>
      <c r="H134" s="9">
        <f>'Outside County'!H134</f>
        <v>0.015</v>
      </c>
      <c r="I134" s="2">
        <f>H134*E134</f>
        <v>32271.735</v>
      </c>
    </row>
    <row r="135" spans="3:9" ht="12.75">
      <c r="C135" s="8" t="s">
        <v>209</v>
      </c>
      <c r="E135" s="1"/>
      <c r="F135" s="9"/>
      <c r="G135" s="12">
        <f>-1240555.20859563/0.387978</f>
        <v>-3197488.539545103</v>
      </c>
      <c r="H135" s="9"/>
      <c r="I135" s="13">
        <f>'Outside County'!I136</f>
        <v>-3357027.581208361</v>
      </c>
    </row>
    <row r="136" spans="3:9" ht="12.75">
      <c r="C136" s="8" t="s">
        <v>66</v>
      </c>
      <c r="E136" s="1"/>
      <c r="F136" s="9"/>
      <c r="G136" s="13">
        <f>G132+G133+G134+G135</f>
        <v>1842849293.5111175</v>
      </c>
      <c r="H136" s="9"/>
      <c r="I136" s="13">
        <f>I132+I133+I134+I135</f>
        <v>1916143516.4080787</v>
      </c>
    </row>
    <row r="137" spans="5:6" ht="12.75">
      <c r="E137" s="1"/>
      <c r="F137" s="9"/>
    </row>
    <row r="138" spans="5:9" ht="12.75">
      <c r="E138" s="1"/>
      <c r="F138" s="9"/>
      <c r="G138">
        <f>G136/E128</f>
        <v>0.30814550845252836</v>
      </c>
      <c r="I138">
        <f>I136/E128</f>
        <v>0.3204011419765188</v>
      </c>
    </row>
    <row r="139" spans="5:9" ht="12.75">
      <c r="E139" s="1"/>
      <c r="F139" s="9"/>
      <c r="I139" s="42"/>
    </row>
    <row r="140" spans="1:6" ht="12.75">
      <c r="A140" s="76" t="s">
        <v>210</v>
      </c>
      <c r="D140" s="35"/>
      <c r="E140" s="1"/>
      <c r="F140" s="9"/>
    </row>
    <row r="141" spans="4:7" ht="12.75">
      <c r="D141" s="35"/>
      <c r="E141" s="1"/>
      <c r="F141" s="9"/>
      <c r="G141" s="2"/>
    </row>
    <row r="142" spans="4:6" ht="12.75">
      <c r="D142" s="12"/>
      <c r="E142" s="79"/>
      <c r="F142" s="18"/>
    </row>
    <row r="143" spans="4:7" ht="12.75">
      <c r="D143" s="12"/>
      <c r="E143" s="79"/>
      <c r="F143" s="9"/>
      <c r="G143" s="75"/>
    </row>
    <row r="144" spans="5:6" ht="12.75">
      <c r="E144" s="1"/>
      <c r="F144" s="9"/>
    </row>
    <row r="145" spans="5:6" ht="12.75">
      <c r="E145" s="1"/>
      <c r="F145" s="9"/>
    </row>
    <row r="146" spans="5:6" ht="12.75">
      <c r="E146" s="1"/>
      <c r="F146" s="9"/>
    </row>
    <row r="147" spans="5:6" ht="12.75">
      <c r="E147" s="1"/>
      <c r="F147" s="9"/>
    </row>
    <row r="148" spans="5:6" ht="12.75">
      <c r="E148" s="1"/>
      <c r="F148" s="9"/>
    </row>
    <row r="149" spans="5:6" ht="12.75">
      <c r="E149" s="1"/>
      <c r="F149" s="9"/>
    </row>
    <row r="150" spans="5:6" ht="12.75">
      <c r="E150" s="1"/>
      <c r="F150" s="9"/>
    </row>
    <row r="151" spans="5:6" ht="12.75">
      <c r="E151" s="1"/>
      <c r="F151" s="9"/>
    </row>
    <row r="152" spans="5:6" ht="12.75">
      <c r="E152" s="1"/>
      <c r="F152" s="9"/>
    </row>
    <row r="153" spans="5:6" ht="12.75">
      <c r="E153" s="1"/>
      <c r="F153" s="9"/>
    </row>
    <row r="154" spans="5:6" ht="12.75">
      <c r="E154" s="1"/>
      <c r="F154" s="9"/>
    </row>
    <row r="155" spans="5:6" ht="12.75">
      <c r="E155" s="1"/>
      <c r="F155" s="9"/>
    </row>
    <row r="156" spans="5:6" ht="12.75">
      <c r="E156" s="1"/>
      <c r="F156" s="9"/>
    </row>
    <row r="157" spans="5:6" ht="12.75">
      <c r="E157" s="1"/>
      <c r="F157" s="9"/>
    </row>
    <row r="158" spans="5:6" ht="12.75">
      <c r="E158" s="1"/>
      <c r="F158" s="9"/>
    </row>
    <row r="159" spans="5:6" ht="12.75">
      <c r="E159" s="1"/>
      <c r="F159" s="9"/>
    </row>
    <row r="160" spans="5:6" ht="12.75">
      <c r="E160" s="1"/>
      <c r="F160" s="9"/>
    </row>
    <row r="161" spans="5:6" ht="12.75">
      <c r="E161" s="1"/>
      <c r="F161" s="9"/>
    </row>
    <row r="162" spans="5:6" ht="12.75">
      <c r="E162" s="1"/>
      <c r="F162" s="9"/>
    </row>
    <row r="163" spans="5:6" ht="12.75">
      <c r="E163" s="1"/>
      <c r="F163" s="9"/>
    </row>
    <row r="164" spans="5:6" ht="12.75">
      <c r="E164" s="1"/>
      <c r="F164" s="9"/>
    </row>
    <row r="165" spans="5:6" ht="12.75">
      <c r="E165" s="1"/>
      <c r="F165" s="9"/>
    </row>
    <row r="166" spans="5:6" ht="12.75">
      <c r="E166" s="1"/>
      <c r="F166" s="9"/>
    </row>
    <row r="167" spans="5:6" ht="12.75">
      <c r="E167" s="1"/>
      <c r="F167" s="9"/>
    </row>
    <row r="168" spans="5:6" ht="12.75">
      <c r="E168" s="1"/>
      <c r="F168" s="9"/>
    </row>
    <row r="169" spans="5:6" ht="12.75">
      <c r="E169" s="1"/>
      <c r="F169" s="9"/>
    </row>
    <row r="170" spans="5:6" ht="12.75">
      <c r="E170" s="1"/>
      <c r="F170" s="9"/>
    </row>
    <row r="171" spans="5:6" ht="12.75">
      <c r="E171" s="1"/>
      <c r="F171" s="9"/>
    </row>
    <row r="172" spans="5:6" ht="12.75">
      <c r="E172" s="1"/>
      <c r="F172" s="9"/>
    </row>
    <row r="173" spans="5:6" ht="12.75">
      <c r="E173" s="1"/>
      <c r="F173" s="9"/>
    </row>
    <row r="174" spans="5:6" ht="12.75">
      <c r="E174" s="1"/>
      <c r="F174" s="9"/>
    </row>
    <row r="175" spans="5:6" ht="12.75">
      <c r="E175" s="1"/>
      <c r="F175" s="9"/>
    </row>
    <row r="176" spans="5:6" ht="12.75">
      <c r="E176" s="1"/>
      <c r="F176" s="9"/>
    </row>
    <row r="177" spans="5:6" ht="12.75">
      <c r="E177" s="1"/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</sheetData>
  <printOptions/>
  <pageMargins left="0.75" right="0.5" top="0.6" bottom="0.5" header="0.5" footer="0.5"/>
  <pageSetup horizontalDpi="600" verticalDpi="600" orientation="landscape" r:id="rId1"/>
  <rowBreaks count="3" manualBreakCount="3">
    <brk id="39" max="8" man="1"/>
    <brk id="79" max="8" man="1"/>
    <brk id="11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6"/>
  <sheetViews>
    <sheetView workbookViewId="0" topLeftCell="A1">
      <selection activeCell="K16" sqref="K1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3.421875" style="0" customWidth="1"/>
    <col min="4" max="4" width="9.7109375" style="0" bestFit="1" customWidth="1"/>
    <col min="5" max="5" width="14.57421875" style="0" customWidth="1"/>
    <col min="7" max="7" width="14.7109375" style="0" customWidth="1"/>
    <col min="8" max="8" width="11.57421875" style="0" customWidth="1"/>
    <col min="9" max="9" width="14.8515625" style="0" customWidth="1"/>
    <col min="10" max="10" width="12.8515625" style="0" customWidth="1"/>
  </cols>
  <sheetData>
    <row r="1" ht="12.75">
      <c r="A1" s="22" t="s">
        <v>68</v>
      </c>
    </row>
    <row r="3" spans="1:9" ht="38.25">
      <c r="A3" s="10" t="s">
        <v>0</v>
      </c>
      <c r="B3" s="8"/>
      <c r="C3" s="22"/>
      <c r="D3" s="10" t="s">
        <v>1</v>
      </c>
      <c r="E3" s="21" t="s">
        <v>110</v>
      </c>
      <c r="F3" s="21" t="s">
        <v>205</v>
      </c>
      <c r="G3" s="21" t="s">
        <v>206</v>
      </c>
      <c r="H3" s="21" t="s">
        <v>207</v>
      </c>
      <c r="I3" s="21" t="s">
        <v>208</v>
      </c>
    </row>
    <row r="4" spans="1:4" ht="12.75">
      <c r="A4" s="8" t="s">
        <v>2</v>
      </c>
      <c r="B4" s="8"/>
      <c r="D4" s="8"/>
    </row>
    <row r="5" spans="2:4" ht="12.75">
      <c r="B5" s="8" t="s">
        <v>3</v>
      </c>
      <c r="D5" s="8"/>
    </row>
    <row r="6" spans="3:11" ht="12.75">
      <c r="C6" s="8" t="s">
        <v>5</v>
      </c>
      <c r="D6" s="8" t="s">
        <v>4</v>
      </c>
      <c r="E6" s="2">
        <v>281069.25327730837</v>
      </c>
      <c r="F6" s="14">
        <f>'Regular Rate BD08'!F6</f>
        <v>0.165</v>
      </c>
      <c r="G6" s="15">
        <f aca="true" t="shared" si="0" ref="G6:G15">E6*F6</f>
        <v>46376.42679075588</v>
      </c>
      <c r="H6" s="9">
        <f>'Outside County'!H6</f>
        <v>0.131</v>
      </c>
      <c r="I6" s="15">
        <f>H6*E6</f>
        <v>36820.0721793274</v>
      </c>
      <c r="J6" s="2"/>
      <c r="K6" s="73"/>
    </row>
    <row r="7" spans="3:11" ht="12.75">
      <c r="C7" s="8" t="s">
        <v>6</v>
      </c>
      <c r="D7" s="8" t="s">
        <v>4</v>
      </c>
      <c r="E7" s="2">
        <v>77417944.63679942</v>
      </c>
      <c r="F7" s="14">
        <f>'Regular Rate BD08'!F7</f>
        <v>0.215</v>
      </c>
      <c r="G7" s="15">
        <f t="shared" si="0"/>
        <v>16644858.096911876</v>
      </c>
      <c r="H7" s="9">
        <f>'Outside County'!H7</f>
        <v>0.2</v>
      </c>
      <c r="I7" s="15">
        <f aca="true" t="shared" si="1" ref="I7:I20">H7*E7</f>
        <v>15483588.927359886</v>
      </c>
      <c r="J7" s="2"/>
      <c r="K7" s="73"/>
    </row>
    <row r="8" spans="3:11" ht="12.75">
      <c r="C8" s="8" t="s">
        <v>7</v>
      </c>
      <c r="D8" s="8" t="s">
        <v>4</v>
      </c>
      <c r="E8" s="2">
        <v>13145171.332133787</v>
      </c>
      <c r="F8" s="14">
        <f>'Regular Rate BD08'!F8</f>
        <v>0.225</v>
      </c>
      <c r="G8" s="15">
        <f t="shared" si="0"/>
        <v>2957663.549730102</v>
      </c>
      <c r="H8" s="9">
        <f>'Outside County'!H8</f>
        <v>0.212</v>
      </c>
      <c r="I8" s="15">
        <f t="shared" si="1"/>
        <v>2786776.322412363</v>
      </c>
      <c r="J8" s="2"/>
      <c r="K8" s="73"/>
    </row>
    <row r="9" spans="3:11" ht="12.75">
      <c r="C9" s="8" t="s">
        <v>8</v>
      </c>
      <c r="D9" s="8" t="s">
        <v>4</v>
      </c>
      <c r="E9" s="2">
        <v>8990971.223667085</v>
      </c>
      <c r="F9" s="14">
        <f>'Regular Rate BD08'!F9</f>
        <v>0.246</v>
      </c>
      <c r="G9" s="15">
        <f t="shared" si="0"/>
        <v>2211778.9210221027</v>
      </c>
      <c r="H9" s="9">
        <f>'Outside County'!H9</f>
        <v>0.237</v>
      </c>
      <c r="I9" s="15">
        <f t="shared" si="1"/>
        <v>2130860.180009099</v>
      </c>
      <c r="J9" s="2"/>
      <c r="K9" s="73"/>
    </row>
    <row r="10" spans="3:11" ht="12.75">
      <c r="C10" s="8" t="s">
        <v>9</v>
      </c>
      <c r="D10" s="8" t="s">
        <v>4</v>
      </c>
      <c r="E10" s="2">
        <v>4943650.856790479</v>
      </c>
      <c r="F10" s="14">
        <f>'Regular Rate BD08'!F10</f>
        <v>0.265</v>
      </c>
      <c r="G10" s="15">
        <f t="shared" si="0"/>
        <v>1310067.4770494772</v>
      </c>
      <c r="H10" s="9">
        <f>'Outside County'!H10</f>
        <v>0.259</v>
      </c>
      <c r="I10" s="15">
        <f t="shared" si="1"/>
        <v>1280405.5719087343</v>
      </c>
      <c r="J10" s="2"/>
      <c r="K10" s="73"/>
    </row>
    <row r="11" spans="3:11" ht="12.75">
      <c r="C11" s="8" t="s">
        <v>10</v>
      </c>
      <c r="D11" s="8" t="s">
        <v>4</v>
      </c>
      <c r="E11" s="2">
        <v>6331858.551395848</v>
      </c>
      <c r="F11" s="14">
        <f>'Regular Rate BD08'!F11</f>
        <v>0.312</v>
      </c>
      <c r="G11" s="15">
        <f t="shared" si="0"/>
        <v>1975539.8680355046</v>
      </c>
      <c r="H11" s="9">
        <f>'Outside County'!H11</f>
        <v>0.317</v>
      </c>
      <c r="I11" s="15">
        <f t="shared" si="1"/>
        <v>2007199.160792484</v>
      </c>
      <c r="J11" s="2"/>
      <c r="K11" s="73"/>
    </row>
    <row r="12" spans="3:11" ht="12.75">
      <c r="C12" s="8" t="s">
        <v>11</v>
      </c>
      <c r="D12" s="8" t="s">
        <v>4</v>
      </c>
      <c r="E12" s="2">
        <v>5823053.668486652</v>
      </c>
      <c r="F12" s="14">
        <f>'Regular Rate BD08'!F12</f>
        <v>0.383</v>
      </c>
      <c r="G12" s="15">
        <f t="shared" si="0"/>
        <v>2230229.555030388</v>
      </c>
      <c r="H12" s="9">
        <f>'Outside County'!H12</f>
        <v>0.404</v>
      </c>
      <c r="I12" s="15">
        <f t="shared" si="1"/>
        <v>2352513.682068608</v>
      </c>
      <c r="J12" s="2"/>
      <c r="K12" s="73"/>
    </row>
    <row r="13" spans="3:11" ht="12.75">
      <c r="C13" s="8" t="s">
        <v>12</v>
      </c>
      <c r="D13" s="8" t="s">
        <v>4</v>
      </c>
      <c r="E13" s="2">
        <v>2573034.2200290686</v>
      </c>
      <c r="F13" s="14">
        <f>'Regular Rate BD08'!F13</f>
        <v>0.459</v>
      </c>
      <c r="G13" s="15">
        <f t="shared" si="0"/>
        <v>1181022.7069933426</v>
      </c>
      <c r="H13" s="9">
        <f>'Outside County'!H13</f>
        <v>0.496</v>
      </c>
      <c r="I13" s="15">
        <f t="shared" si="1"/>
        <v>1276224.973134418</v>
      </c>
      <c r="J13" s="2"/>
      <c r="K13" s="73"/>
    </row>
    <row r="14" spans="3:11" ht="12.75">
      <c r="C14" s="8" t="s">
        <v>13</v>
      </c>
      <c r="D14" s="8" t="s">
        <v>4</v>
      </c>
      <c r="E14" s="2">
        <v>1674913.3536324096</v>
      </c>
      <c r="F14" s="14">
        <f>'Regular Rate BD08'!F14</f>
        <v>0.55</v>
      </c>
      <c r="G14" s="15">
        <f t="shared" si="0"/>
        <v>921202.3444978254</v>
      </c>
      <c r="H14" s="9">
        <f>'Outside County'!H14</f>
        <v>0.607</v>
      </c>
      <c r="I14" s="15">
        <f t="shared" si="1"/>
        <v>1016672.4056548727</v>
      </c>
      <c r="J14" s="2"/>
      <c r="K14" s="73"/>
    </row>
    <row r="15" spans="3:11" ht="12.75">
      <c r="C15" s="8" t="s">
        <v>14</v>
      </c>
      <c r="D15" s="8" t="s">
        <v>4</v>
      </c>
      <c r="E15" s="2">
        <v>3214796.6312548816</v>
      </c>
      <c r="F15" s="14">
        <f>'Regular Rate BD08'!F15</f>
        <v>0.628</v>
      </c>
      <c r="G15" s="15">
        <f t="shared" si="0"/>
        <v>2018892.2844280656</v>
      </c>
      <c r="H15" s="9">
        <f>'Outside County'!H15</f>
        <v>0.701</v>
      </c>
      <c r="I15" s="15">
        <f t="shared" si="1"/>
        <v>2253572.438509672</v>
      </c>
      <c r="J15" s="2"/>
      <c r="K15" s="73"/>
    </row>
    <row r="16" spans="2:11" ht="12.75">
      <c r="B16" s="8" t="s">
        <v>15</v>
      </c>
      <c r="D16" s="8"/>
      <c r="F16" s="14"/>
      <c r="H16" s="9"/>
      <c r="I16" s="15"/>
      <c r="J16" s="2"/>
      <c r="K16" s="73"/>
    </row>
    <row r="17" spans="3:11" ht="12.75">
      <c r="C17" s="8" t="s">
        <v>5</v>
      </c>
      <c r="D17" s="8" t="s">
        <v>4</v>
      </c>
      <c r="E17" s="2">
        <v>1086667.401885626</v>
      </c>
      <c r="F17" s="14">
        <f>'Regular Rate BD08'!F17</f>
        <v>0.137</v>
      </c>
      <c r="G17" s="15">
        <f>E17*F17</f>
        <v>148873.43405833075</v>
      </c>
      <c r="H17" s="9">
        <f>'Outside County'!H17</f>
        <v>0.109</v>
      </c>
      <c r="I17" s="15">
        <f t="shared" si="1"/>
        <v>118446.74680553323</v>
      </c>
      <c r="J17" s="2"/>
      <c r="K17" s="73"/>
    </row>
    <row r="18" spans="3:11" ht="12.75">
      <c r="C18" s="8" t="s">
        <v>6</v>
      </c>
      <c r="D18" s="8" t="s">
        <v>4</v>
      </c>
      <c r="E18" s="2">
        <v>157586937.8662656</v>
      </c>
      <c r="F18" s="14">
        <f>'Regular Rate BD08'!F18</f>
        <v>0.179</v>
      </c>
      <c r="G18" s="15">
        <f>E18*F18</f>
        <v>28208061.87806154</v>
      </c>
      <c r="H18" s="9">
        <f>'Outside County'!H18</f>
        <v>0.166</v>
      </c>
      <c r="I18" s="15">
        <f t="shared" si="1"/>
        <v>26159431.68580009</v>
      </c>
      <c r="J18" s="2"/>
      <c r="K18" s="73"/>
    </row>
    <row r="19" spans="3:11" ht="12.75">
      <c r="C19" s="8" t="s">
        <v>7</v>
      </c>
      <c r="D19" s="8" t="s">
        <v>4</v>
      </c>
      <c r="E19" s="2">
        <v>28956203.530008443</v>
      </c>
      <c r="F19" s="14">
        <f>'Regular Rate BD08'!F19</f>
        <v>0.187</v>
      </c>
      <c r="G19" s="15">
        <f>E19*F19</f>
        <v>5414810.060111579</v>
      </c>
      <c r="H19" s="9">
        <f>'Outside County'!H19</f>
        <v>0.176</v>
      </c>
      <c r="I19" s="15">
        <f t="shared" si="1"/>
        <v>5096291.821281485</v>
      </c>
      <c r="J19" s="2"/>
      <c r="K19" s="73"/>
    </row>
    <row r="20" spans="3:11" ht="12.75">
      <c r="C20" s="8" t="s">
        <v>16</v>
      </c>
      <c r="D20" s="8" t="s">
        <v>4</v>
      </c>
      <c r="E20" s="2">
        <v>175582575.4743734</v>
      </c>
      <c r="F20" s="14">
        <f>'Regular Rate BD08'!F20</f>
        <v>0.205</v>
      </c>
      <c r="G20" s="15">
        <f>E20*F20</f>
        <v>35994427.97224654</v>
      </c>
      <c r="H20" s="9">
        <f>'Outside County'!H20</f>
        <v>0.197</v>
      </c>
      <c r="I20" s="15">
        <f t="shared" si="1"/>
        <v>34589767.36845156</v>
      </c>
      <c r="J20" s="2"/>
      <c r="K20" s="73"/>
    </row>
    <row r="21" spans="1:11" ht="12.75">
      <c r="A21" s="8" t="s">
        <v>17</v>
      </c>
      <c r="B21" s="8"/>
      <c r="D21" s="8"/>
      <c r="F21" s="14"/>
      <c r="H21" s="9"/>
      <c r="I21" s="15"/>
      <c r="J21" s="2"/>
      <c r="K21" s="73"/>
    </row>
    <row r="22" spans="2:11" ht="12.75">
      <c r="B22" s="8" t="s">
        <v>19</v>
      </c>
      <c r="D22" s="8"/>
      <c r="F22" s="14"/>
      <c r="H22" s="9"/>
      <c r="I22" s="15"/>
      <c r="J22" s="2"/>
      <c r="K22" s="73"/>
    </row>
    <row r="23" spans="3:11" ht="12.75">
      <c r="C23" s="8" t="s">
        <v>20</v>
      </c>
      <c r="D23" s="8" t="s">
        <v>18</v>
      </c>
      <c r="E23" s="16">
        <v>795567.5094928825</v>
      </c>
      <c r="F23" s="14">
        <f>'Regular Rate BD08'!F29</f>
        <v>0.55</v>
      </c>
      <c r="G23" s="15">
        <f>E23*F23</f>
        <v>437562.13022108545</v>
      </c>
      <c r="H23" s="9">
        <f>'Outside County'!H29</f>
        <v>0.606</v>
      </c>
      <c r="I23" s="15">
        <f>H23*E23</f>
        <v>482113.9107526868</v>
      </c>
      <c r="J23" s="2"/>
      <c r="K23" s="73"/>
    </row>
    <row r="24" spans="3:11" ht="12.75">
      <c r="C24" s="8" t="s">
        <v>21</v>
      </c>
      <c r="D24" s="8" t="s">
        <v>18</v>
      </c>
      <c r="E24" s="16">
        <v>5137194.620663982</v>
      </c>
      <c r="F24" s="14">
        <f>'Regular Rate BD08'!F30</f>
        <v>0.444</v>
      </c>
      <c r="G24" s="15">
        <f>E24*F24</f>
        <v>2280914.411574808</v>
      </c>
      <c r="H24" s="9">
        <f>'Outside County'!H30</f>
        <v>0.435</v>
      </c>
      <c r="I24" s="15">
        <f>H24*E24</f>
        <v>2234679.659988832</v>
      </c>
      <c r="J24" s="2"/>
      <c r="K24" s="73"/>
    </row>
    <row r="25" spans="3:11" ht="12.75">
      <c r="C25" s="8" t="s">
        <v>22</v>
      </c>
      <c r="D25" s="8" t="s">
        <v>18</v>
      </c>
      <c r="E25" s="16">
        <v>530707.4362817463</v>
      </c>
      <c r="F25" s="14">
        <f>'Regular Rate BD08'!F31</f>
        <v>0.519</v>
      </c>
      <c r="G25" s="15">
        <f>E25*F25</f>
        <v>275437.1594302263</v>
      </c>
      <c r="H25" s="9">
        <f>'Outside County'!H31</f>
        <v>0.561</v>
      </c>
      <c r="I25" s="15">
        <f>H25*E25</f>
        <v>297726.8717540597</v>
      </c>
      <c r="J25" s="2"/>
      <c r="K25" s="73"/>
    </row>
    <row r="26" spans="3:11" ht="12.75">
      <c r="C26" s="8" t="s">
        <v>23</v>
      </c>
      <c r="D26" s="8" t="s">
        <v>18</v>
      </c>
      <c r="E26" s="16">
        <v>6275910.490145127</v>
      </c>
      <c r="F26" s="14">
        <f>'Regular Rate BD08'!F32</f>
        <v>0.416</v>
      </c>
      <c r="G26" s="15">
        <f>E26*F26</f>
        <v>2610778.7639003727</v>
      </c>
      <c r="H26" s="9">
        <f>'Outside County'!H32</f>
        <v>0.403</v>
      </c>
      <c r="I26" s="15">
        <f>H26*E26</f>
        <v>2529191.9275284866</v>
      </c>
      <c r="J26" s="2"/>
      <c r="K26" s="73"/>
    </row>
    <row r="27" spans="3:11" ht="12.75">
      <c r="C27" s="8" t="s">
        <v>24</v>
      </c>
      <c r="D27" s="8" t="s">
        <v>18</v>
      </c>
      <c r="E27" s="16">
        <v>4784762.037169835</v>
      </c>
      <c r="F27" s="14">
        <f>'Regular Rate BD08'!F33</f>
        <v>0.337</v>
      </c>
      <c r="G27" s="15">
        <f>E27*F27</f>
        <v>1612464.8065262344</v>
      </c>
      <c r="H27" s="9">
        <f>'Outside County'!H33</f>
        <v>0.315</v>
      </c>
      <c r="I27" s="15">
        <f>H27*E27</f>
        <v>1507200.0417084978</v>
      </c>
      <c r="J27" s="2"/>
      <c r="K27" s="73"/>
    </row>
    <row r="28" spans="2:11" ht="12.75">
      <c r="B28" s="8" t="s">
        <v>25</v>
      </c>
      <c r="D28" s="8"/>
      <c r="E28" s="16"/>
      <c r="F28" s="14"/>
      <c r="H28" s="9"/>
      <c r="I28" s="15"/>
      <c r="J28" s="2"/>
      <c r="K28" s="73"/>
    </row>
    <row r="29" spans="3:11" ht="12.75">
      <c r="C29" s="8" t="s">
        <v>20</v>
      </c>
      <c r="D29" s="8" t="s">
        <v>18</v>
      </c>
      <c r="E29" s="16">
        <v>618807.5763658667</v>
      </c>
      <c r="F29" s="14">
        <f>'Regular Rate BD08'!F35</f>
        <v>0.445</v>
      </c>
      <c r="G29" s="15">
        <f>E29*F29</f>
        <v>275369.3714828107</v>
      </c>
      <c r="H29" s="9">
        <f>'Outside County'!H35</f>
        <v>0.491</v>
      </c>
      <c r="I29" s="15">
        <f>H29*E29</f>
        <v>303834.51999564056</v>
      </c>
      <c r="J29" s="2"/>
      <c r="K29" s="73"/>
    </row>
    <row r="30" spans="3:11" ht="12.75">
      <c r="C30" s="8" t="s">
        <v>21</v>
      </c>
      <c r="D30" s="8" t="s">
        <v>18</v>
      </c>
      <c r="E30" s="16">
        <v>2871537.2195335506</v>
      </c>
      <c r="F30" s="14">
        <f>'Regular Rate BD08'!F36</f>
        <v>0.381</v>
      </c>
      <c r="G30" s="15">
        <f>E30*F30</f>
        <v>1094055.6806422828</v>
      </c>
      <c r="H30" s="9">
        <f>'Outside County'!H36</f>
        <v>0.4</v>
      </c>
      <c r="I30" s="15">
        <f>H30*E30</f>
        <v>1148614.8878134203</v>
      </c>
      <c r="J30" s="2"/>
      <c r="K30" s="73"/>
    </row>
    <row r="31" spans="3:11" ht="12.75">
      <c r="C31" s="8" t="s">
        <v>22</v>
      </c>
      <c r="D31" s="8" t="s">
        <v>18</v>
      </c>
      <c r="E31" s="16">
        <v>1247465.9657928948</v>
      </c>
      <c r="F31" s="14">
        <f>'Regular Rate BD08'!F37</f>
        <v>0.424</v>
      </c>
      <c r="G31" s="15">
        <f>E31*F31</f>
        <v>528925.5694961874</v>
      </c>
      <c r="H31" s="9">
        <f>'Outside County'!H37</f>
        <v>0.46699999999999997</v>
      </c>
      <c r="I31" s="15">
        <f>H31*E31</f>
        <v>582566.6060252818</v>
      </c>
      <c r="J31" s="2"/>
      <c r="K31" s="73"/>
    </row>
    <row r="32" spans="3:11" ht="12.75">
      <c r="C32" s="8" t="s">
        <v>23</v>
      </c>
      <c r="D32" s="8" t="s">
        <v>18</v>
      </c>
      <c r="E32" s="16">
        <v>12623663.076554831</v>
      </c>
      <c r="F32" s="14">
        <f>'Regular Rate BD08'!F38</f>
        <v>0.36</v>
      </c>
      <c r="G32" s="15">
        <f>E32*F32</f>
        <v>4544518.707559739</v>
      </c>
      <c r="H32" s="9">
        <f>'Outside County'!H38</f>
        <v>0.377</v>
      </c>
      <c r="I32" s="15">
        <f>H32*E32</f>
        <v>4759120.979861171</v>
      </c>
      <c r="J32" s="2"/>
      <c r="K32" s="73"/>
    </row>
    <row r="33" spans="3:11" ht="12.75">
      <c r="C33" s="8" t="s">
        <v>24</v>
      </c>
      <c r="D33" s="8" t="s">
        <v>18</v>
      </c>
      <c r="E33" s="16">
        <v>3525527.9177128375</v>
      </c>
      <c r="F33" s="14">
        <f>'Regular Rate BD08'!F39</f>
        <v>0.298</v>
      </c>
      <c r="G33" s="15">
        <f>E33*F33</f>
        <v>1050607.3194784254</v>
      </c>
      <c r="H33" s="9">
        <f>'Outside County'!H39</f>
        <v>0.275</v>
      </c>
      <c r="I33" s="15">
        <f>H33*E33</f>
        <v>969520.1773710303</v>
      </c>
      <c r="J33" s="2"/>
      <c r="K33" s="73"/>
    </row>
    <row r="34" spans="2:11" ht="12.75">
      <c r="B34" s="8" t="s">
        <v>26</v>
      </c>
      <c r="D34" s="8"/>
      <c r="E34" s="16"/>
      <c r="F34" s="14"/>
      <c r="H34" s="9"/>
      <c r="I34" s="15"/>
      <c r="J34" s="2"/>
      <c r="K34" s="73"/>
    </row>
    <row r="35" spans="3:11" ht="12.75">
      <c r="C35" s="8" t="s">
        <v>20</v>
      </c>
      <c r="D35" s="8" t="s">
        <v>18</v>
      </c>
      <c r="E35" s="16">
        <v>1931559.898790747</v>
      </c>
      <c r="F35" s="14">
        <f>'Regular Rate BD08'!F41</f>
        <v>0.384</v>
      </c>
      <c r="G35" s="15">
        <f>E35*F35</f>
        <v>741719.0011356468</v>
      </c>
      <c r="H35" s="9">
        <f>'Outside County'!H41</f>
        <v>0.417</v>
      </c>
      <c r="I35" s="15">
        <f>H35*E35</f>
        <v>805460.4777957414</v>
      </c>
      <c r="J35" s="2"/>
      <c r="K35" s="73"/>
    </row>
    <row r="36" spans="3:11" ht="12.75">
      <c r="C36" s="8" t="s">
        <v>21</v>
      </c>
      <c r="D36" s="8" t="s">
        <v>18</v>
      </c>
      <c r="E36" s="16">
        <v>11281702.244904017</v>
      </c>
      <c r="F36" s="14">
        <f>'Regular Rate BD08'!F42</f>
        <v>0.358</v>
      </c>
      <c r="G36" s="15">
        <f>E36*F36</f>
        <v>4038849.403675638</v>
      </c>
      <c r="H36" s="9">
        <f>'Outside County'!H42</f>
        <v>0.383</v>
      </c>
      <c r="I36" s="15">
        <f>H36*E36</f>
        <v>4320891.959798238</v>
      </c>
      <c r="J36" s="2"/>
      <c r="K36" s="73"/>
    </row>
    <row r="37" spans="3:11" ht="12.75">
      <c r="C37" s="8" t="s">
        <v>22</v>
      </c>
      <c r="D37" s="8" t="s">
        <v>18</v>
      </c>
      <c r="E37" s="16">
        <v>5503192.805244282</v>
      </c>
      <c r="F37" s="14">
        <f>'Regular Rate BD08'!F43</f>
        <v>0.373</v>
      </c>
      <c r="G37" s="15">
        <f>E37*F37</f>
        <v>2052690.9163561172</v>
      </c>
      <c r="H37" s="9">
        <f>'Outside County'!H43</f>
        <v>0.407</v>
      </c>
      <c r="I37" s="15">
        <f>H37*E37</f>
        <v>2239799.4717344227</v>
      </c>
      <c r="J37" s="2"/>
      <c r="K37" s="73"/>
    </row>
    <row r="38" spans="3:11" ht="12.75">
      <c r="C38" s="8" t="s">
        <v>23</v>
      </c>
      <c r="D38" s="8" t="s">
        <v>18</v>
      </c>
      <c r="E38" s="16">
        <v>122063127.94987376</v>
      </c>
      <c r="F38" s="14">
        <f>'Regular Rate BD08'!F44</f>
        <v>0.341</v>
      </c>
      <c r="G38" s="15">
        <f>E38*F38</f>
        <v>41623526.630906954</v>
      </c>
      <c r="H38" s="9">
        <f>'Outside County'!H44</f>
        <v>0.362</v>
      </c>
      <c r="I38" s="15">
        <f>H38*E38</f>
        <v>44186852.3178543</v>
      </c>
      <c r="J38" s="2"/>
      <c r="K38" s="73"/>
    </row>
    <row r="39" spans="3:11" ht="12.75">
      <c r="C39" s="8" t="s">
        <v>24</v>
      </c>
      <c r="D39" s="8" t="s">
        <v>18</v>
      </c>
      <c r="E39" s="16">
        <v>8828700.332979172</v>
      </c>
      <c r="F39" s="14">
        <f>'Regular Rate BD08'!F45</f>
        <v>0.283</v>
      </c>
      <c r="G39" s="15">
        <f>E39*F39</f>
        <v>2498522.1942331055</v>
      </c>
      <c r="H39" s="9">
        <f>'Outside County'!H45</f>
        <v>0.255</v>
      </c>
      <c r="I39" s="15">
        <f>H39*E39</f>
        <v>2251318.584909689</v>
      </c>
      <c r="J39" s="2"/>
      <c r="K39" s="73"/>
    </row>
    <row r="40" spans="2:11" ht="12.75">
      <c r="B40" s="8" t="s">
        <v>27</v>
      </c>
      <c r="D40" s="8"/>
      <c r="E40" s="16"/>
      <c r="F40" s="14"/>
      <c r="H40" s="9"/>
      <c r="I40" s="15"/>
      <c r="J40" s="2"/>
      <c r="K40" s="73"/>
    </row>
    <row r="41" spans="3:11" ht="12.75">
      <c r="C41" s="8" t="s">
        <v>20</v>
      </c>
      <c r="D41" s="8" t="s">
        <v>18</v>
      </c>
      <c r="E41" s="16">
        <v>3037299.9235559893</v>
      </c>
      <c r="F41" s="14">
        <f>'Regular Rate BD08'!F47</f>
        <v>0.298</v>
      </c>
      <c r="G41" s="15">
        <f>E41*F41</f>
        <v>905115.3772196848</v>
      </c>
      <c r="H41" s="9">
        <f>'Outside County'!H47</f>
        <v>0.301</v>
      </c>
      <c r="I41" s="15">
        <f>H41*E41</f>
        <v>914227.2769903528</v>
      </c>
      <c r="J41" s="2"/>
      <c r="K41" s="73"/>
    </row>
    <row r="42" spans="3:11" ht="12.75">
      <c r="C42" s="8" t="s">
        <v>21</v>
      </c>
      <c r="D42" s="8" t="s">
        <v>18</v>
      </c>
      <c r="E42" s="16">
        <v>30636300.185626213</v>
      </c>
      <c r="F42" s="14">
        <f>'Regular Rate BD08'!F48</f>
        <v>0.284</v>
      </c>
      <c r="G42" s="15">
        <f>E42*F42</f>
        <v>8700709.252717843</v>
      </c>
      <c r="H42" s="9">
        <f>'Outside County'!H48</f>
        <v>0.286</v>
      </c>
      <c r="I42" s="15">
        <f>H42*E42</f>
        <v>8761981.853089096</v>
      </c>
      <c r="J42" s="2"/>
      <c r="K42" s="73"/>
    </row>
    <row r="43" spans="3:11" ht="12.75">
      <c r="C43" s="8" t="s">
        <v>22</v>
      </c>
      <c r="D43" s="8" t="s">
        <v>18</v>
      </c>
      <c r="E43" s="16">
        <v>2049619.2863018932</v>
      </c>
      <c r="F43" s="14">
        <f>'Regular Rate BD08'!F49</f>
        <v>0.293</v>
      </c>
      <c r="G43" s="15">
        <f>E43*F43</f>
        <v>600538.4508864547</v>
      </c>
      <c r="H43" s="9">
        <f>'Outside County'!H49</f>
        <v>0.3</v>
      </c>
      <c r="I43" s="15">
        <f>H43*E43</f>
        <v>614885.7858905679</v>
      </c>
      <c r="J43" s="2"/>
      <c r="K43" s="73"/>
    </row>
    <row r="44" spans="3:11" ht="12.75">
      <c r="C44" s="8" t="s">
        <v>23</v>
      </c>
      <c r="D44" s="8" t="s">
        <v>18</v>
      </c>
      <c r="E44" s="16">
        <v>380893393.28908956</v>
      </c>
      <c r="F44" s="14">
        <f>'Regular Rate BD08'!F50</f>
        <v>0.276</v>
      </c>
      <c r="G44" s="15">
        <f>E44*F44</f>
        <v>105126576.54778872</v>
      </c>
      <c r="H44" s="9">
        <f>'Outside County'!H50</f>
        <v>0.276</v>
      </c>
      <c r="I44" s="15">
        <f>H44*E44</f>
        <v>105126576.54778872</v>
      </c>
      <c r="J44" s="2"/>
      <c r="K44" s="73"/>
    </row>
    <row r="45" spans="3:11" ht="12.75">
      <c r="C45" s="8" t="s">
        <v>24</v>
      </c>
      <c r="D45" s="8" t="s">
        <v>18</v>
      </c>
      <c r="E45" s="16">
        <v>1263939.5461143774</v>
      </c>
      <c r="F45" s="14">
        <f>'Regular Rate BD08'!F51</f>
        <v>0.217</v>
      </c>
      <c r="G45" s="15">
        <f>E45*F45</f>
        <v>274274.8815068199</v>
      </c>
      <c r="H45" s="9">
        <f>'Outside County'!H51</f>
        <v>0.195</v>
      </c>
      <c r="I45" s="15">
        <f>H45*E45</f>
        <v>246468.2114923036</v>
      </c>
      <c r="J45" s="2"/>
      <c r="K45" s="73"/>
    </row>
    <row r="46" spans="2:11" ht="12.75">
      <c r="B46" s="8" t="s">
        <v>28</v>
      </c>
      <c r="D46" s="8"/>
      <c r="E46" s="16"/>
      <c r="F46" s="14"/>
      <c r="H46" s="9"/>
      <c r="I46" s="15"/>
      <c r="J46" s="2"/>
      <c r="K46" s="73"/>
    </row>
    <row r="47" spans="3:11" ht="12.75">
      <c r="C47" s="8" t="s">
        <v>29</v>
      </c>
      <c r="D47" s="8" t="s">
        <v>18</v>
      </c>
      <c r="E47" s="16">
        <v>987076130.561516</v>
      </c>
      <c r="F47" s="14">
        <f>'Regular Rate BD08'!F53</f>
        <v>0.174</v>
      </c>
      <c r="G47" s="15">
        <f>E47*F47</f>
        <v>171751246.7177038</v>
      </c>
      <c r="H47" s="9">
        <f>'Outside County'!H53</f>
        <v>0.178</v>
      </c>
      <c r="I47" s="15">
        <f>H47*E47</f>
        <v>175699551.23994985</v>
      </c>
      <c r="J47" s="2"/>
      <c r="K47" s="73"/>
    </row>
    <row r="48" spans="3:11" ht="12.75">
      <c r="C48" s="8" t="s">
        <v>30</v>
      </c>
      <c r="D48" s="8" t="s">
        <v>18</v>
      </c>
      <c r="E48" s="16">
        <v>102421879.87184703</v>
      </c>
      <c r="F48" s="14">
        <f>'Regular Rate BD08'!F54</f>
        <v>0.153</v>
      </c>
      <c r="G48" s="15">
        <f>E48*F48</f>
        <v>15670547.620392596</v>
      </c>
      <c r="H48" s="9">
        <f>'Outside County'!H54</f>
        <v>0.151</v>
      </c>
      <c r="I48" s="15">
        <f>H48*E48</f>
        <v>15465703.860648902</v>
      </c>
      <c r="J48" s="2"/>
      <c r="K48" s="73"/>
    </row>
    <row r="49" spans="3:11" ht="12.75">
      <c r="C49" s="8" t="s">
        <v>31</v>
      </c>
      <c r="D49" s="8" t="s">
        <v>18</v>
      </c>
      <c r="E49" s="16">
        <v>32821669.101802908</v>
      </c>
      <c r="F49" s="14">
        <f>'Regular Rate BD08'!F55</f>
        <v>0.135</v>
      </c>
      <c r="G49" s="15">
        <f>E49*F49</f>
        <v>4430925.328743393</v>
      </c>
      <c r="H49" s="9">
        <f>'Outside County'!H55</f>
        <v>0.132</v>
      </c>
      <c r="I49" s="15">
        <f>H49*E49</f>
        <v>4332460.321437984</v>
      </c>
      <c r="J49" s="2"/>
      <c r="K49" s="73"/>
    </row>
    <row r="50" spans="3:11" ht="12.75">
      <c r="C50" s="8" t="s">
        <v>32</v>
      </c>
      <c r="D50" s="8" t="s">
        <v>18</v>
      </c>
      <c r="E50" s="16">
        <v>10306410.152640432</v>
      </c>
      <c r="F50" s="14">
        <f>'Regular Rate BD08'!F56</f>
        <v>0.174</v>
      </c>
      <c r="G50" s="15">
        <f>E50*F50</f>
        <v>1793315.3665594351</v>
      </c>
      <c r="H50" s="9">
        <f>'Outside County'!H56</f>
        <v>0.178</v>
      </c>
      <c r="I50" s="15">
        <f>H50*E50</f>
        <v>1834541.0071699969</v>
      </c>
      <c r="J50" s="2"/>
      <c r="K50" s="73"/>
    </row>
    <row r="51" spans="3:11" ht="25.5" customHeight="1">
      <c r="C51" s="29" t="s">
        <v>118</v>
      </c>
      <c r="D51" s="8" t="s">
        <v>34</v>
      </c>
      <c r="E51" s="16">
        <v>1301848950.277543</v>
      </c>
      <c r="F51" s="14">
        <f>'Regular Rate BD08'!F57</f>
        <v>-0.094</v>
      </c>
      <c r="G51" s="15">
        <f>E51*F51</f>
        <v>-122373801.32608905</v>
      </c>
      <c r="H51" s="9">
        <f>'Outside County'!H57</f>
        <v>-0.098</v>
      </c>
      <c r="I51" s="15">
        <f>H51*E51</f>
        <v>-127581197.12719923</v>
      </c>
      <c r="J51" s="2"/>
      <c r="K51" s="73"/>
    </row>
    <row r="52" spans="1:11" ht="12.75">
      <c r="A52" s="8" t="s">
        <v>35</v>
      </c>
      <c r="D52" s="8"/>
      <c r="E52" s="16"/>
      <c r="F52" s="14"/>
      <c r="H52" s="9"/>
      <c r="I52" s="15"/>
      <c r="J52" s="2"/>
      <c r="K52" s="73"/>
    </row>
    <row r="53" spans="2:11" ht="12.75">
      <c r="B53" s="8" t="s">
        <v>37</v>
      </c>
      <c r="D53" s="8"/>
      <c r="E53" s="16"/>
      <c r="F53" s="14"/>
      <c r="H53" s="9"/>
      <c r="I53" s="15"/>
      <c r="J53" s="2"/>
      <c r="K53" s="73"/>
    </row>
    <row r="54" spans="3:11" ht="12.75">
      <c r="C54" s="8" t="s">
        <v>38</v>
      </c>
      <c r="D54" s="8" t="s">
        <v>36</v>
      </c>
      <c r="E54" s="16">
        <v>822786.449329021</v>
      </c>
      <c r="F54" s="14">
        <f>'Regular Rate BD08'!F60</f>
        <v>0.103</v>
      </c>
      <c r="G54" s="15">
        <f>E54*F54</f>
        <v>84747.00428088916</v>
      </c>
      <c r="H54" s="9">
        <f>'Outside County'!H60</f>
        <v>0.077</v>
      </c>
      <c r="I54" s="15">
        <f>H54*E54</f>
        <v>63354.55659833462</v>
      </c>
      <c r="J54" s="2"/>
      <c r="K54" s="73"/>
    </row>
    <row r="55" spans="3:11" ht="12.75">
      <c r="C55" s="8" t="s">
        <v>39</v>
      </c>
      <c r="D55" s="8" t="s">
        <v>36</v>
      </c>
      <c r="E55" s="16">
        <v>1181922.9677031513</v>
      </c>
      <c r="F55" s="14">
        <f>'Regular Rate BD08'!F61</f>
        <v>0.133</v>
      </c>
      <c r="G55" s="15">
        <f>E55*F55</f>
        <v>157195.75470451912</v>
      </c>
      <c r="H55" s="9">
        <f>'Outside County'!H61</f>
        <v>0.201</v>
      </c>
      <c r="I55" s="15">
        <f>H55*E55</f>
        <v>237566.5165083334</v>
      </c>
      <c r="J55" s="2"/>
      <c r="K55" s="73"/>
    </row>
    <row r="56" spans="3:11" ht="12.75">
      <c r="C56" s="8" t="s">
        <v>40</v>
      </c>
      <c r="D56" s="8" t="s">
        <v>36</v>
      </c>
      <c r="E56" s="16">
        <v>1020319.5085690615</v>
      </c>
      <c r="F56" s="14">
        <f>'Regular Rate BD08'!F62</f>
        <v>0.138</v>
      </c>
      <c r="G56" s="15">
        <f>E56*F56</f>
        <v>140804.0921825305</v>
      </c>
      <c r="H56" s="9">
        <f>'Outside County'!H62</f>
        <v>0.267</v>
      </c>
      <c r="I56" s="15">
        <f>H56*E56</f>
        <v>272425.30878793943</v>
      </c>
      <c r="J56" s="2"/>
      <c r="K56" s="73"/>
    </row>
    <row r="57" spans="3:11" ht="12.75">
      <c r="C57" s="8" t="s">
        <v>41</v>
      </c>
      <c r="D57" s="8" t="s">
        <v>36</v>
      </c>
      <c r="E57" s="16">
        <v>274978.80568774475</v>
      </c>
      <c r="F57" s="14">
        <f>'Regular Rate BD08'!F63</f>
        <v>0.166</v>
      </c>
      <c r="G57" s="15">
        <f>E57*F57</f>
        <v>45646.481744165634</v>
      </c>
      <c r="H57" s="9">
        <f>'Outside County'!H63</f>
        <v>0.276</v>
      </c>
      <c r="I57" s="15">
        <f>H57*E57</f>
        <v>75894.15036981755</v>
      </c>
      <c r="J57" s="2"/>
      <c r="K57" s="73"/>
    </row>
    <row r="58" spans="3:11" ht="12.75">
      <c r="C58" s="8" t="s">
        <v>32</v>
      </c>
      <c r="D58" s="8" t="s">
        <v>36</v>
      </c>
      <c r="E58" s="16">
        <v>1382253.1015795153</v>
      </c>
      <c r="F58" s="14">
        <f>'Regular Rate BD08'!F64</f>
        <v>0.081</v>
      </c>
      <c r="G58" s="15">
        <f>E58*F58</f>
        <v>111962.50122794074</v>
      </c>
      <c r="H58" s="9">
        <f>'Outside County'!H64</f>
        <v>0.179</v>
      </c>
      <c r="I58" s="15">
        <f>H58*E58</f>
        <v>247423.30518273322</v>
      </c>
      <c r="J58" s="2"/>
      <c r="K58" s="73"/>
    </row>
    <row r="59" spans="2:11" ht="12.75">
      <c r="B59" s="8" t="s">
        <v>42</v>
      </c>
      <c r="D59" s="8"/>
      <c r="E59" s="16"/>
      <c r="F59" s="14"/>
      <c r="H59" s="9"/>
      <c r="I59" s="15"/>
      <c r="J59" s="2"/>
      <c r="K59" s="73"/>
    </row>
    <row r="60" spans="3:11" ht="12.75">
      <c r="C60" s="8" t="s">
        <v>39</v>
      </c>
      <c r="D60" s="8" t="s">
        <v>36</v>
      </c>
      <c r="E60" s="16">
        <v>690816.638214254</v>
      </c>
      <c r="F60" s="14">
        <f>'Regular Rate BD08'!F66</f>
        <v>0.039</v>
      </c>
      <c r="G60" s="15">
        <f>E60*F60</f>
        <v>26941.84889035591</v>
      </c>
      <c r="H60" s="9">
        <f>'Outside County'!H66</f>
        <v>0.111</v>
      </c>
      <c r="I60" s="15">
        <f>H60*E60</f>
        <v>76680.6468417822</v>
      </c>
      <c r="J60" s="2"/>
      <c r="K60" s="73"/>
    </row>
    <row r="61" spans="3:11" ht="12.75">
      <c r="C61" s="8" t="s">
        <v>40</v>
      </c>
      <c r="D61" s="8" t="s">
        <v>36</v>
      </c>
      <c r="E61" s="16">
        <v>3041275.810509207</v>
      </c>
      <c r="F61" s="14">
        <f>'Regular Rate BD08'!F67</f>
        <v>0.065</v>
      </c>
      <c r="G61" s="15">
        <f>E61*F61</f>
        <v>197682.92768309847</v>
      </c>
      <c r="H61" s="9">
        <f>'Outside County'!H67</f>
        <v>0.183</v>
      </c>
      <c r="I61" s="15">
        <f>H61*E61</f>
        <v>556553.4733231849</v>
      </c>
      <c r="J61" s="2"/>
      <c r="K61" s="73"/>
    </row>
    <row r="62" spans="3:11" ht="12.75">
      <c r="C62" s="8" t="s">
        <v>41</v>
      </c>
      <c r="D62" s="8" t="s">
        <v>36</v>
      </c>
      <c r="E62" s="16">
        <v>6861546.263149573</v>
      </c>
      <c r="F62" s="14">
        <f>'Regular Rate BD08'!F68</f>
        <v>0.098</v>
      </c>
      <c r="G62" s="15">
        <f>E62*F62</f>
        <v>672431.5337886581</v>
      </c>
      <c r="H62" s="9">
        <f>'Outside County'!H68</f>
        <v>0.19899999999999998</v>
      </c>
      <c r="I62" s="15">
        <f>H62*E62</f>
        <v>1365447.7063667648</v>
      </c>
      <c r="J62" s="2"/>
      <c r="K62" s="73"/>
    </row>
    <row r="63" spans="3:11" ht="12.75">
      <c r="C63" s="8" t="s">
        <v>43</v>
      </c>
      <c r="D63" s="8" t="s">
        <v>36</v>
      </c>
      <c r="E63" s="16">
        <v>5056378.448631463</v>
      </c>
      <c r="F63" s="14">
        <f>'Regular Rate BD08'!F69</f>
        <v>0.107</v>
      </c>
      <c r="G63" s="15">
        <f>E63*F63</f>
        <v>541032.4940035664</v>
      </c>
      <c r="H63" s="9">
        <f>'Outside County'!H69</f>
        <v>0.314</v>
      </c>
      <c r="I63" s="15">
        <f>H63*E63</f>
        <v>1587702.8328702792</v>
      </c>
      <c r="J63" s="2"/>
      <c r="K63" s="73"/>
    </row>
    <row r="64" spans="3:11" ht="12.75">
      <c r="C64" s="8" t="s">
        <v>32</v>
      </c>
      <c r="D64" s="8" t="s">
        <v>36</v>
      </c>
      <c r="E64" s="16">
        <v>2927609.2252436443</v>
      </c>
      <c r="F64" s="14">
        <f>'Regular Rate BD08'!F70</f>
        <v>0.049</v>
      </c>
      <c r="G64" s="15">
        <f>E64*F64</f>
        <v>143452.85203693857</v>
      </c>
      <c r="H64" s="9">
        <f>'Outside County'!H70</f>
        <v>0.149</v>
      </c>
      <c r="I64" s="15">
        <f>H64*E64</f>
        <v>436213.77456130297</v>
      </c>
      <c r="J64" s="2"/>
      <c r="K64" s="73"/>
    </row>
    <row r="65" spans="2:11" ht="12.75">
      <c r="B65" s="8" t="s">
        <v>44</v>
      </c>
      <c r="D65" s="8"/>
      <c r="E65" s="16"/>
      <c r="F65" s="14"/>
      <c r="H65" s="9"/>
      <c r="I65" s="15"/>
      <c r="J65" s="2"/>
      <c r="K65" s="73"/>
    </row>
    <row r="66" spans="3:11" ht="12.75">
      <c r="C66" s="8" t="s">
        <v>40</v>
      </c>
      <c r="D66" s="8" t="s">
        <v>36</v>
      </c>
      <c r="E66" s="16">
        <v>6311242.840721069</v>
      </c>
      <c r="F66" s="14">
        <f>'Regular Rate BD08'!F72</f>
        <v>0.04</v>
      </c>
      <c r="G66" s="15">
        <f>E66*F66</f>
        <v>252449.71362884276</v>
      </c>
      <c r="H66" s="9">
        <f>'Outside County'!H72</f>
        <v>0.125</v>
      </c>
      <c r="I66" s="15">
        <f>H66*E66</f>
        <v>788905.3550901336</v>
      </c>
      <c r="J66" s="2"/>
      <c r="K66" s="73"/>
    </row>
    <row r="67" spans="3:11" ht="12.75">
      <c r="C67" s="8" t="s">
        <v>41</v>
      </c>
      <c r="D67" s="8" t="s">
        <v>36</v>
      </c>
      <c r="E67" s="16">
        <v>16832825.09561985</v>
      </c>
      <c r="F67" s="14">
        <f>'Regular Rate BD08'!F73</f>
        <v>0.086</v>
      </c>
      <c r="G67" s="15">
        <f>E67*F67</f>
        <v>1447622.958223307</v>
      </c>
      <c r="H67" s="9">
        <f>'Outside County'!H73</f>
        <v>0.145</v>
      </c>
      <c r="I67" s="15">
        <f>H67*E67</f>
        <v>2440759.638864878</v>
      </c>
      <c r="J67" s="2"/>
      <c r="K67" s="73"/>
    </row>
    <row r="68" spans="3:11" ht="12.75">
      <c r="C68" s="8" t="s">
        <v>43</v>
      </c>
      <c r="D68" s="8" t="s">
        <v>36</v>
      </c>
      <c r="E68" s="16">
        <v>46732721.12617645</v>
      </c>
      <c r="F68" s="14">
        <f>'Regular Rate BD08'!F74</f>
        <v>0.098</v>
      </c>
      <c r="G68" s="15">
        <f>E68*F68</f>
        <v>4579806.670365292</v>
      </c>
      <c r="H68" s="9">
        <f>'Outside County'!H74</f>
        <v>0.27899999999999997</v>
      </c>
      <c r="I68" s="15">
        <f>H68*E68</f>
        <v>13038429.194203228</v>
      </c>
      <c r="J68" s="2"/>
      <c r="K68" s="73"/>
    </row>
    <row r="69" spans="3:11" ht="12.75">
      <c r="C69" s="8" t="s">
        <v>32</v>
      </c>
      <c r="D69" s="8" t="s">
        <v>36</v>
      </c>
      <c r="E69" s="16">
        <v>4438468.25697832</v>
      </c>
      <c r="F69" s="14">
        <f>'Regular Rate BD08'!F75</f>
        <v>0.046</v>
      </c>
      <c r="G69" s="15">
        <f>E69*F69</f>
        <v>204169.53982100272</v>
      </c>
      <c r="H69" s="9">
        <f>'Outside County'!H75</f>
        <v>0.13699999999999998</v>
      </c>
      <c r="I69" s="15">
        <f>H69*E69</f>
        <v>608070.1512060298</v>
      </c>
      <c r="J69" s="2"/>
      <c r="K69" s="73"/>
    </row>
    <row r="70" spans="2:11" ht="12.75">
      <c r="B70" s="8" t="s">
        <v>45</v>
      </c>
      <c r="D70" s="8"/>
      <c r="E70" s="16"/>
      <c r="F70" s="14"/>
      <c r="H70" s="9"/>
      <c r="I70" s="15"/>
      <c r="J70" s="2"/>
      <c r="K70" s="73"/>
    </row>
    <row r="71" spans="3:11" ht="12.75">
      <c r="C71" s="8" t="s">
        <v>41</v>
      </c>
      <c r="D71" s="8" t="s">
        <v>36</v>
      </c>
      <c r="E71" s="16">
        <v>1983471.719041848</v>
      </c>
      <c r="F71" s="14">
        <f>'Regular Rate BD08'!F77</f>
        <v>0.008</v>
      </c>
      <c r="G71" s="15">
        <f>E71*F71</f>
        <v>15867.773752334784</v>
      </c>
      <c r="H71" s="9">
        <f>'Outside County'!H77</f>
        <v>0.14</v>
      </c>
      <c r="I71" s="15">
        <f>H71*E71</f>
        <v>277686.0406658588</v>
      </c>
      <c r="J71" s="2"/>
      <c r="K71" s="73"/>
    </row>
    <row r="72" spans="3:11" ht="12.75">
      <c r="C72" s="8" t="s">
        <v>43</v>
      </c>
      <c r="D72" s="8" t="s">
        <v>36</v>
      </c>
      <c r="E72" s="16">
        <v>10358748.600593297</v>
      </c>
      <c r="F72" s="14">
        <f>'Regular Rate BD08'!F78</f>
        <v>0.04</v>
      </c>
      <c r="G72" s="15">
        <f>E72*F72</f>
        <v>414349.94402373186</v>
      </c>
      <c r="H72" s="9">
        <f>'Outside County'!H78</f>
        <v>0.147</v>
      </c>
      <c r="I72" s="15">
        <f>H72*E72</f>
        <v>1522736.0442872145</v>
      </c>
      <c r="J72" s="2"/>
      <c r="K72" s="73"/>
    </row>
    <row r="73" spans="3:11" ht="12.75">
      <c r="C73" s="8" t="s">
        <v>32</v>
      </c>
      <c r="D73" s="8" t="s">
        <v>36</v>
      </c>
      <c r="E73" s="16">
        <v>484230.1488573241</v>
      </c>
      <c r="F73" s="14">
        <f>'Regular Rate BD08'!F79</f>
        <v>0.028</v>
      </c>
      <c r="G73" s="15">
        <f>E73*F73</f>
        <v>13558.444168005075</v>
      </c>
      <c r="H73" s="9">
        <f>'Outside County'!H79</f>
        <v>0.077</v>
      </c>
      <c r="I73" s="15">
        <f>H73*E73</f>
        <v>37285.72146201396</v>
      </c>
      <c r="J73" s="2"/>
      <c r="K73" s="73"/>
    </row>
    <row r="74" spans="1:11" ht="12.75">
      <c r="A74" s="10" t="s">
        <v>46</v>
      </c>
      <c r="D74" s="8"/>
      <c r="E74" s="16"/>
      <c r="F74" s="14"/>
      <c r="H74" s="9"/>
      <c r="I74" s="15"/>
      <c r="J74" s="2"/>
      <c r="K74" s="73"/>
    </row>
    <row r="75" spans="2:11" ht="12.75">
      <c r="B75" s="8" t="s">
        <v>37</v>
      </c>
      <c r="D75" s="8"/>
      <c r="E75" s="16"/>
      <c r="F75" s="14"/>
      <c r="H75" s="9"/>
      <c r="I75" s="15"/>
      <c r="J75" s="2"/>
      <c r="K75" s="73"/>
    </row>
    <row r="76" spans="3:11" ht="12.75">
      <c r="C76" s="8" t="s">
        <v>48</v>
      </c>
      <c r="D76" s="8" t="s">
        <v>47</v>
      </c>
      <c r="E76" s="16">
        <v>181886.22839209848</v>
      </c>
      <c r="F76" s="14">
        <f>'Regular Rate BD08'!F82</f>
        <v>0.432</v>
      </c>
      <c r="G76" s="15">
        <f>E76*F76</f>
        <v>78574.85066538655</v>
      </c>
      <c r="H76" s="9">
        <f>'Outside County'!H82</f>
        <v>0.42</v>
      </c>
      <c r="I76" s="15">
        <f>H76*E76</f>
        <v>76392.21592468135</v>
      </c>
      <c r="J76" s="2"/>
      <c r="K76" s="73"/>
    </row>
    <row r="77" spans="3:11" ht="12.75">
      <c r="C77" s="8" t="s">
        <v>49</v>
      </c>
      <c r="D77" s="8" t="s">
        <v>47</v>
      </c>
      <c r="E77" s="16">
        <v>680418.9320036706</v>
      </c>
      <c r="F77" s="14">
        <f>'Regular Rate BD08'!F83</f>
        <v>0.432</v>
      </c>
      <c r="G77" s="15">
        <f>E77*F77</f>
        <v>293940.9786255857</v>
      </c>
      <c r="H77" s="9">
        <f>'Outside County'!H83</f>
        <v>0.42</v>
      </c>
      <c r="I77" s="15">
        <f>H77*E77</f>
        <v>285775.95144154166</v>
      </c>
      <c r="J77" s="2"/>
      <c r="K77" s="73"/>
    </row>
    <row r="78" spans="2:11" ht="12.75">
      <c r="B78" s="8" t="s">
        <v>50</v>
      </c>
      <c r="D78" s="8"/>
      <c r="E78" s="16"/>
      <c r="F78" s="14"/>
      <c r="G78" s="11"/>
      <c r="H78" s="9"/>
      <c r="I78" s="15"/>
      <c r="J78" s="2"/>
      <c r="K78" s="73"/>
    </row>
    <row r="79" spans="3:11" ht="12.75">
      <c r="C79" s="8" t="s">
        <v>48</v>
      </c>
      <c r="D79" s="8" t="s">
        <v>47</v>
      </c>
      <c r="E79" s="16">
        <v>223097.29272136156</v>
      </c>
      <c r="F79" s="14">
        <f>'Regular Rate BD08'!F85</f>
        <v>1.853</v>
      </c>
      <c r="G79" s="15">
        <f>E79*F79</f>
        <v>413399.283412683</v>
      </c>
      <c r="H79" s="9"/>
      <c r="I79" s="15"/>
      <c r="J79" s="2"/>
      <c r="K79" s="73"/>
    </row>
    <row r="80" spans="3:11" ht="12.75">
      <c r="C80" s="8" t="s">
        <v>49</v>
      </c>
      <c r="D80" s="8" t="s">
        <v>47</v>
      </c>
      <c r="E80" s="16">
        <v>13442.911203506854</v>
      </c>
      <c r="F80" s="14">
        <f>'Regular Rate BD08'!F86</f>
        <v>1.853</v>
      </c>
      <c r="G80" s="15">
        <f>E80*F80</f>
        <v>24909.7144600982</v>
      </c>
      <c r="H80" s="9"/>
      <c r="I80" s="15"/>
      <c r="J80" s="2"/>
      <c r="K80" s="73"/>
    </row>
    <row r="81" spans="3:11" ht="12.75">
      <c r="C81" s="8" t="s">
        <v>51</v>
      </c>
      <c r="D81" s="8" t="s">
        <v>47</v>
      </c>
      <c r="E81" s="16">
        <v>531837.5947126528</v>
      </c>
      <c r="F81" s="14">
        <f>'Regular Rate BD08'!F87</f>
        <v>1.853</v>
      </c>
      <c r="G81" s="15">
        <f>E81*F81</f>
        <v>985495.0630025457</v>
      </c>
      <c r="H81" s="9">
        <f>'Outside County'!H87</f>
        <v>2.01</v>
      </c>
      <c r="I81" s="15">
        <f>H81*E81</f>
        <v>1068993.5653724321</v>
      </c>
      <c r="J81" s="2"/>
      <c r="K81" s="73"/>
    </row>
    <row r="82" spans="3:11" ht="12.75">
      <c r="C82" s="8" t="s">
        <v>52</v>
      </c>
      <c r="D82" s="8" t="s">
        <v>47</v>
      </c>
      <c r="E82" s="16">
        <v>1134.2891194524882</v>
      </c>
      <c r="F82" s="14">
        <f>'Regular Rate BD08'!F88</f>
        <v>1.1320000000000001</v>
      </c>
      <c r="G82" s="15">
        <f>E82*F82</f>
        <v>1284.0152832202168</v>
      </c>
      <c r="H82" s="9">
        <f>'Outside County'!H88</f>
        <v>1.4</v>
      </c>
      <c r="I82" s="15">
        <f>H82*E82</f>
        <v>1588.0047672334833</v>
      </c>
      <c r="J82" s="2"/>
      <c r="K82" s="73"/>
    </row>
    <row r="83" spans="3:11" ht="12.75">
      <c r="C83" s="8" t="s">
        <v>53</v>
      </c>
      <c r="D83" s="8" t="s">
        <v>47</v>
      </c>
      <c r="E83" s="16">
        <v>7121.427292716377</v>
      </c>
      <c r="F83" s="14">
        <f>'Regular Rate BD08'!F89</f>
        <v>0.618</v>
      </c>
      <c r="G83" s="15">
        <f>E83*F83</f>
        <v>4401.042066898721</v>
      </c>
      <c r="H83" s="9">
        <f>'Outside County'!H89</f>
        <v>0.8</v>
      </c>
      <c r="I83" s="15">
        <f>H83*E83</f>
        <v>5697.141834173102</v>
      </c>
      <c r="J83" s="2"/>
      <c r="K83" s="73"/>
    </row>
    <row r="84" spans="2:11" ht="12.75">
      <c r="B84" s="8" t="s">
        <v>54</v>
      </c>
      <c r="D84" s="8"/>
      <c r="E84" s="16"/>
      <c r="F84" s="14"/>
      <c r="G84" s="11"/>
      <c r="H84" s="9"/>
      <c r="I84" s="15"/>
      <c r="J84" s="2"/>
      <c r="K84" s="73"/>
    </row>
    <row r="85" spans="3:11" ht="12.75">
      <c r="C85" s="8" t="s">
        <v>48</v>
      </c>
      <c r="D85" s="8" t="s">
        <v>47</v>
      </c>
      <c r="E85" s="16">
        <v>617420.5485026885</v>
      </c>
      <c r="F85" s="14">
        <f>'Regular Rate BD08'!F91</f>
        <v>1.956</v>
      </c>
      <c r="G85" s="15">
        <f aca="true" t="shared" si="2" ref="G85:G90">E85*F85</f>
        <v>1207674.5928712587</v>
      </c>
      <c r="H85" s="9"/>
      <c r="I85" s="15"/>
      <c r="J85" s="2"/>
      <c r="K85" s="73"/>
    </row>
    <row r="86" spans="3:11" ht="12.75">
      <c r="C86" s="8" t="s">
        <v>49</v>
      </c>
      <c r="D86" s="8" t="s">
        <v>47</v>
      </c>
      <c r="E86" s="16">
        <v>30223.51582217918</v>
      </c>
      <c r="F86" s="14">
        <f>'Regular Rate BD08'!F92</f>
        <v>1.956</v>
      </c>
      <c r="G86" s="15">
        <f t="shared" si="2"/>
        <v>59117.19694818247</v>
      </c>
      <c r="H86" s="9"/>
      <c r="I86" s="15"/>
      <c r="J86" s="2"/>
      <c r="K86" s="73"/>
    </row>
    <row r="87" spans="3:11" ht="12.75">
      <c r="C87" s="8" t="s">
        <v>51</v>
      </c>
      <c r="D87" s="8" t="s">
        <v>47</v>
      </c>
      <c r="E87" s="16">
        <v>1970887.3366188337</v>
      </c>
      <c r="F87" s="14">
        <f>'Regular Rate BD08'!F93</f>
        <v>1.956</v>
      </c>
      <c r="G87" s="15">
        <f t="shared" si="2"/>
        <v>3855055.6304264385</v>
      </c>
      <c r="H87" s="9">
        <f>'Outside County'!H93</f>
        <v>2.1</v>
      </c>
      <c r="I87" s="15">
        <f>H87*E87</f>
        <v>4138863.406899551</v>
      </c>
      <c r="J87" s="2"/>
      <c r="K87" s="73"/>
    </row>
    <row r="88" spans="3:11" ht="12.75">
      <c r="C88" s="8" t="s">
        <v>52</v>
      </c>
      <c r="D88" s="8" t="s">
        <v>47</v>
      </c>
      <c r="E88" s="16">
        <v>7298.354518543822</v>
      </c>
      <c r="F88" s="14">
        <f>'Regular Rate BD08'!F94</f>
        <v>1.236</v>
      </c>
      <c r="G88" s="15">
        <f t="shared" si="2"/>
        <v>9020.766184920165</v>
      </c>
      <c r="H88" s="9">
        <f>'Outside County'!H94</f>
        <v>1.5</v>
      </c>
      <c r="I88" s="15">
        <f>H88*E88</f>
        <v>10947.531777815733</v>
      </c>
      <c r="J88" s="2"/>
      <c r="K88" s="73"/>
    </row>
    <row r="89" spans="3:11" ht="12.75">
      <c r="C89" s="8" t="s">
        <v>53</v>
      </c>
      <c r="D89" s="8" t="s">
        <v>47</v>
      </c>
      <c r="E89" s="16">
        <v>26304.10696761387</v>
      </c>
      <c r="F89" s="14">
        <f>'Regular Rate BD08'!F95</f>
        <v>1.03</v>
      </c>
      <c r="G89" s="15">
        <f t="shared" si="2"/>
        <v>27093.230176642286</v>
      </c>
      <c r="H89" s="9">
        <f>'Outside County'!H95</f>
        <v>1.2</v>
      </c>
      <c r="I89" s="15">
        <f>H89*E89</f>
        <v>31564.92836113664</v>
      </c>
      <c r="J89" s="2"/>
      <c r="K89" s="73"/>
    </row>
    <row r="90" spans="3:11" ht="12.75">
      <c r="C90" s="8" t="s">
        <v>55</v>
      </c>
      <c r="D90" s="8" t="s">
        <v>47</v>
      </c>
      <c r="E90" s="16">
        <v>102347.3089986903</v>
      </c>
      <c r="F90" s="14">
        <f>'Regular Rate BD08'!F96</f>
        <v>0.618</v>
      </c>
      <c r="G90" s="15">
        <f t="shared" si="2"/>
        <v>63250.63696119061</v>
      </c>
      <c r="H90" s="9">
        <f>'Outside County'!H96</f>
        <v>0.8</v>
      </c>
      <c r="I90" s="15">
        <f>H90*E90</f>
        <v>81877.84719895225</v>
      </c>
      <c r="J90" s="2"/>
      <c r="K90" s="73"/>
    </row>
    <row r="91" spans="2:11" ht="12.75">
      <c r="B91" s="8" t="s">
        <v>56</v>
      </c>
      <c r="D91" s="8"/>
      <c r="E91" s="16"/>
      <c r="F91" s="14"/>
      <c r="H91" s="9"/>
      <c r="I91" s="15"/>
      <c r="J91" s="2"/>
      <c r="K91" s="73"/>
    </row>
    <row r="92" spans="3:11" ht="12.75">
      <c r="C92" s="8" t="s">
        <v>48</v>
      </c>
      <c r="D92" s="8" t="s">
        <v>47</v>
      </c>
      <c r="E92" s="16">
        <v>555263.5499494204</v>
      </c>
      <c r="F92" s="14">
        <f>'Regular Rate BD08'!F98</f>
        <v>2.306</v>
      </c>
      <c r="G92" s="15">
        <f aca="true" t="shared" si="3" ref="G92:G98">E92*F92</f>
        <v>1280437.7461833635</v>
      </c>
      <c r="H92" s="9"/>
      <c r="I92" s="15"/>
      <c r="J92" s="2"/>
      <c r="K92" s="73"/>
    </row>
    <row r="93" spans="3:11" ht="12.75">
      <c r="C93" s="8" t="s">
        <v>49</v>
      </c>
      <c r="D93" s="8" t="s">
        <v>47</v>
      </c>
      <c r="E93" s="16">
        <v>11496.084324054518</v>
      </c>
      <c r="F93" s="14">
        <f>'Regular Rate BD08'!F99</f>
        <v>2.306</v>
      </c>
      <c r="G93" s="15">
        <f t="shared" si="3"/>
        <v>26509.97045126972</v>
      </c>
      <c r="H93" s="9"/>
      <c r="I93" s="15"/>
      <c r="J93" s="2"/>
      <c r="K93" s="73"/>
    </row>
    <row r="94" spans="3:11" ht="12.75">
      <c r="C94" s="8" t="s">
        <v>51</v>
      </c>
      <c r="D94" s="8" t="s">
        <v>47</v>
      </c>
      <c r="E94" s="16">
        <v>959144.7832344961</v>
      </c>
      <c r="F94" s="14">
        <f>'Regular Rate BD08'!F100</f>
        <v>2.306</v>
      </c>
      <c r="G94" s="15">
        <f t="shared" si="3"/>
        <v>2211787.870138748</v>
      </c>
      <c r="H94" s="9">
        <f>'Outside County'!H100</f>
        <v>2.7</v>
      </c>
      <c r="I94" s="15">
        <f>H94*E94</f>
        <v>2589690.91473314</v>
      </c>
      <c r="J94" s="2"/>
      <c r="K94" s="73"/>
    </row>
    <row r="95" spans="3:11" ht="12.75">
      <c r="C95" s="8" t="s">
        <v>52</v>
      </c>
      <c r="D95" s="8" t="s">
        <v>47</v>
      </c>
      <c r="E95" s="16">
        <v>5191.327406640868</v>
      </c>
      <c r="F95" s="14">
        <f>'Regular Rate BD08'!F101</f>
        <v>1.544</v>
      </c>
      <c r="G95" s="15">
        <f t="shared" si="3"/>
        <v>8015.4095158535</v>
      </c>
      <c r="H95" s="9">
        <f>'Outside County'!H101</f>
        <v>2</v>
      </c>
      <c r="I95" s="15">
        <f>H95*E95</f>
        <v>10382.654813281735</v>
      </c>
      <c r="J95" s="2"/>
      <c r="K95" s="73"/>
    </row>
    <row r="96" spans="3:11" ht="12.75">
      <c r="C96" s="8" t="s">
        <v>53</v>
      </c>
      <c r="D96" s="8" t="s">
        <v>47</v>
      </c>
      <c r="E96" s="16">
        <v>87504.94542268047</v>
      </c>
      <c r="F96" s="14">
        <f>'Regular Rate BD08'!F102</f>
        <v>1.338</v>
      </c>
      <c r="G96" s="15">
        <f t="shared" si="3"/>
        <v>117081.61697554647</v>
      </c>
      <c r="H96" s="9">
        <f>'Outside County'!H102</f>
        <v>1.7</v>
      </c>
      <c r="I96" s="15">
        <f>H96*E96</f>
        <v>148758.4072185568</v>
      </c>
      <c r="J96" s="2"/>
      <c r="K96" s="73"/>
    </row>
    <row r="97" spans="3:11" ht="12.75">
      <c r="C97" s="8" t="s">
        <v>55</v>
      </c>
      <c r="D97" s="8" t="s">
        <v>47</v>
      </c>
      <c r="E97" s="16">
        <v>287198.51746025484</v>
      </c>
      <c r="F97" s="14">
        <f>'Regular Rate BD08'!F103</f>
        <v>0.927</v>
      </c>
      <c r="G97" s="15">
        <f t="shared" si="3"/>
        <v>266233.02568565623</v>
      </c>
      <c r="H97" s="9">
        <f>'Outside County'!H103</f>
        <v>1.3</v>
      </c>
      <c r="I97" s="15">
        <f>H97*E97</f>
        <v>373358.0726983313</v>
      </c>
      <c r="J97" s="2"/>
      <c r="K97" s="73"/>
    </row>
    <row r="98" spans="3:11" ht="12.75">
      <c r="C98" s="8" t="s">
        <v>57</v>
      </c>
      <c r="D98" s="8" t="s">
        <v>47</v>
      </c>
      <c r="E98" s="16">
        <v>9376.470521790146</v>
      </c>
      <c r="F98" s="14">
        <f>'Regular Rate BD08'!F104</f>
        <v>0.721</v>
      </c>
      <c r="G98" s="15">
        <f t="shared" si="3"/>
        <v>6760.435246210695</v>
      </c>
      <c r="H98" s="9">
        <f>'Outside County'!H104</f>
        <v>0.9</v>
      </c>
      <c r="I98" s="15">
        <f>H98*E98</f>
        <v>8438.823469611132</v>
      </c>
      <c r="J98" s="2"/>
      <c r="K98" s="73"/>
    </row>
    <row r="99" spans="1:11" ht="12.75">
      <c r="A99" s="8" t="s">
        <v>58</v>
      </c>
      <c r="D99" s="8"/>
      <c r="E99" s="16"/>
      <c r="F99" s="14"/>
      <c r="H99" s="9"/>
      <c r="I99" s="15"/>
      <c r="J99" s="2"/>
      <c r="K99" s="73"/>
    </row>
    <row r="100" spans="2:11" ht="12.75">
      <c r="B100" s="8" t="s">
        <v>60</v>
      </c>
      <c r="D100" s="8"/>
      <c r="E100" s="16"/>
      <c r="F100" s="14"/>
      <c r="H100" s="9"/>
      <c r="I100" s="15"/>
      <c r="J100" s="2"/>
      <c r="K100" s="73"/>
    </row>
    <row r="101" spans="3:11" ht="12.75">
      <c r="C101" s="8" t="s">
        <v>48</v>
      </c>
      <c r="D101" s="8" t="s">
        <v>59</v>
      </c>
      <c r="E101" s="16">
        <v>20058.16863610234</v>
      </c>
      <c r="F101" s="14">
        <f>'Regular Rate BD08'!F107</f>
        <v>19.161</v>
      </c>
      <c r="G101" s="11"/>
      <c r="H101" s="9"/>
      <c r="I101" s="15"/>
      <c r="J101" s="2"/>
      <c r="K101" s="73"/>
    </row>
    <row r="102" spans="3:11" ht="12.75">
      <c r="C102" s="8" t="s">
        <v>49</v>
      </c>
      <c r="D102" s="8" t="s">
        <v>59</v>
      </c>
      <c r="E102" s="16">
        <v>1022.0245654844398</v>
      </c>
      <c r="F102" s="14">
        <f>'Regular Rate BD08'!F108</f>
        <v>19.161</v>
      </c>
      <c r="G102" s="11"/>
      <c r="H102" s="9"/>
      <c r="I102" s="15"/>
      <c r="J102" s="2"/>
      <c r="K102" s="73"/>
    </row>
    <row r="103" spans="3:11" ht="12.75">
      <c r="C103" s="8" t="s">
        <v>51</v>
      </c>
      <c r="D103" s="8" t="s">
        <v>59</v>
      </c>
      <c r="E103" s="16">
        <v>63854.59407639747</v>
      </c>
      <c r="F103" s="14">
        <f>'Regular Rate BD08'!F109</f>
        <v>19.161</v>
      </c>
      <c r="G103" s="15">
        <f>E103*F103</f>
        <v>1223517.877097852</v>
      </c>
      <c r="H103" s="9">
        <f>'Outside County'!H109</f>
        <v>28</v>
      </c>
      <c r="I103" s="15">
        <f>H103*E103</f>
        <v>1787928.6341391292</v>
      </c>
      <c r="J103" s="2"/>
      <c r="K103" s="73"/>
    </row>
    <row r="104" spans="3:11" ht="12.75">
      <c r="C104" s="8" t="s">
        <v>52</v>
      </c>
      <c r="D104" s="8" t="s">
        <v>59</v>
      </c>
      <c r="E104" s="16">
        <v>527.5194824754843</v>
      </c>
      <c r="F104" s="14">
        <f>'Regular Rate BD08'!F110</f>
        <v>13.385</v>
      </c>
      <c r="G104" s="15">
        <f>E104*F104</f>
        <v>7060.848272934358</v>
      </c>
      <c r="H104" s="9">
        <f>'Outside County'!H110</f>
        <v>22.4</v>
      </c>
      <c r="I104" s="15">
        <f>H104*E104</f>
        <v>11816.436407450848</v>
      </c>
      <c r="J104" s="2"/>
      <c r="K104" s="73"/>
    </row>
    <row r="105" spans="3:11" ht="12.75">
      <c r="C105" s="8" t="s">
        <v>53</v>
      </c>
      <c r="D105" s="8" t="s">
        <v>59</v>
      </c>
      <c r="E105" s="16">
        <v>34940.37702084775</v>
      </c>
      <c r="F105" s="14">
        <f>'Regular Rate BD08'!F111</f>
        <v>9.163</v>
      </c>
      <c r="G105" s="15">
        <f>E105*F105</f>
        <v>320158.67464202794</v>
      </c>
      <c r="H105" s="9">
        <f>'Outside County'!H111</f>
        <v>12.4</v>
      </c>
      <c r="I105" s="15">
        <f>H105*E105</f>
        <v>433260.67505851213</v>
      </c>
      <c r="J105" s="2"/>
      <c r="K105" s="73"/>
    </row>
    <row r="106" spans="2:11" ht="12.75">
      <c r="B106" s="8" t="s">
        <v>61</v>
      </c>
      <c r="D106" s="8"/>
      <c r="E106" s="16"/>
      <c r="F106" s="14"/>
      <c r="H106" s="9"/>
      <c r="I106" s="15"/>
      <c r="J106" s="2"/>
      <c r="K106" s="73"/>
    </row>
    <row r="107" spans="3:11" ht="12.75">
      <c r="C107" s="8" t="s">
        <v>48</v>
      </c>
      <c r="D107" s="8" t="s">
        <v>59</v>
      </c>
      <c r="E107" s="16">
        <v>25937.456757361284</v>
      </c>
      <c r="F107" s="14">
        <f>'Regular Rate BD08'!F113</f>
        <v>23.66</v>
      </c>
      <c r="G107" s="15">
        <f aca="true" t="shared" si="4" ref="G107:G112">E107*F107</f>
        <v>613680.226879168</v>
      </c>
      <c r="H107" s="9"/>
      <c r="I107" s="15"/>
      <c r="J107" s="2"/>
      <c r="K107" s="73"/>
    </row>
    <row r="108" spans="3:11" ht="12.75">
      <c r="C108" s="8" t="s">
        <v>49</v>
      </c>
      <c r="D108" s="8" t="s">
        <v>59</v>
      </c>
      <c r="E108" s="16">
        <v>1392.471468247558</v>
      </c>
      <c r="F108" s="14">
        <f>'Regular Rate BD08'!F114</f>
        <v>23.66</v>
      </c>
      <c r="G108" s="15">
        <f t="shared" si="4"/>
        <v>32945.87493873722</v>
      </c>
      <c r="H108" s="9"/>
      <c r="I108" s="15"/>
      <c r="J108" s="2"/>
      <c r="K108" s="73"/>
    </row>
    <row r="109" spans="3:11" ht="12.75">
      <c r="C109" s="8" t="s">
        <v>51</v>
      </c>
      <c r="D109" s="8" t="s">
        <v>59</v>
      </c>
      <c r="E109" s="16">
        <v>70265.04292579406</v>
      </c>
      <c r="F109" s="14">
        <f>'Regular Rate BD08'!F115</f>
        <v>23.66</v>
      </c>
      <c r="G109" s="15">
        <f t="shared" si="4"/>
        <v>1662470.9156242874</v>
      </c>
      <c r="H109" s="9">
        <f>'Outside County'!H115</f>
        <v>33.36</v>
      </c>
      <c r="I109" s="15">
        <f>H109*E109</f>
        <v>2344041.83200449</v>
      </c>
      <c r="J109" s="2"/>
      <c r="K109" s="73"/>
    </row>
    <row r="110" spans="3:11" ht="12.75">
      <c r="C110" s="8" t="s">
        <v>52</v>
      </c>
      <c r="D110" s="8" t="s">
        <v>59</v>
      </c>
      <c r="E110" s="16">
        <v>1807.5176133380164</v>
      </c>
      <c r="F110" s="14">
        <f>'Regular Rate BD08'!F116</f>
        <v>14.826</v>
      </c>
      <c r="G110" s="15">
        <f t="shared" si="4"/>
        <v>26798.25613534943</v>
      </c>
      <c r="H110" s="9">
        <f>'Outside County'!H116</f>
        <v>23.8</v>
      </c>
      <c r="I110" s="15">
        <f>H110*E110</f>
        <v>43018.91919744479</v>
      </c>
      <c r="J110" s="2"/>
      <c r="K110" s="73"/>
    </row>
    <row r="111" spans="3:11" ht="12.75">
      <c r="C111" s="8" t="s">
        <v>53</v>
      </c>
      <c r="D111" s="8" t="s">
        <v>59</v>
      </c>
      <c r="E111" s="16">
        <v>30196.241916046496</v>
      </c>
      <c r="F111" s="14">
        <f>'Regular Rate BD08'!F117</f>
        <v>12.561</v>
      </c>
      <c r="G111" s="15">
        <f t="shared" si="4"/>
        <v>379294.99470746005</v>
      </c>
      <c r="H111" s="9">
        <f>'Outside County'!H117</f>
        <v>20.7</v>
      </c>
      <c r="I111" s="15">
        <f>H111*E111</f>
        <v>625062.2076621625</v>
      </c>
      <c r="J111" s="2"/>
      <c r="K111" s="73"/>
    </row>
    <row r="112" spans="3:11" ht="12.75">
      <c r="C112" s="8" t="s">
        <v>55</v>
      </c>
      <c r="D112" s="8" t="s">
        <v>59</v>
      </c>
      <c r="E112" s="16">
        <v>155982.19198215107</v>
      </c>
      <c r="F112" s="14">
        <f>'Regular Rate BD08'!F118</f>
        <v>6.898</v>
      </c>
      <c r="G112" s="15">
        <f t="shared" si="4"/>
        <v>1075965.160292878</v>
      </c>
      <c r="H112" s="9">
        <f>'Outside County'!H118</f>
        <v>11.1</v>
      </c>
      <c r="I112" s="15">
        <f>H112*E112</f>
        <v>1731402.3310018769</v>
      </c>
      <c r="J112" s="2"/>
      <c r="K112" s="73"/>
    </row>
    <row r="113" spans="2:11" ht="12.75">
      <c r="B113" s="8" t="s">
        <v>62</v>
      </c>
      <c r="D113" s="8"/>
      <c r="E113" s="16"/>
      <c r="F113" s="14"/>
      <c r="H113" s="9"/>
      <c r="I113" s="15"/>
      <c r="J113" s="2"/>
      <c r="K113" s="73"/>
    </row>
    <row r="114" spans="3:11" ht="12.75">
      <c r="C114" s="8" t="s">
        <v>48</v>
      </c>
      <c r="D114" s="8" t="s">
        <v>59</v>
      </c>
      <c r="E114" s="16">
        <v>4466.887172239976</v>
      </c>
      <c r="F114" s="14">
        <f>'Regular Rate BD08'!F120</f>
        <v>27.748</v>
      </c>
      <c r="G114" s="15">
        <f aca="true" t="shared" si="5" ref="G114:G120">E114*F114</f>
        <v>123947.18525531486</v>
      </c>
      <c r="H114" s="9">
        <f>'Outside County'!H120</f>
        <v>42.13</v>
      </c>
      <c r="I114" s="15">
        <f aca="true" t="shared" si="6" ref="I114:I120">H114*E114</f>
        <v>188189.9565664702</v>
      </c>
      <c r="J114" s="2"/>
      <c r="K114" s="73"/>
    </row>
    <row r="115" spans="3:11" ht="12.75">
      <c r="C115" s="8" t="s">
        <v>49</v>
      </c>
      <c r="D115" s="8" t="s">
        <v>59</v>
      </c>
      <c r="E115" s="16">
        <v>887.374216503048</v>
      </c>
      <c r="F115" s="14">
        <f>'Regular Rate BD08'!F121</f>
        <v>27.748</v>
      </c>
      <c r="G115" s="15">
        <f t="shared" si="5"/>
        <v>24622.85975952658</v>
      </c>
      <c r="H115" s="9">
        <f>'Outside County'!H121</f>
        <v>42.13</v>
      </c>
      <c r="I115" s="15">
        <f t="shared" si="6"/>
        <v>37385.07574127342</v>
      </c>
      <c r="J115" s="2"/>
      <c r="K115" s="73"/>
    </row>
    <row r="116" spans="3:11" ht="12.75">
      <c r="C116" s="8" t="s">
        <v>51</v>
      </c>
      <c r="D116" s="8" t="s">
        <v>59</v>
      </c>
      <c r="E116" s="16">
        <v>9814.303366221247</v>
      </c>
      <c r="F116" s="14">
        <f>'Regular Rate BD08'!F122</f>
        <v>27.748</v>
      </c>
      <c r="G116" s="15">
        <f t="shared" si="5"/>
        <v>272327.2898059072</v>
      </c>
      <c r="H116" s="9">
        <f>'Outside County'!H122</f>
        <v>42.13</v>
      </c>
      <c r="I116" s="15">
        <f t="shared" si="6"/>
        <v>413476.6008189012</v>
      </c>
      <c r="J116" s="2"/>
      <c r="K116" s="73"/>
    </row>
    <row r="117" spans="3:11" ht="12.75">
      <c r="C117" s="8" t="s">
        <v>52</v>
      </c>
      <c r="D117" s="8" t="s">
        <v>59</v>
      </c>
      <c r="E117" s="16">
        <v>764.5981542524815</v>
      </c>
      <c r="F117" s="14">
        <f>'Regular Rate BD08'!F123</f>
        <v>18.018</v>
      </c>
      <c r="G117" s="15">
        <f t="shared" si="5"/>
        <v>13776.529543321212</v>
      </c>
      <c r="H117" s="9">
        <f>'Outside County'!H123</f>
        <v>31.9</v>
      </c>
      <c r="I117" s="15">
        <f t="shared" si="6"/>
        <v>24390.68112065416</v>
      </c>
      <c r="J117" s="2"/>
      <c r="K117" s="73"/>
    </row>
    <row r="118" spans="3:11" ht="12.75">
      <c r="C118" s="8" t="s">
        <v>53</v>
      </c>
      <c r="D118" s="8" t="s">
        <v>59</v>
      </c>
      <c r="E118" s="16">
        <v>5516.369902773431</v>
      </c>
      <c r="F118" s="14">
        <f>'Regular Rate BD08'!F124</f>
        <v>15.959</v>
      </c>
      <c r="G118" s="15">
        <f t="shared" si="5"/>
        <v>88035.74727836119</v>
      </c>
      <c r="H118" s="9">
        <f>'Outside County'!H124</f>
        <v>30.2</v>
      </c>
      <c r="I118" s="15">
        <f t="shared" si="6"/>
        <v>166594.3710637576</v>
      </c>
      <c r="J118" s="2"/>
      <c r="K118" s="73"/>
    </row>
    <row r="119" spans="3:11" ht="12.75">
      <c r="C119" s="8" t="s">
        <v>55</v>
      </c>
      <c r="D119" s="8" t="s">
        <v>59</v>
      </c>
      <c r="E119" s="16">
        <v>75929.9207773043</v>
      </c>
      <c r="F119" s="14">
        <f>'Regular Rate BD08'!F125</f>
        <v>8.237</v>
      </c>
      <c r="G119" s="15">
        <f t="shared" si="5"/>
        <v>625434.7574426555</v>
      </c>
      <c r="H119" s="9">
        <f>'Outside County'!H125</f>
        <v>20.4</v>
      </c>
      <c r="I119" s="15">
        <f t="shared" si="6"/>
        <v>1548970.3838570076</v>
      </c>
      <c r="J119" s="2"/>
      <c r="K119" s="73"/>
    </row>
    <row r="120" spans="3:11" ht="12.75">
      <c r="C120" s="8" t="s">
        <v>57</v>
      </c>
      <c r="D120" s="8" t="s">
        <v>59</v>
      </c>
      <c r="E120" s="16">
        <v>995.9846659594962</v>
      </c>
      <c r="F120" s="14">
        <f>'Regular Rate BD08'!F126</f>
        <v>1.236</v>
      </c>
      <c r="G120" s="15">
        <f t="shared" si="5"/>
        <v>1231.0370471259373</v>
      </c>
      <c r="H120" s="9">
        <f>'Outside County'!H126</f>
        <v>1.6</v>
      </c>
      <c r="I120" s="15">
        <f t="shared" si="6"/>
        <v>1593.5754655351939</v>
      </c>
      <c r="J120" s="2"/>
      <c r="K120" s="73"/>
    </row>
    <row r="121" spans="3:9" ht="12.75">
      <c r="C121" s="8" t="s">
        <v>79</v>
      </c>
      <c r="E121" s="16">
        <f>SUM(E6:E15,E17:E20)</f>
        <v>487608848</v>
      </c>
      <c r="F121" s="14"/>
      <c r="G121" s="15">
        <f>SUM(G6:G15,G17:G20)</f>
        <v>101263804.57496743</v>
      </c>
      <c r="H121" s="17"/>
      <c r="I121" s="15">
        <f>SUM(I6:I15,I17:I20)</f>
        <v>96588571.35636814</v>
      </c>
    </row>
    <row r="122" spans="3:9" ht="12.75">
      <c r="C122" s="8" t="s">
        <v>80</v>
      </c>
      <c r="E122" s="16">
        <f>SUM(E23:E27,E29:E33,E35:E39,E41:E45,E47:E50)</f>
        <v>1738526069</v>
      </c>
      <c r="F122" s="14"/>
      <c r="G122" s="15">
        <f>SUM(G23:G27,G29:G33,G35:G39,G41:G45,G47:G51)</f>
        <v>252545390.28404936</v>
      </c>
      <c r="H122" s="17"/>
      <c r="I122" s="15">
        <f>SUM(I23:I27,I29:I33,I35:I39,I41:I45,I47:I51)</f>
        <v>254034091.37215006</v>
      </c>
    </row>
    <row r="123" spans="3:9" ht="12.75">
      <c r="C123" s="8" t="s">
        <v>81</v>
      </c>
      <c r="E123" s="16">
        <f>SUM(E54:E58,E60:E64,E66:E69,E71:E73)</f>
        <v>110401595.0066048</v>
      </c>
      <c r="F123" s="14"/>
      <c r="G123" s="15">
        <f>SUM(G54:G58,G60:G64,G66:G69,G71:G73)</f>
        <v>9049722.53452518</v>
      </c>
      <c r="H123" s="17"/>
      <c r="I123" s="15">
        <f>SUM(I54:I58,I60:I64,I66:I69,I71:I73)</f>
        <v>23633134.41718983</v>
      </c>
    </row>
    <row r="124" spans="3:9" ht="12.75">
      <c r="C124" s="8" t="s">
        <v>82</v>
      </c>
      <c r="E124" s="16">
        <f>SUM(E76:E77,E79:E83,E85:E90,E92:E98)</f>
        <v>6308595.525193347</v>
      </c>
      <c r="F124" s="14"/>
      <c r="G124" s="15">
        <f>SUM(G76:G77,G79:G83,G85:G90,G92:G98)</f>
        <v>10940043.0752817</v>
      </c>
      <c r="H124" s="17"/>
      <c r="I124" s="15">
        <f>SUM(I76:I77,I79:I83,I85:I90,I92:I98)</f>
        <v>8832329.466510437</v>
      </c>
    </row>
    <row r="125" spans="3:9" ht="12.75">
      <c r="C125" s="8" t="s">
        <v>83</v>
      </c>
      <c r="E125" s="16">
        <f>SUM(E101:E105,E107:E112,E114:E120)</f>
        <v>504359.04469949997</v>
      </c>
      <c r="F125" s="14"/>
      <c r="G125" s="15">
        <f>SUM(G101:G105,G107:G112,G114:G120)</f>
        <v>6491268.234722908</v>
      </c>
      <c r="H125" s="17"/>
      <c r="I125" s="15">
        <f>SUM(I101:I105,I107:I112,I114:I120)</f>
        <v>9357131.680104667</v>
      </c>
    </row>
    <row r="126" spans="3:9" ht="12.75">
      <c r="C126" s="8" t="s">
        <v>63</v>
      </c>
      <c r="E126" s="16"/>
      <c r="F126" s="14"/>
      <c r="G126" s="13">
        <f>SUM(G121:G125)</f>
        <v>380290228.7035465</v>
      </c>
      <c r="I126" s="13">
        <f>SUM(I121:I125)</f>
        <v>392445258.2923231</v>
      </c>
    </row>
    <row r="127" spans="3:9" ht="12.75">
      <c r="C127" s="8" t="s">
        <v>64</v>
      </c>
      <c r="E127" s="16">
        <v>7553658.939793557</v>
      </c>
      <c r="F127" s="14">
        <f>'Regular Rate BD08'!F133</f>
        <v>0.159</v>
      </c>
      <c r="G127" s="15">
        <f>E127*F127</f>
        <v>1201031.7714271755</v>
      </c>
      <c r="H127">
        <f>'Outside County'!H133</f>
        <v>0.165</v>
      </c>
      <c r="I127" s="15">
        <f>H127*E127</f>
        <v>1246353.725065937</v>
      </c>
    </row>
    <row r="128" spans="3:9" ht="12.75">
      <c r="C128" s="8" t="s">
        <v>65</v>
      </c>
      <c r="E128" s="16">
        <v>113561</v>
      </c>
      <c r="F128" s="14">
        <f>'Regular Rate BD08'!F134</f>
        <v>0.015</v>
      </c>
      <c r="G128" s="15">
        <f>E128*F128</f>
        <v>1703.415</v>
      </c>
      <c r="H128">
        <f>'Outside County'!H134</f>
        <v>0.015</v>
      </c>
      <c r="I128" s="15">
        <f>H128*E128</f>
        <v>1703.415</v>
      </c>
    </row>
    <row r="129" spans="3:9" ht="12.75">
      <c r="C129" s="8" t="s">
        <v>84</v>
      </c>
      <c r="G129" s="15">
        <f>0.05*SUM(G17:G20,G23:G27,G29:G33,G35:G39,G41:G45,G47:G51,G54:G58,G60:G64,G66:G69,G71:G73,G76:G77,G81:G83,G87:G90,G94:G98,G103:G105,G109:G112,G116:G120)</f>
        <v>17249267.641094875</v>
      </c>
      <c r="I129" s="15">
        <f>0.05*SUM(I17:I20,I23:I27,I29:I33,I35:I39,I41:I45,I47:I51,I54:I58,I60:I64,I66:I69,I71:I73,I76:I77,I81:I83,I87:I90,I94:I98,I103:I105,I109:I112,I116:I120)</f>
        <v>18079752.476299297</v>
      </c>
    </row>
    <row r="130" spans="3:9" ht="12.75">
      <c r="C130" s="8" t="s">
        <v>66</v>
      </c>
      <c r="E130" s="16"/>
      <c r="F130" s="14"/>
      <c r="G130" s="13">
        <f>G126+G127+G128-G129</f>
        <v>364243696.24887884</v>
      </c>
      <c r="I130" s="13">
        <f>I126+I127+I128-I129</f>
        <v>375613562.9560898</v>
      </c>
    </row>
    <row r="131" spans="1:9" ht="12.75">
      <c r="A131" s="32"/>
      <c r="B131" s="32"/>
      <c r="C131" s="24" t="s">
        <v>116</v>
      </c>
      <c r="E131" s="16"/>
      <c r="F131" s="14"/>
      <c r="G131" s="27">
        <f>G130/$E$122</f>
        <v>0.20951293325063097</v>
      </c>
      <c r="H131" s="32"/>
      <c r="I131" s="27">
        <f>I130/$E$122</f>
        <v>0.21605287930605646</v>
      </c>
    </row>
    <row r="132" spans="5:9" ht="12.75">
      <c r="E132" s="16"/>
      <c r="F132" s="14"/>
      <c r="I132" s="15"/>
    </row>
    <row r="133" spans="5:9" ht="12.75">
      <c r="E133" s="16"/>
      <c r="F133" s="14"/>
      <c r="I133" s="15"/>
    </row>
    <row r="134" spans="5:9" ht="12.75">
      <c r="E134" s="80"/>
      <c r="F134" s="14"/>
      <c r="I134" s="15"/>
    </row>
    <row r="135" spans="5:9" ht="12.75">
      <c r="E135" s="16"/>
      <c r="F135" s="14"/>
      <c r="I135" s="15"/>
    </row>
    <row r="136" spans="5:9" ht="12.75">
      <c r="E136" s="16"/>
      <c r="F136" s="14"/>
      <c r="I136" s="15"/>
    </row>
    <row r="137" spans="5:9" ht="12.75">
      <c r="E137" s="16"/>
      <c r="F137" s="14"/>
      <c r="I137" s="15"/>
    </row>
    <row r="138" spans="5:9" ht="12.75">
      <c r="E138" s="16"/>
      <c r="F138" s="14"/>
      <c r="I138" s="15"/>
    </row>
    <row r="139" spans="5:9" ht="12.75">
      <c r="E139" s="16"/>
      <c r="F139" s="14"/>
      <c r="I139" s="15"/>
    </row>
    <row r="140" spans="5:9" ht="12.75">
      <c r="E140" s="16"/>
      <c r="F140" s="14"/>
      <c r="I140" s="15"/>
    </row>
    <row r="141" spans="5:9" ht="12.75">
      <c r="E141" s="16"/>
      <c r="F141" s="14"/>
      <c r="I141" s="15"/>
    </row>
    <row r="142" spans="5:9" ht="12.75">
      <c r="E142" s="16"/>
      <c r="F142" s="14"/>
      <c r="I142" s="15"/>
    </row>
    <row r="143" spans="5:9" ht="12.75">
      <c r="E143" s="16"/>
      <c r="F143" s="14"/>
      <c r="I143" s="15"/>
    </row>
    <row r="144" spans="5:9" ht="12.75">
      <c r="E144" s="16"/>
      <c r="F144" s="14"/>
      <c r="I144" s="15"/>
    </row>
    <row r="145" spans="5:9" ht="12.75">
      <c r="E145" s="16"/>
      <c r="F145" s="14"/>
      <c r="I145" s="15"/>
    </row>
    <row r="146" spans="5:6" ht="12.75">
      <c r="E146" s="16"/>
      <c r="F146" s="14"/>
    </row>
    <row r="147" spans="5:6" ht="12.75">
      <c r="E147" s="16"/>
      <c r="F147" s="14"/>
    </row>
    <row r="148" spans="5:6" ht="12.75">
      <c r="E148" s="16"/>
      <c r="F148" s="14"/>
    </row>
    <row r="149" spans="5:6" ht="12.75">
      <c r="E149" s="16"/>
      <c r="F149" s="14"/>
    </row>
    <row r="150" spans="5:6" ht="12.75">
      <c r="E150" s="16"/>
      <c r="F150" s="14"/>
    </row>
    <row r="151" spans="5:6" ht="12.75">
      <c r="E151" s="16"/>
      <c r="F151" s="14"/>
    </row>
    <row r="152" spans="5:6" ht="12.75">
      <c r="E152" s="16"/>
      <c r="F152" s="14"/>
    </row>
    <row r="153" spans="5:6" ht="12.75">
      <c r="E153" s="16"/>
      <c r="F153" s="14"/>
    </row>
    <row r="154" spans="5:6" ht="12.75">
      <c r="E154" s="16"/>
      <c r="F154" s="14"/>
    </row>
    <row r="155" spans="5:6" ht="12.75">
      <c r="E155" s="16"/>
      <c r="F155" s="14"/>
    </row>
    <row r="156" spans="5:6" ht="12.75">
      <c r="E156" s="16"/>
      <c r="F156" s="14"/>
    </row>
    <row r="157" spans="5:6" ht="12.75">
      <c r="E157" s="16"/>
      <c r="F157" s="14"/>
    </row>
    <row r="158" spans="5:6" ht="12.75">
      <c r="E158" s="16"/>
      <c r="F158" s="14"/>
    </row>
    <row r="159" spans="5:6" ht="12.75">
      <c r="E159" s="16"/>
      <c r="F159" s="14"/>
    </row>
    <row r="160" spans="5:6" ht="12.75">
      <c r="E160" s="16"/>
      <c r="F160" s="14"/>
    </row>
    <row r="161" spans="5:6" ht="12.75">
      <c r="E161" s="16"/>
      <c r="F161" s="14"/>
    </row>
    <row r="162" spans="5:6" ht="12.75">
      <c r="E162" s="16"/>
      <c r="F162" s="14"/>
    </row>
    <row r="163" spans="5:6" ht="12.75">
      <c r="E163" s="16"/>
      <c r="F163" s="14"/>
    </row>
    <row r="164" spans="5:6" ht="12.75">
      <c r="E164" s="16"/>
      <c r="F164" s="14"/>
    </row>
    <row r="165" spans="5:6" ht="12.75">
      <c r="E165" s="16"/>
      <c r="F165" s="14"/>
    </row>
    <row r="166" spans="5:6" ht="12.75">
      <c r="E166" s="16"/>
      <c r="F166" s="14"/>
    </row>
    <row r="167" spans="5:6" ht="12.75">
      <c r="E167" s="16"/>
      <c r="F167" s="14"/>
    </row>
    <row r="168" spans="5:6" ht="12.75">
      <c r="E168" s="16"/>
      <c r="F168" s="14"/>
    </row>
    <row r="169" spans="5:6" ht="12.75">
      <c r="E169" s="16"/>
      <c r="F169" s="14"/>
    </row>
    <row r="170" spans="5:6" ht="12.75">
      <c r="E170" s="16"/>
      <c r="F170" s="14"/>
    </row>
    <row r="171" ht="12.75">
      <c r="F171" s="14"/>
    </row>
    <row r="172" ht="12.75">
      <c r="F172" s="14"/>
    </row>
    <row r="173" ht="12.75">
      <c r="F173" s="14"/>
    </row>
    <row r="174" ht="12.75">
      <c r="F174" s="14"/>
    </row>
    <row r="175" ht="12.75">
      <c r="F175" s="14"/>
    </row>
    <row r="176" ht="12.75">
      <c r="F176" s="14"/>
    </row>
    <row r="177" ht="12.75">
      <c r="F177" s="14"/>
    </row>
    <row r="178" ht="12.75">
      <c r="F178" s="14"/>
    </row>
    <row r="179" ht="12.75">
      <c r="F179" s="14"/>
    </row>
    <row r="180" ht="12.75">
      <c r="F180" s="14"/>
    </row>
    <row r="181" ht="12.75">
      <c r="F181" s="14"/>
    </row>
    <row r="182" ht="12.75">
      <c r="F182" s="14"/>
    </row>
    <row r="183" ht="12.75">
      <c r="F183" s="14"/>
    </row>
    <row r="184" ht="12.75">
      <c r="F184" s="14"/>
    </row>
    <row r="185" ht="12.75">
      <c r="F185" s="14"/>
    </row>
    <row r="186" ht="12.75">
      <c r="F186" s="14"/>
    </row>
    <row r="187" ht="12.75">
      <c r="F187" s="14"/>
    </row>
    <row r="188" ht="12.75">
      <c r="F188" s="14"/>
    </row>
    <row r="189" ht="12.75">
      <c r="F189" s="14"/>
    </row>
    <row r="190" ht="12.75">
      <c r="F190" s="14"/>
    </row>
    <row r="191" ht="12.75">
      <c r="F191" s="14"/>
    </row>
    <row r="192" ht="12.75">
      <c r="F192" s="14"/>
    </row>
    <row r="193" ht="12.75">
      <c r="F193" s="14"/>
    </row>
    <row r="194" ht="12.75">
      <c r="F194" s="14"/>
    </row>
    <row r="195" ht="12.75">
      <c r="F195" s="14"/>
    </row>
    <row r="196" ht="12.75">
      <c r="F196" s="14"/>
    </row>
    <row r="197" ht="12.75">
      <c r="F197" s="14"/>
    </row>
    <row r="198" ht="12.75">
      <c r="F198" s="14"/>
    </row>
    <row r="199" ht="12.75">
      <c r="F199" s="14"/>
    </row>
    <row r="200" ht="12.75">
      <c r="F200" s="14"/>
    </row>
    <row r="201" ht="12.75">
      <c r="F201" s="14"/>
    </row>
    <row r="202" ht="12.75">
      <c r="F202" s="14"/>
    </row>
    <row r="203" ht="12.75">
      <c r="F203" s="14"/>
    </row>
    <row r="204" ht="12.75">
      <c r="F204" s="14"/>
    </row>
    <row r="205" ht="12.75">
      <c r="F205" s="14"/>
    </row>
    <row r="206" ht="12.75">
      <c r="F206" s="14"/>
    </row>
    <row r="207" ht="12.75">
      <c r="F207" s="14"/>
    </row>
    <row r="208" ht="12.75">
      <c r="F208" s="14"/>
    </row>
    <row r="209" ht="12.75">
      <c r="F209" s="14"/>
    </row>
    <row r="210" ht="12.75">
      <c r="F210" s="14"/>
    </row>
    <row r="211" ht="12.75">
      <c r="F211" s="14"/>
    </row>
    <row r="212" ht="12.75">
      <c r="F212" s="14"/>
    </row>
    <row r="213" ht="12.75">
      <c r="F213" s="14"/>
    </row>
    <row r="214" ht="12.75">
      <c r="F214" s="14"/>
    </row>
    <row r="215" ht="12.75">
      <c r="F215" s="14"/>
    </row>
    <row r="216" ht="12.75">
      <c r="F216" s="14"/>
    </row>
    <row r="217" ht="12.75">
      <c r="F217" s="14"/>
    </row>
    <row r="218" ht="12.75">
      <c r="F218" s="14"/>
    </row>
    <row r="219" ht="12.75">
      <c r="F219" s="14"/>
    </row>
    <row r="220" ht="12.75">
      <c r="F220" s="14"/>
    </row>
    <row r="221" ht="12.75">
      <c r="F221" s="14"/>
    </row>
    <row r="222" ht="12.75">
      <c r="F222" s="14"/>
    </row>
    <row r="223" ht="12.75">
      <c r="F223" s="14"/>
    </row>
    <row r="224" ht="12.75">
      <c r="F224" s="14"/>
    </row>
    <row r="225" ht="12.75">
      <c r="F225" s="14"/>
    </row>
    <row r="226" ht="12.75">
      <c r="F226" s="14"/>
    </row>
    <row r="227" ht="12.75">
      <c r="F227" s="14"/>
    </row>
    <row r="228" ht="12.75">
      <c r="F228" s="14"/>
    </row>
    <row r="229" ht="12.75">
      <c r="F229" s="14"/>
    </row>
    <row r="230" ht="12.75">
      <c r="F230" s="14"/>
    </row>
    <row r="231" ht="12.75">
      <c r="F231" s="14"/>
    </row>
    <row r="232" ht="12.75">
      <c r="F232" s="14"/>
    </row>
    <row r="233" ht="12.75">
      <c r="F233" s="14"/>
    </row>
    <row r="234" ht="12.75">
      <c r="F234" s="14"/>
    </row>
    <row r="235" ht="12.75">
      <c r="F235" s="14"/>
    </row>
    <row r="236" ht="12.75">
      <c r="F236" s="14"/>
    </row>
    <row r="237" ht="12.75">
      <c r="F237" s="14"/>
    </row>
    <row r="238" ht="12.75">
      <c r="F238" s="14"/>
    </row>
    <row r="239" ht="12.75">
      <c r="F239" s="14"/>
    </row>
    <row r="240" ht="12.75">
      <c r="F240" s="14"/>
    </row>
    <row r="241" ht="12.75">
      <c r="F241" s="14"/>
    </row>
    <row r="242" ht="12.75">
      <c r="F242" s="14"/>
    </row>
    <row r="243" ht="12.75">
      <c r="F243" s="14"/>
    </row>
    <row r="244" ht="12.75">
      <c r="F244" s="14"/>
    </row>
    <row r="245" ht="12.75">
      <c r="F245" s="14"/>
    </row>
    <row r="246" ht="12.75">
      <c r="F246" s="14"/>
    </row>
    <row r="247" ht="12.75">
      <c r="F247" s="14"/>
    </row>
    <row r="248" ht="12.75">
      <c r="F248" s="14"/>
    </row>
    <row r="249" ht="12.75">
      <c r="F249" s="14"/>
    </row>
    <row r="250" ht="12.75">
      <c r="F250" s="14"/>
    </row>
    <row r="251" ht="12.75">
      <c r="F251" s="14"/>
    </row>
    <row r="252" ht="12.75">
      <c r="F252" s="14"/>
    </row>
    <row r="253" ht="12.75">
      <c r="F253" s="14"/>
    </row>
    <row r="254" ht="12.75">
      <c r="F254" s="14"/>
    </row>
    <row r="255" ht="12.75">
      <c r="F255" s="14"/>
    </row>
    <row r="256" ht="12.75">
      <c r="F256" s="14"/>
    </row>
    <row r="257" ht="12.75">
      <c r="F257" s="14"/>
    </row>
    <row r="258" ht="12.75">
      <c r="F258" s="14"/>
    </row>
    <row r="259" ht="12.75">
      <c r="F259" s="14"/>
    </row>
    <row r="260" ht="12.75">
      <c r="F260" s="14"/>
    </row>
    <row r="261" ht="12.75">
      <c r="F261" s="14"/>
    </row>
    <row r="262" ht="12.75">
      <c r="F262" s="14"/>
    </row>
    <row r="263" ht="12.75">
      <c r="F263" s="14"/>
    </row>
    <row r="264" ht="12.75">
      <c r="F264" s="14"/>
    </row>
    <row r="265" ht="12.75">
      <c r="F265" s="14"/>
    </row>
    <row r="266" ht="12.75">
      <c r="F266" s="14"/>
    </row>
    <row r="267" ht="12.75">
      <c r="F267" s="14"/>
    </row>
    <row r="268" ht="12.75">
      <c r="F268" s="14"/>
    </row>
    <row r="269" ht="12.75">
      <c r="F269" s="14"/>
    </row>
    <row r="270" ht="12.75">
      <c r="F270" s="14"/>
    </row>
    <row r="271" ht="12.75">
      <c r="F271" s="14"/>
    </row>
    <row r="272" ht="12.75">
      <c r="F272" s="14"/>
    </row>
    <row r="273" ht="12.75">
      <c r="F273" s="14"/>
    </row>
    <row r="274" ht="12.75">
      <c r="F274" s="14"/>
    </row>
    <row r="275" ht="12.75">
      <c r="F275" s="14"/>
    </row>
    <row r="276" ht="12.75">
      <c r="F276" s="14"/>
    </row>
  </sheetData>
  <printOptions/>
  <pageMargins left="0.75" right="0.5" top="0.7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6"/>
  <sheetViews>
    <sheetView workbookViewId="0" topLeftCell="A1">
      <selection activeCell="J131" sqref="J131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3.421875" style="0" customWidth="1"/>
    <col min="4" max="4" width="10.7109375" style="0" customWidth="1"/>
    <col min="5" max="5" width="12.28125" style="0" bestFit="1" customWidth="1"/>
    <col min="6" max="6" width="9.28125" style="0" bestFit="1" customWidth="1"/>
    <col min="7" max="7" width="14.7109375" style="0" customWidth="1"/>
    <col min="8" max="8" width="11.57421875" style="0" customWidth="1"/>
    <col min="9" max="9" width="13.140625" style="0" customWidth="1"/>
    <col min="10" max="10" width="11.00390625" style="0" customWidth="1"/>
  </cols>
  <sheetData>
    <row r="1" ht="12.75">
      <c r="A1" s="22" t="s">
        <v>69</v>
      </c>
    </row>
    <row r="3" spans="1:9" ht="38.25">
      <c r="A3" s="10" t="s">
        <v>0</v>
      </c>
      <c r="B3" s="8"/>
      <c r="C3" s="22"/>
      <c r="D3" s="10" t="s">
        <v>1</v>
      </c>
      <c r="E3" s="21" t="s">
        <v>110</v>
      </c>
      <c r="F3" s="21" t="s">
        <v>205</v>
      </c>
      <c r="G3" s="21" t="s">
        <v>206</v>
      </c>
      <c r="H3" s="21" t="s">
        <v>207</v>
      </c>
      <c r="I3" s="21" t="s">
        <v>208</v>
      </c>
    </row>
    <row r="4" spans="1:4" ht="12.75">
      <c r="A4" s="8" t="s">
        <v>119</v>
      </c>
      <c r="B4" s="8"/>
      <c r="D4" s="8"/>
    </row>
    <row r="5" spans="2:4" ht="12.75">
      <c r="B5" s="8" t="s">
        <v>3</v>
      </c>
      <c r="D5" s="8"/>
    </row>
    <row r="6" spans="3:11" ht="12.75">
      <c r="C6" s="8" t="s">
        <v>5</v>
      </c>
      <c r="D6" s="8" t="s">
        <v>4</v>
      </c>
      <c r="E6" s="2">
        <v>4172.739744198556</v>
      </c>
      <c r="F6" s="14">
        <f>'Regular Rate BD08'!F6</f>
        <v>0.165</v>
      </c>
      <c r="G6" s="15">
        <f aca="true" t="shared" si="0" ref="G6:G15">E6*F6</f>
        <v>688.5020577927618</v>
      </c>
      <c r="H6" s="14">
        <f>'Nonprofit BD08'!H6</f>
        <v>0.131</v>
      </c>
      <c r="I6" s="12">
        <f>H6*E6</f>
        <v>546.6289064900109</v>
      </c>
      <c r="J6" s="2"/>
      <c r="K6" s="1"/>
    </row>
    <row r="7" spans="3:11" ht="12.75">
      <c r="C7" s="8" t="s">
        <v>6</v>
      </c>
      <c r="D7" s="8" t="s">
        <v>4</v>
      </c>
      <c r="E7" s="2">
        <v>2241319.3434950337</v>
      </c>
      <c r="F7" s="14">
        <f>'Regular Rate BD08'!F7</f>
        <v>0.215</v>
      </c>
      <c r="G7" s="15">
        <f t="shared" si="0"/>
        <v>481883.6588514322</v>
      </c>
      <c r="H7" s="14">
        <f>'Nonprofit BD08'!H7</f>
        <v>0.2</v>
      </c>
      <c r="I7" s="12">
        <f aca="true" t="shared" si="1" ref="I7:I15">H7*E7</f>
        <v>448263.86869900674</v>
      </c>
      <c r="J7" s="2"/>
      <c r="K7" s="1"/>
    </row>
    <row r="8" spans="3:11" ht="12.75">
      <c r="C8" s="8" t="s">
        <v>7</v>
      </c>
      <c r="D8" s="8" t="s">
        <v>4</v>
      </c>
      <c r="E8" s="2">
        <v>361549.8196940841</v>
      </c>
      <c r="F8" s="14">
        <f>'Regular Rate BD08'!F8</f>
        <v>0.225</v>
      </c>
      <c r="G8" s="15">
        <f t="shared" si="0"/>
        <v>81348.70943116893</v>
      </c>
      <c r="H8" s="14">
        <f>'Nonprofit BD08'!H8</f>
        <v>0.212</v>
      </c>
      <c r="I8" s="12">
        <f t="shared" si="1"/>
        <v>76648.56177514583</v>
      </c>
      <c r="J8" s="2"/>
      <c r="K8" s="1"/>
    </row>
    <row r="9" spans="3:11" ht="12.75">
      <c r="C9" s="8" t="s">
        <v>8</v>
      </c>
      <c r="D9" s="8" t="s">
        <v>4</v>
      </c>
      <c r="E9" s="2">
        <v>81756.54444396829</v>
      </c>
      <c r="F9" s="14">
        <f>'Regular Rate BD08'!F9</f>
        <v>0.246</v>
      </c>
      <c r="G9" s="15">
        <f t="shared" si="0"/>
        <v>20112.109933216198</v>
      </c>
      <c r="H9" s="14">
        <f>'Nonprofit BD08'!H9</f>
        <v>0.237</v>
      </c>
      <c r="I9" s="12">
        <f t="shared" si="1"/>
        <v>19376.301033220483</v>
      </c>
      <c r="J9" s="2"/>
      <c r="K9" s="1"/>
    </row>
    <row r="10" spans="3:11" ht="12.75">
      <c r="C10" s="8" t="s">
        <v>9</v>
      </c>
      <c r="D10" s="8" t="s">
        <v>4</v>
      </c>
      <c r="E10" s="2">
        <v>215530.44352509297</v>
      </c>
      <c r="F10" s="14">
        <f>'Regular Rate BD08'!F10</f>
        <v>0.265</v>
      </c>
      <c r="G10" s="15">
        <f t="shared" si="0"/>
        <v>57115.56753414964</v>
      </c>
      <c r="H10" s="14">
        <f>'Nonprofit BD08'!H10</f>
        <v>0.259</v>
      </c>
      <c r="I10" s="12">
        <f t="shared" si="1"/>
        <v>55822.38487299908</v>
      </c>
      <c r="J10" s="2"/>
      <c r="K10" s="1"/>
    </row>
    <row r="11" spans="3:11" ht="12.75">
      <c r="C11" s="8" t="s">
        <v>10</v>
      </c>
      <c r="D11" s="8" t="s">
        <v>4</v>
      </c>
      <c r="E11" s="2">
        <v>443571.52046610945</v>
      </c>
      <c r="F11" s="14">
        <f>'Regular Rate BD08'!F11</f>
        <v>0.312</v>
      </c>
      <c r="G11" s="15">
        <f t="shared" si="0"/>
        <v>138394.31438542614</v>
      </c>
      <c r="H11" s="14">
        <f>'Nonprofit BD08'!H11</f>
        <v>0.317</v>
      </c>
      <c r="I11" s="12">
        <f t="shared" si="1"/>
        <v>140612.1719877567</v>
      </c>
      <c r="J11" s="2"/>
      <c r="K11" s="1"/>
    </row>
    <row r="12" spans="3:11" ht="12.75">
      <c r="C12" s="8" t="s">
        <v>11</v>
      </c>
      <c r="D12" s="8" t="s">
        <v>4</v>
      </c>
      <c r="E12" s="2">
        <v>488720.84722843056</v>
      </c>
      <c r="F12" s="14">
        <f>'Regular Rate BD08'!F12</f>
        <v>0.383</v>
      </c>
      <c r="G12" s="15">
        <f t="shared" si="0"/>
        <v>187180.0844884889</v>
      </c>
      <c r="H12" s="14">
        <f>'Nonprofit BD08'!H12</f>
        <v>0.404</v>
      </c>
      <c r="I12" s="12">
        <f t="shared" si="1"/>
        <v>197443.22228028596</v>
      </c>
      <c r="J12" s="2"/>
      <c r="K12" s="1"/>
    </row>
    <row r="13" spans="3:11" ht="12.75">
      <c r="C13" s="8" t="s">
        <v>12</v>
      </c>
      <c r="D13" s="8" t="s">
        <v>4</v>
      </c>
      <c r="E13" s="2">
        <v>108483.8652018853</v>
      </c>
      <c r="F13" s="14">
        <f>'Regular Rate BD08'!F13</f>
        <v>0.459</v>
      </c>
      <c r="G13" s="15">
        <f t="shared" si="0"/>
        <v>49794.094127665354</v>
      </c>
      <c r="H13" s="14">
        <f>'Nonprofit BD08'!H13</f>
        <v>0.496</v>
      </c>
      <c r="I13" s="12">
        <f t="shared" si="1"/>
        <v>53807.99714013511</v>
      </c>
      <c r="J13" s="2"/>
      <c r="K13" s="1"/>
    </row>
    <row r="14" spans="3:11" ht="12.75">
      <c r="C14" s="8" t="s">
        <v>13</v>
      </c>
      <c r="D14" s="8" t="s">
        <v>4</v>
      </c>
      <c r="E14" s="2">
        <v>95123.63154068278</v>
      </c>
      <c r="F14" s="14">
        <f>'Regular Rate BD08'!F14</f>
        <v>0.55</v>
      </c>
      <c r="G14" s="15">
        <f t="shared" si="0"/>
        <v>52317.99734737553</v>
      </c>
      <c r="H14" s="14">
        <f>'Nonprofit BD08'!H14</f>
        <v>0.607</v>
      </c>
      <c r="I14" s="12">
        <f t="shared" si="1"/>
        <v>57740.044345194445</v>
      </c>
      <c r="J14" s="2"/>
      <c r="K14" s="1"/>
    </row>
    <row r="15" spans="3:11" ht="12.75">
      <c r="C15" s="8" t="s">
        <v>14</v>
      </c>
      <c r="D15" s="8" t="s">
        <v>4</v>
      </c>
      <c r="E15" s="2">
        <v>119146.27117326105</v>
      </c>
      <c r="F15" s="14">
        <f>'Regular Rate BD08'!F15</f>
        <v>0.628</v>
      </c>
      <c r="G15" s="15">
        <f t="shared" si="0"/>
        <v>74823.85829680794</v>
      </c>
      <c r="H15" s="14">
        <f>'Nonprofit BD08'!H15</f>
        <v>0.701</v>
      </c>
      <c r="I15" s="12">
        <f t="shared" si="1"/>
        <v>83521.536092456</v>
      </c>
      <c r="J15" s="2"/>
      <c r="K15" s="1"/>
    </row>
    <row r="16" spans="2:11" ht="12.75">
      <c r="B16" s="8" t="s">
        <v>15</v>
      </c>
      <c r="D16" s="8"/>
      <c r="F16" s="14"/>
      <c r="H16" s="14"/>
      <c r="J16" s="2"/>
      <c r="K16" s="1"/>
    </row>
    <row r="17" spans="3:11" ht="12.75">
      <c r="C17" s="8" t="s">
        <v>5</v>
      </c>
      <c r="D17" s="8" t="s">
        <v>4</v>
      </c>
      <c r="E17" s="2">
        <v>16948.46642188817</v>
      </c>
      <c r="F17" s="14">
        <f>'Regular Rate BD08'!F17</f>
        <v>0.137</v>
      </c>
      <c r="G17" s="15">
        <f>E17*F17</f>
        <v>2321.9398997986796</v>
      </c>
      <c r="H17" s="14">
        <f>'Nonprofit BD08'!H17</f>
        <v>0.109</v>
      </c>
      <c r="I17" s="12">
        <f>H17*E17</f>
        <v>1847.3828399858105</v>
      </c>
      <c r="J17" s="2"/>
      <c r="K17" s="1"/>
    </row>
    <row r="18" spans="3:11" ht="12.75">
      <c r="C18" s="8" t="s">
        <v>6</v>
      </c>
      <c r="D18" s="8" t="s">
        <v>4</v>
      </c>
      <c r="E18" s="2">
        <v>5647248.058578951</v>
      </c>
      <c r="F18" s="14">
        <f>'Regular Rate BD08'!F18</f>
        <v>0.179</v>
      </c>
      <c r="G18" s="15">
        <f>E18*F18</f>
        <v>1010857.4024856322</v>
      </c>
      <c r="H18" s="14">
        <f>'Nonprofit BD08'!H18</f>
        <v>0.166</v>
      </c>
      <c r="I18" s="12">
        <f>H18*E18</f>
        <v>937443.177724106</v>
      </c>
      <c r="J18" s="2"/>
      <c r="K18" s="1"/>
    </row>
    <row r="19" spans="3:11" ht="12.75">
      <c r="C19" s="8" t="s">
        <v>7</v>
      </c>
      <c r="D19" s="8" t="s">
        <v>4</v>
      </c>
      <c r="E19" s="2">
        <v>1184754.5086424034</v>
      </c>
      <c r="F19" s="14">
        <f>'Regular Rate BD08'!F19</f>
        <v>0.187</v>
      </c>
      <c r="G19" s="15">
        <f>E19*F19</f>
        <v>221549.09311612943</v>
      </c>
      <c r="H19" s="14">
        <f>'Nonprofit BD08'!H19</f>
        <v>0.176</v>
      </c>
      <c r="I19" s="12">
        <f>H19*E19</f>
        <v>208516.793521063</v>
      </c>
      <c r="J19" s="2"/>
      <c r="K19" s="1"/>
    </row>
    <row r="20" spans="3:11" ht="12.75">
      <c r="C20" s="8" t="s">
        <v>16</v>
      </c>
      <c r="D20" s="8" t="s">
        <v>4</v>
      </c>
      <c r="E20" s="2">
        <v>20131563.93984401</v>
      </c>
      <c r="F20" s="14">
        <f>'Regular Rate BD08'!F20</f>
        <v>0.205</v>
      </c>
      <c r="G20" s="15">
        <f>E20*F20</f>
        <v>4126970.6076680217</v>
      </c>
      <c r="H20" s="14">
        <f>'Nonprofit BD08'!H20</f>
        <v>0.197</v>
      </c>
      <c r="I20" s="12">
        <f>H20*E20</f>
        <v>3965918.09614927</v>
      </c>
      <c r="J20" s="2"/>
      <c r="K20" s="1"/>
    </row>
    <row r="21" spans="1:8" ht="12.75">
      <c r="A21" s="8" t="s">
        <v>17</v>
      </c>
      <c r="B21" s="8"/>
      <c r="D21" s="8"/>
      <c r="F21" s="14"/>
      <c r="H21" s="14"/>
    </row>
    <row r="22" spans="2:8" ht="12.75">
      <c r="B22" s="8" t="s">
        <v>19</v>
      </c>
      <c r="D22" s="8"/>
      <c r="F22" s="14"/>
      <c r="H22" s="14"/>
    </row>
    <row r="23" spans="3:11" ht="12.75">
      <c r="C23" s="8" t="s">
        <v>20</v>
      </c>
      <c r="D23" s="8" t="s">
        <v>18</v>
      </c>
      <c r="E23" s="16">
        <v>65221.265477790046</v>
      </c>
      <c r="F23" s="14">
        <f>'Regular Rate BD08'!F29</f>
        <v>0.55</v>
      </c>
      <c r="G23" s="15">
        <f>E23*F23</f>
        <v>35871.69601278453</v>
      </c>
      <c r="H23" s="14">
        <f>'Nonprofit BD08'!H23</f>
        <v>0.606</v>
      </c>
      <c r="I23" s="12">
        <f>H23*E23</f>
        <v>39524.086879540766</v>
      </c>
      <c r="J23" s="2"/>
      <c r="K23" s="1"/>
    </row>
    <row r="24" spans="3:11" ht="12.75">
      <c r="C24" s="8" t="s">
        <v>21</v>
      </c>
      <c r="D24" s="8" t="s">
        <v>18</v>
      </c>
      <c r="E24" s="16">
        <v>93779.37904876468</v>
      </c>
      <c r="F24" s="14">
        <f>'Regular Rate BD08'!F30</f>
        <v>0.444</v>
      </c>
      <c r="G24" s="15">
        <f>E24*F24</f>
        <v>41638.04429765152</v>
      </c>
      <c r="H24" s="14">
        <f>'Nonprofit BD08'!H24</f>
        <v>0.435</v>
      </c>
      <c r="I24" s="12">
        <f>H24*E24</f>
        <v>40794.02988621264</v>
      </c>
      <c r="J24" s="2"/>
      <c r="K24" s="1"/>
    </row>
    <row r="25" spans="3:11" ht="12.75">
      <c r="C25" s="8" t="s">
        <v>22</v>
      </c>
      <c r="D25" s="8" t="s">
        <v>18</v>
      </c>
      <c r="E25" s="16">
        <v>10716.712921184457</v>
      </c>
      <c r="F25" s="14">
        <f>'Regular Rate BD08'!F31</f>
        <v>0.519</v>
      </c>
      <c r="G25" s="15">
        <f>E25*F25</f>
        <v>5561.974006094733</v>
      </c>
      <c r="H25" s="14">
        <f>'Nonprofit BD08'!H25</f>
        <v>0.561</v>
      </c>
      <c r="I25" s="12">
        <f>H25*E25</f>
        <v>6012.075948784481</v>
      </c>
      <c r="J25" s="2"/>
      <c r="K25" s="1"/>
    </row>
    <row r="26" spans="3:11" ht="12.75">
      <c r="C26" s="8" t="s">
        <v>23</v>
      </c>
      <c r="D26" s="8" t="s">
        <v>18</v>
      </c>
      <c r="E26" s="16">
        <v>241483.71599387872</v>
      </c>
      <c r="F26" s="14">
        <f>'Regular Rate BD08'!F32</f>
        <v>0.416</v>
      </c>
      <c r="G26" s="15">
        <f>E26*F26</f>
        <v>100457.22585345355</v>
      </c>
      <c r="H26" s="14">
        <f>'Nonprofit BD08'!H26</f>
        <v>0.403</v>
      </c>
      <c r="I26" s="12">
        <f>H26*E26</f>
        <v>97317.93754553313</v>
      </c>
      <c r="J26" s="2"/>
      <c r="K26" s="1"/>
    </row>
    <row r="27" spans="3:11" ht="12.75">
      <c r="C27" s="8" t="s">
        <v>24</v>
      </c>
      <c r="D27" s="8" t="s">
        <v>18</v>
      </c>
      <c r="E27" s="16">
        <v>101585.25419975829</v>
      </c>
      <c r="F27" s="14">
        <f>'Regular Rate BD08'!F33</f>
        <v>0.337</v>
      </c>
      <c r="G27" s="15">
        <f>E27*F27</f>
        <v>34234.230665318544</v>
      </c>
      <c r="H27" s="14">
        <f>'Nonprofit BD08'!H27</f>
        <v>0.315</v>
      </c>
      <c r="I27" s="12">
        <f>H27*E27</f>
        <v>31999.35507292386</v>
      </c>
      <c r="J27" s="2"/>
      <c r="K27" s="1"/>
    </row>
    <row r="28" spans="2:10" ht="12.75">
      <c r="B28" s="8" t="s">
        <v>25</v>
      </c>
      <c r="D28" s="8"/>
      <c r="E28" s="16"/>
      <c r="F28" s="14"/>
      <c r="H28" s="14"/>
      <c r="J28" s="2"/>
    </row>
    <row r="29" spans="3:11" ht="12.75">
      <c r="C29" s="8" t="s">
        <v>20</v>
      </c>
      <c r="D29" s="8" t="s">
        <v>18</v>
      </c>
      <c r="E29" s="16">
        <v>49922.325050393505</v>
      </c>
      <c r="F29" s="14">
        <f>'Regular Rate BD08'!F35</f>
        <v>0.445</v>
      </c>
      <c r="G29" s="15">
        <f>E29*F29</f>
        <v>22215.43464742511</v>
      </c>
      <c r="H29" s="14">
        <f>'Nonprofit BD08'!H29</f>
        <v>0.491</v>
      </c>
      <c r="I29" s="12">
        <f>H29*E29</f>
        <v>24511.86159974321</v>
      </c>
      <c r="J29" s="2"/>
      <c r="K29" s="1"/>
    </row>
    <row r="30" spans="3:11" ht="12.75">
      <c r="C30" s="8" t="s">
        <v>21</v>
      </c>
      <c r="D30" s="8" t="s">
        <v>18</v>
      </c>
      <c r="E30" s="16">
        <v>79094.1135445947</v>
      </c>
      <c r="F30" s="14">
        <f>'Regular Rate BD08'!F36</f>
        <v>0.381</v>
      </c>
      <c r="G30" s="15">
        <f>E30*F30</f>
        <v>30134.857260490582</v>
      </c>
      <c r="H30" s="14">
        <f>'Nonprofit BD08'!H30</f>
        <v>0.4</v>
      </c>
      <c r="I30" s="12">
        <f>H30*E30</f>
        <v>31637.64541783788</v>
      </c>
      <c r="J30" s="2"/>
      <c r="K30" s="1"/>
    </row>
    <row r="31" spans="3:11" ht="12.75">
      <c r="C31" s="8" t="s">
        <v>22</v>
      </c>
      <c r="D31" s="8" t="s">
        <v>18</v>
      </c>
      <c r="E31" s="16">
        <v>6547.15585532716</v>
      </c>
      <c r="F31" s="14">
        <f>'Regular Rate BD08'!F37</f>
        <v>0.424</v>
      </c>
      <c r="G31" s="15">
        <f>E31*F31</f>
        <v>2775.994082658716</v>
      </c>
      <c r="H31" s="14">
        <f>'Nonprofit BD08'!H31</f>
        <v>0.46699999999999997</v>
      </c>
      <c r="I31" s="12">
        <f>H31*E31</f>
        <v>3057.5217844377835</v>
      </c>
      <c r="J31" s="2"/>
      <c r="K31" s="1"/>
    </row>
    <row r="32" spans="3:11" ht="12.75">
      <c r="C32" s="8" t="s">
        <v>23</v>
      </c>
      <c r="D32" s="8" t="s">
        <v>18</v>
      </c>
      <c r="E32" s="16">
        <v>718528.7749132789</v>
      </c>
      <c r="F32" s="14">
        <f>'Regular Rate BD08'!F38</f>
        <v>0.36</v>
      </c>
      <c r="G32" s="15">
        <f>E32*F32</f>
        <v>258670.35896878038</v>
      </c>
      <c r="H32" s="14">
        <f>'Nonprofit BD08'!H32</f>
        <v>0.377</v>
      </c>
      <c r="I32" s="12">
        <f>H32*E32</f>
        <v>270885.34814230615</v>
      </c>
      <c r="J32" s="2"/>
      <c r="K32" s="1"/>
    </row>
    <row r="33" spans="3:11" ht="12.75">
      <c r="C33" s="8" t="s">
        <v>24</v>
      </c>
      <c r="D33" s="8" t="s">
        <v>18</v>
      </c>
      <c r="E33" s="16">
        <v>189510.0869498478</v>
      </c>
      <c r="F33" s="14">
        <f>'Regular Rate BD08'!F39</f>
        <v>0.298</v>
      </c>
      <c r="G33" s="15">
        <f>E33*F33</f>
        <v>56474.00591105464</v>
      </c>
      <c r="H33" s="14">
        <f>'Nonprofit BD08'!H33</f>
        <v>0.275</v>
      </c>
      <c r="I33" s="12">
        <f>H33*E33</f>
        <v>52115.273911208154</v>
      </c>
      <c r="J33" s="2"/>
      <c r="K33" s="1"/>
    </row>
    <row r="34" spans="2:10" ht="12.75">
      <c r="B34" s="8" t="s">
        <v>26</v>
      </c>
      <c r="D34" s="8"/>
      <c r="E34" s="16"/>
      <c r="F34" s="14"/>
      <c r="H34" s="14"/>
      <c r="J34" s="2"/>
    </row>
    <row r="35" spans="3:11" ht="12.75">
      <c r="C35" s="8" t="s">
        <v>20</v>
      </c>
      <c r="D35" s="8" t="s">
        <v>18</v>
      </c>
      <c r="E35" s="16">
        <v>25311.890220722154</v>
      </c>
      <c r="F35" s="14">
        <f>'Regular Rate BD08'!F41</f>
        <v>0.384</v>
      </c>
      <c r="G35" s="15">
        <f>E35*F35</f>
        <v>9719.765844757307</v>
      </c>
      <c r="H35" s="14">
        <f>'Nonprofit BD08'!H35</f>
        <v>0.417</v>
      </c>
      <c r="I35" s="12">
        <f>H35*E35</f>
        <v>10555.058222041138</v>
      </c>
      <c r="J35" s="2"/>
      <c r="K35" s="1"/>
    </row>
    <row r="36" spans="3:11" ht="12.75">
      <c r="C36" s="8" t="s">
        <v>21</v>
      </c>
      <c r="D36" s="8" t="s">
        <v>18</v>
      </c>
      <c r="E36" s="16">
        <v>356991.30070861714</v>
      </c>
      <c r="F36" s="14">
        <f>'Regular Rate BD08'!F42</f>
        <v>0.358</v>
      </c>
      <c r="G36" s="15">
        <f>E36*F36</f>
        <v>127802.88565368493</v>
      </c>
      <c r="H36" s="14">
        <f>'Nonprofit BD08'!H36</f>
        <v>0.383</v>
      </c>
      <c r="I36" s="12">
        <f>H36*E36</f>
        <v>136727.66817140038</v>
      </c>
      <c r="J36" s="2"/>
      <c r="K36" s="1"/>
    </row>
    <row r="37" spans="3:11" ht="12.75">
      <c r="C37" s="8" t="s">
        <v>22</v>
      </c>
      <c r="D37" s="8" t="s">
        <v>18</v>
      </c>
      <c r="E37" s="16">
        <v>3237.40080310382</v>
      </c>
      <c r="F37" s="14">
        <f>'Regular Rate BD08'!F43</f>
        <v>0.373</v>
      </c>
      <c r="G37" s="15">
        <f>E37*F37</f>
        <v>1207.5504995577248</v>
      </c>
      <c r="H37" s="14">
        <f>'Nonprofit BD08'!H37</f>
        <v>0.407</v>
      </c>
      <c r="I37" s="12">
        <f>H37*E37</f>
        <v>1317.6221268632548</v>
      </c>
      <c r="J37" s="2"/>
      <c r="K37" s="1"/>
    </row>
    <row r="38" spans="3:11" ht="12.75">
      <c r="C38" s="8" t="s">
        <v>23</v>
      </c>
      <c r="D38" s="8" t="s">
        <v>18</v>
      </c>
      <c r="E38" s="16">
        <v>6745578.333169673</v>
      </c>
      <c r="F38" s="14">
        <f>'Regular Rate BD08'!F44</f>
        <v>0.341</v>
      </c>
      <c r="G38" s="15">
        <f>E38*F38</f>
        <v>2300242.2116108583</v>
      </c>
      <c r="H38" s="14">
        <f>'Nonprofit BD08'!H38</f>
        <v>0.362</v>
      </c>
      <c r="I38" s="12">
        <f>H38*E38</f>
        <v>2441899.3566074213</v>
      </c>
      <c r="J38" s="2"/>
      <c r="K38" s="1"/>
    </row>
    <row r="39" spans="3:11" ht="12.75">
      <c r="C39" s="8" t="s">
        <v>24</v>
      </c>
      <c r="D39" s="8" t="s">
        <v>18</v>
      </c>
      <c r="E39" s="16">
        <v>394800.7378001631</v>
      </c>
      <c r="F39" s="14">
        <f>'Regular Rate BD08'!F45</f>
        <v>0.283</v>
      </c>
      <c r="G39" s="15">
        <f>E39*F39</f>
        <v>111728.60879744614</v>
      </c>
      <c r="H39" s="14">
        <f>'Nonprofit BD08'!H39</f>
        <v>0.255</v>
      </c>
      <c r="I39" s="12">
        <f>H39*E39</f>
        <v>100674.1881390416</v>
      </c>
      <c r="J39" s="2"/>
      <c r="K39" s="1"/>
    </row>
    <row r="40" spans="2:10" ht="12.75">
      <c r="B40" s="8" t="s">
        <v>27</v>
      </c>
      <c r="D40" s="8"/>
      <c r="E40" s="16"/>
      <c r="F40" s="14"/>
      <c r="H40" s="14"/>
      <c r="J40" s="2"/>
    </row>
    <row r="41" spans="3:11" ht="12.75">
      <c r="C41" s="8" t="s">
        <v>20</v>
      </c>
      <c r="D41" s="8" t="s">
        <v>18</v>
      </c>
      <c r="E41" s="16">
        <v>33980.73594293464</v>
      </c>
      <c r="F41" s="14">
        <f>'Regular Rate BD08'!F47</f>
        <v>0.298</v>
      </c>
      <c r="G41" s="15">
        <f>E41*F41</f>
        <v>10126.259310994523</v>
      </c>
      <c r="H41" s="14">
        <f>'Nonprofit BD08'!H41</f>
        <v>0.301</v>
      </c>
      <c r="I41" s="12">
        <f>H41*E41</f>
        <v>10228.201518823325</v>
      </c>
      <c r="J41" s="2"/>
      <c r="K41" s="1"/>
    </row>
    <row r="42" spans="3:11" ht="12.75">
      <c r="C42" s="8" t="s">
        <v>21</v>
      </c>
      <c r="D42" s="8" t="s">
        <v>18</v>
      </c>
      <c r="E42" s="16">
        <v>939113.0540973671</v>
      </c>
      <c r="F42" s="14">
        <f>'Regular Rate BD08'!F48</f>
        <v>0.284</v>
      </c>
      <c r="G42" s="15">
        <f>E42*F42</f>
        <v>266708.1073636522</v>
      </c>
      <c r="H42" s="14">
        <f>'Nonprofit BD08'!H42</f>
        <v>0.286</v>
      </c>
      <c r="I42" s="12">
        <f>H42*E42</f>
        <v>268586.33347184694</v>
      </c>
      <c r="J42" s="2"/>
      <c r="K42" s="1"/>
    </row>
    <row r="43" spans="3:11" ht="12.75">
      <c r="C43" s="8" t="s">
        <v>22</v>
      </c>
      <c r="D43" s="8" t="s">
        <v>18</v>
      </c>
      <c r="E43" s="16">
        <v>4600.978833073379</v>
      </c>
      <c r="F43" s="14">
        <f>'Regular Rate BD08'!F49</f>
        <v>0.293</v>
      </c>
      <c r="G43" s="15">
        <f>E43*F43</f>
        <v>1348.0867980905</v>
      </c>
      <c r="H43" s="14">
        <f>'Nonprofit BD08'!H43</f>
        <v>0.3</v>
      </c>
      <c r="I43" s="12">
        <f>H43*E43</f>
        <v>1380.2936499220136</v>
      </c>
      <c r="J43" s="2"/>
      <c r="K43" s="1"/>
    </row>
    <row r="44" spans="3:11" ht="12.75">
      <c r="C44" s="8" t="s">
        <v>23</v>
      </c>
      <c r="D44" s="8" t="s">
        <v>18</v>
      </c>
      <c r="E44" s="16">
        <v>17591183.103395842</v>
      </c>
      <c r="F44" s="14">
        <f>'Regular Rate BD08'!F50</f>
        <v>0.276</v>
      </c>
      <c r="G44" s="15">
        <f>E44*F44</f>
        <v>4855166.536537252</v>
      </c>
      <c r="H44" s="14">
        <f>'Nonprofit BD08'!H44</f>
        <v>0.276</v>
      </c>
      <c r="I44" s="12">
        <f>H44*E44</f>
        <v>4855166.536537252</v>
      </c>
      <c r="J44" s="2"/>
      <c r="K44" s="1"/>
    </row>
    <row r="45" spans="3:11" ht="12.75">
      <c r="C45" s="8" t="s">
        <v>24</v>
      </c>
      <c r="D45" s="8" t="s">
        <v>18</v>
      </c>
      <c r="E45" s="16">
        <v>1014.7574582504959</v>
      </c>
      <c r="F45" s="14">
        <f>'Regular Rate BD08'!F51</f>
        <v>0.217</v>
      </c>
      <c r="G45" s="15">
        <f>E45*F45</f>
        <v>220.20236844035762</v>
      </c>
      <c r="H45" s="14">
        <f>'Nonprofit BD08'!H45</f>
        <v>0.195</v>
      </c>
      <c r="I45" s="12">
        <f>H45*E45</f>
        <v>197.8777043588467</v>
      </c>
      <c r="J45" s="2"/>
      <c r="K45" s="1"/>
    </row>
    <row r="46" spans="2:10" ht="12.75">
      <c r="B46" s="8" t="s">
        <v>28</v>
      </c>
      <c r="D46" s="8"/>
      <c r="E46" s="16"/>
      <c r="F46" s="14"/>
      <c r="H46" s="14"/>
      <c r="J46" s="2"/>
    </row>
    <row r="47" spans="3:11" ht="12.75">
      <c r="C47" s="8" t="s">
        <v>29</v>
      </c>
      <c r="D47" s="8" t="s">
        <v>18</v>
      </c>
      <c r="E47" s="16">
        <v>16954904.54161226</v>
      </c>
      <c r="F47" s="14">
        <f>'Regular Rate BD08'!F53</f>
        <v>0.174</v>
      </c>
      <c r="G47" s="15">
        <f>E47*F47</f>
        <v>2950153.390240533</v>
      </c>
      <c r="H47" s="14">
        <f>'Nonprofit BD08'!H47</f>
        <v>0.178</v>
      </c>
      <c r="I47" s="12">
        <f>H47*E47</f>
        <v>3017973.0084069823</v>
      </c>
      <c r="J47" s="2"/>
      <c r="K47" s="1"/>
    </row>
    <row r="48" spans="3:11" ht="12.75">
      <c r="C48" s="8" t="s">
        <v>30</v>
      </c>
      <c r="D48" s="8" t="s">
        <v>18</v>
      </c>
      <c r="E48" s="16">
        <v>0</v>
      </c>
      <c r="F48" s="14">
        <f>'Regular Rate BD08'!F54</f>
        <v>0.153</v>
      </c>
      <c r="G48" s="15">
        <f>E48*F48</f>
        <v>0</v>
      </c>
      <c r="H48" s="14">
        <f>'Nonprofit BD08'!H48</f>
        <v>0.151</v>
      </c>
      <c r="I48" s="12">
        <f>H48*E48</f>
        <v>0</v>
      </c>
      <c r="J48" s="2"/>
      <c r="K48" s="1"/>
    </row>
    <row r="49" spans="3:11" ht="12.75">
      <c r="C49" s="8" t="s">
        <v>31</v>
      </c>
      <c r="D49" s="8" t="s">
        <v>18</v>
      </c>
      <c r="E49" s="16">
        <v>261934.7174840757</v>
      </c>
      <c r="F49" s="14">
        <f>'Regular Rate BD08'!F55</f>
        <v>0.135</v>
      </c>
      <c r="G49" s="15">
        <f>E49*F49</f>
        <v>35361.18686035022</v>
      </c>
      <c r="H49" s="14">
        <f>'Nonprofit BD08'!H49</f>
        <v>0.132</v>
      </c>
      <c r="I49" s="12">
        <f>H49*E49</f>
        <v>34575.382707897996</v>
      </c>
      <c r="J49" s="2"/>
      <c r="K49" s="1"/>
    </row>
    <row r="50" spans="3:11" ht="12.75">
      <c r="C50" s="8" t="s">
        <v>32</v>
      </c>
      <c r="D50" s="8" t="s">
        <v>18</v>
      </c>
      <c r="E50" s="16">
        <v>10492740.664519101</v>
      </c>
      <c r="F50" s="14">
        <f>'Regular Rate BD08'!F56</f>
        <v>0.174</v>
      </c>
      <c r="G50" s="15">
        <f>E50*F50</f>
        <v>1825736.8756263235</v>
      </c>
      <c r="H50" s="14">
        <f>'Nonprofit BD08'!H50</f>
        <v>0.178</v>
      </c>
      <c r="I50" s="12">
        <f>H50*E50</f>
        <v>1867707.8382844</v>
      </c>
      <c r="J50" s="2"/>
      <c r="K50" s="1"/>
    </row>
    <row r="51" spans="3:11" ht="24.75" customHeight="1">
      <c r="C51" s="30" t="s">
        <v>118</v>
      </c>
      <c r="D51" s="8" t="s">
        <v>34</v>
      </c>
      <c r="E51" s="16">
        <v>51619398.82584954</v>
      </c>
      <c r="F51" s="14">
        <f>'Regular Rate BD08'!F57</f>
        <v>-0.094</v>
      </c>
      <c r="G51" s="15">
        <f>E51*F51</f>
        <v>-4852223.489629857</v>
      </c>
      <c r="H51" s="14">
        <f>'Nonprofit BD08'!H51</f>
        <v>-0.098</v>
      </c>
      <c r="I51" s="12">
        <f>H51*E51</f>
        <v>-5058701.084933255</v>
      </c>
      <c r="J51" s="2"/>
      <c r="K51" s="1"/>
    </row>
    <row r="52" spans="1:10" ht="12.75">
      <c r="A52" s="8" t="s">
        <v>35</v>
      </c>
      <c r="D52" s="8"/>
      <c r="E52" s="16"/>
      <c r="F52" s="14"/>
      <c r="H52" s="14"/>
      <c r="J52" s="3"/>
    </row>
    <row r="53" spans="2:10" ht="12.75">
      <c r="B53" s="8" t="s">
        <v>37</v>
      </c>
      <c r="D53" s="8"/>
      <c r="E53" s="16"/>
      <c r="F53" s="14"/>
      <c r="H53" s="14"/>
      <c r="J53" s="3"/>
    </row>
    <row r="54" spans="3:11" ht="12.75">
      <c r="C54" s="8" t="s">
        <v>38</v>
      </c>
      <c r="D54" s="8" t="s">
        <v>36</v>
      </c>
      <c r="E54" s="16">
        <v>52291.78321898826</v>
      </c>
      <c r="F54" s="14">
        <f>'Regular Rate BD08'!F60</f>
        <v>0.103</v>
      </c>
      <c r="G54" s="15">
        <f>E54*F54</f>
        <v>5386.053671555791</v>
      </c>
      <c r="H54" s="14">
        <f>'Nonprofit BD08'!H54</f>
        <v>0.077</v>
      </c>
      <c r="I54" s="12">
        <f>H54*E54</f>
        <v>4026.4673078620963</v>
      </c>
      <c r="J54" s="2"/>
      <c r="K54" s="1"/>
    </row>
    <row r="55" spans="3:11" ht="12.75">
      <c r="C55" s="8" t="s">
        <v>39</v>
      </c>
      <c r="D55" s="8" t="s">
        <v>36</v>
      </c>
      <c r="E55" s="16">
        <v>53515.4291089281</v>
      </c>
      <c r="F55" s="14">
        <f>'Regular Rate BD08'!F61</f>
        <v>0.133</v>
      </c>
      <c r="G55" s="15">
        <f>E55*F55</f>
        <v>7117.552071487438</v>
      </c>
      <c r="H55" s="14">
        <f>'Nonprofit BD08'!H55</f>
        <v>0.201</v>
      </c>
      <c r="I55" s="12">
        <f>H55*E55</f>
        <v>10756.60125089455</v>
      </c>
      <c r="J55" s="2"/>
      <c r="K55" s="1"/>
    </row>
    <row r="56" spans="3:11" ht="12.75">
      <c r="C56" s="8" t="s">
        <v>40</v>
      </c>
      <c r="D56" s="8" t="s">
        <v>36</v>
      </c>
      <c r="E56" s="16">
        <v>41199.449710001936</v>
      </c>
      <c r="F56" s="14">
        <f>'Regular Rate BD08'!F62</f>
        <v>0.138</v>
      </c>
      <c r="G56" s="15">
        <f>E56*F56</f>
        <v>5685.524059980267</v>
      </c>
      <c r="H56" s="14">
        <f>'Nonprofit BD08'!H56</f>
        <v>0.267</v>
      </c>
      <c r="I56" s="12">
        <f>H56*E56</f>
        <v>11000.253072570518</v>
      </c>
      <c r="J56" s="2"/>
      <c r="K56" s="1"/>
    </row>
    <row r="57" spans="3:11" ht="12.75">
      <c r="C57" s="8" t="s">
        <v>41</v>
      </c>
      <c r="D57" s="8" t="s">
        <v>36</v>
      </c>
      <c r="E57" s="16">
        <v>9902.121034510576</v>
      </c>
      <c r="F57" s="14">
        <f>'Regular Rate BD08'!F63</f>
        <v>0.166</v>
      </c>
      <c r="G57" s="15">
        <f>E57*F57</f>
        <v>1643.7520917287557</v>
      </c>
      <c r="H57" s="14">
        <f>'Nonprofit BD08'!H57</f>
        <v>0.276</v>
      </c>
      <c r="I57" s="12">
        <f>H57*E57</f>
        <v>2732.985405524919</v>
      </c>
      <c r="J57" s="2"/>
      <c r="K57" s="1"/>
    </row>
    <row r="58" spans="3:11" ht="12.75">
      <c r="C58" s="8" t="s">
        <v>32</v>
      </c>
      <c r="D58" s="8" t="s">
        <v>36</v>
      </c>
      <c r="E58" s="16">
        <v>869776.8488973385</v>
      </c>
      <c r="F58" s="14">
        <f>'Regular Rate BD08'!F64</f>
        <v>0.081</v>
      </c>
      <c r="G58" s="15">
        <f>E58*F58</f>
        <v>70451.92476068441</v>
      </c>
      <c r="H58" s="14">
        <f>'Nonprofit BD08'!H58</f>
        <v>0.179</v>
      </c>
      <c r="I58" s="12">
        <f>H58*E58</f>
        <v>155690.05595262357</v>
      </c>
      <c r="J58" s="2"/>
      <c r="K58" s="1"/>
    </row>
    <row r="59" spans="2:10" ht="12.75">
      <c r="B59" s="8" t="s">
        <v>42</v>
      </c>
      <c r="D59" s="8"/>
      <c r="E59" s="16"/>
      <c r="F59" s="14"/>
      <c r="H59" s="14"/>
      <c r="J59" s="2"/>
    </row>
    <row r="60" spans="3:11" ht="12.75">
      <c r="C60" s="8" t="s">
        <v>39</v>
      </c>
      <c r="D60" s="8" t="s">
        <v>36</v>
      </c>
      <c r="E60" s="16">
        <v>32087.267095454787</v>
      </c>
      <c r="F60" s="14">
        <f>'Regular Rate BD08'!F66</f>
        <v>0.039</v>
      </c>
      <c r="G60" s="15">
        <f>E60*F60</f>
        <v>1251.4034167227367</v>
      </c>
      <c r="H60" s="14">
        <f>'Nonprofit BD08'!H60</f>
        <v>0.111</v>
      </c>
      <c r="I60" s="12">
        <f>H60*E60</f>
        <v>3561.686647595481</v>
      </c>
      <c r="J60" s="2"/>
      <c r="K60" s="1"/>
    </row>
    <row r="61" spans="3:11" ht="12.75">
      <c r="C61" s="8" t="s">
        <v>40</v>
      </c>
      <c r="D61" s="8" t="s">
        <v>36</v>
      </c>
      <c r="E61" s="16">
        <v>138342.48691298746</v>
      </c>
      <c r="F61" s="14">
        <f>'Regular Rate BD08'!F67</f>
        <v>0.065</v>
      </c>
      <c r="G61" s="15">
        <f>E61*F61</f>
        <v>8992.261649344186</v>
      </c>
      <c r="H61" s="14">
        <f>'Nonprofit BD08'!H61</f>
        <v>0.183</v>
      </c>
      <c r="I61" s="12">
        <f>H61*E61</f>
        <v>25316.675105076705</v>
      </c>
      <c r="J61" s="2"/>
      <c r="K61" s="1"/>
    </row>
    <row r="62" spans="3:11" ht="12.75">
      <c r="C62" s="8" t="s">
        <v>41</v>
      </c>
      <c r="D62" s="8" t="s">
        <v>36</v>
      </c>
      <c r="E62" s="16">
        <v>258960.1168541616</v>
      </c>
      <c r="F62" s="14">
        <f>'Regular Rate BD08'!F68</f>
        <v>0.098</v>
      </c>
      <c r="G62" s="15">
        <f>E62*F62</f>
        <v>25378.091451707838</v>
      </c>
      <c r="H62" s="14">
        <f>'Nonprofit BD08'!H62</f>
        <v>0.19899999999999998</v>
      </c>
      <c r="I62" s="12">
        <f>H62*E62</f>
        <v>51533.06325397816</v>
      </c>
      <c r="J62" s="2"/>
      <c r="K62" s="1"/>
    </row>
    <row r="63" spans="3:11" ht="12.75">
      <c r="C63" s="8" t="s">
        <v>43</v>
      </c>
      <c r="D63" s="8" t="s">
        <v>36</v>
      </c>
      <c r="E63" s="16">
        <v>128237.25643284956</v>
      </c>
      <c r="F63" s="14">
        <f>'Regular Rate BD08'!F69</f>
        <v>0.107</v>
      </c>
      <c r="G63" s="15">
        <f>E63*F63</f>
        <v>13721.386438314903</v>
      </c>
      <c r="H63" s="14">
        <f>'Nonprofit BD08'!H63</f>
        <v>0.314</v>
      </c>
      <c r="I63" s="12">
        <f>H63*E63</f>
        <v>40266.49851991476</v>
      </c>
      <c r="J63" s="2"/>
      <c r="K63" s="1"/>
    </row>
    <row r="64" spans="3:11" ht="12.75">
      <c r="C64" s="8" t="s">
        <v>32</v>
      </c>
      <c r="D64" s="8" t="s">
        <v>36</v>
      </c>
      <c r="E64" s="16">
        <v>3727144.981358746</v>
      </c>
      <c r="F64" s="14">
        <f>'Regular Rate BD08'!F70</f>
        <v>0.049</v>
      </c>
      <c r="G64" s="15">
        <f>E64*F64</f>
        <v>182630.10408657856</v>
      </c>
      <c r="H64" s="14">
        <f>'Nonprofit BD08'!H64</f>
        <v>0.149</v>
      </c>
      <c r="I64" s="12">
        <f>H64*E64</f>
        <v>555344.6022224531</v>
      </c>
      <c r="J64" s="2"/>
      <c r="K64" s="1"/>
    </row>
    <row r="65" spans="2:10" ht="12.75">
      <c r="B65" s="8" t="s">
        <v>44</v>
      </c>
      <c r="D65" s="8"/>
      <c r="E65" s="16"/>
      <c r="F65" s="14"/>
      <c r="H65" s="14"/>
      <c r="J65" s="2"/>
    </row>
    <row r="66" spans="3:11" ht="12.75">
      <c r="C66" s="8" t="s">
        <v>40</v>
      </c>
      <c r="D66" s="8" t="s">
        <v>36</v>
      </c>
      <c r="E66" s="16">
        <v>207170.16048252844</v>
      </c>
      <c r="F66" s="14">
        <f>'Regular Rate BD08'!F72</f>
        <v>0.04</v>
      </c>
      <c r="G66" s="15">
        <f>E66*F66</f>
        <v>8286.806419301138</v>
      </c>
      <c r="H66" s="14">
        <f>'Nonprofit BD08'!H66</f>
        <v>0.125</v>
      </c>
      <c r="I66" s="12">
        <f>H66*E66</f>
        <v>25896.270060316056</v>
      </c>
      <c r="J66" s="2"/>
      <c r="K66" s="1"/>
    </row>
    <row r="67" spans="3:11" ht="12.75">
      <c r="C67" s="8" t="s">
        <v>41</v>
      </c>
      <c r="D67" s="8" t="s">
        <v>36</v>
      </c>
      <c r="E67" s="16">
        <v>771946.8606289431</v>
      </c>
      <c r="F67" s="14">
        <f>'Regular Rate BD08'!F73</f>
        <v>0.086</v>
      </c>
      <c r="G67" s="15">
        <f>E67*F67</f>
        <v>66387.4300140891</v>
      </c>
      <c r="H67" s="14">
        <f>'Nonprofit BD08'!H67</f>
        <v>0.145</v>
      </c>
      <c r="I67" s="12">
        <f>H67*E67</f>
        <v>111932.29479119673</v>
      </c>
      <c r="J67" s="2"/>
      <c r="K67" s="1"/>
    </row>
    <row r="68" spans="3:11" ht="12.75">
      <c r="C68" s="8" t="s">
        <v>43</v>
      </c>
      <c r="D68" s="8" t="s">
        <v>36</v>
      </c>
      <c r="E68" s="16">
        <v>1461531.6715685641</v>
      </c>
      <c r="F68" s="14">
        <f>'Regular Rate BD08'!F74</f>
        <v>0.098</v>
      </c>
      <c r="G68" s="15">
        <f>E68*F68</f>
        <v>143230.1038137193</v>
      </c>
      <c r="H68" s="14">
        <f>'Nonprofit BD08'!H68</f>
        <v>0.27899999999999997</v>
      </c>
      <c r="I68" s="12">
        <f>H68*E68</f>
        <v>407767.33636762935</v>
      </c>
      <c r="J68" s="2"/>
      <c r="K68" s="1"/>
    </row>
    <row r="69" spans="3:11" ht="12.75">
      <c r="C69" s="8" t="s">
        <v>32</v>
      </c>
      <c r="D69" s="8" t="s">
        <v>36</v>
      </c>
      <c r="E69" s="16">
        <v>4158869.5548152975</v>
      </c>
      <c r="F69" s="14">
        <f>'Regular Rate BD08'!F75</f>
        <v>0.046</v>
      </c>
      <c r="G69" s="15">
        <f>E69*F69</f>
        <v>191307.9995215037</v>
      </c>
      <c r="H69" s="14">
        <f>'Nonprofit BD08'!H69</f>
        <v>0.13699999999999998</v>
      </c>
      <c r="I69" s="12">
        <f>H69*E69</f>
        <v>569765.1290096957</v>
      </c>
      <c r="J69" s="2"/>
      <c r="K69" s="1"/>
    </row>
    <row r="70" spans="2:10" ht="12.75">
      <c r="B70" s="8" t="s">
        <v>45</v>
      </c>
      <c r="D70" s="8"/>
      <c r="E70" s="16"/>
      <c r="F70" s="14"/>
      <c r="H70" s="14"/>
      <c r="J70" s="2"/>
    </row>
    <row r="71" spans="3:11" ht="12.75">
      <c r="C71" s="8" t="s">
        <v>41</v>
      </c>
      <c r="D71" s="8" t="s">
        <v>36</v>
      </c>
      <c r="E71" s="16">
        <v>53749.379717077805</v>
      </c>
      <c r="F71" s="14">
        <f>'Regular Rate BD08'!F77</f>
        <v>0.008</v>
      </c>
      <c r="G71" s="15">
        <f>E71*F71</f>
        <v>429.99503773662246</v>
      </c>
      <c r="H71" s="14">
        <f>'Nonprofit BD08'!H71</f>
        <v>0.14</v>
      </c>
      <c r="I71" s="12">
        <f>H71*E71</f>
        <v>7524.913160390894</v>
      </c>
      <c r="J71" s="2"/>
      <c r="K71" s="1"/>
    </row>
    <row r="72" spans="3:11" ht="12.75">
      <c r="C72" s="8" t="s">
        <v>43</v>
      </c>
      <c r="D72" s="8" t="s">
        <v>36</v>
      </c>
      <c r="E72" s="16">
        <v>42263.273394333686</v>
      </c>
      <c r="F72" s="14">
        <f>'Regular Rate BD08'!F78</f>
        <v>0.04</v>
      </c>
      <c r="G72" s="15">
        <f>E72*F72</f>
        <v>1690.5309357733474</v>
      </c>
      <c r="H72" s="14">
        <f>'Nonprofit BD08'!H72</f>
        <v>0.147</v>
      </c>
      <c r="I72" s="12">
        <f>H72*E72</f>
        <v>6212.701188967051</v>
      </c>
      <c r="J72" s="2"/>
      <c r="K72" s="1"/>
    </row>
    <row r="73" spans="3:11" ht="12.75">
      <c r="C73" s="8" t="s">
        <v>32</v>
      </c>
      <c r="D73" s="8" t="s">
        <v>36</v>
      </c>
      <c r="E73" s="16">
        <v>93042.16466284465</v>
      </c>
      <c r="F73" s="14">
        <f>'Regular Rate BD08'!F79</f>
        <v>0.028</v>
      </c>
      <c r="G73" s="15">
        <f>E73*F73</f>
        <v>2605.18061055965</v>
      </c>
      <c r="H73" s="14">
        <f>'Nonprofit BD08'!H73</f>
        <v>0.077</v>
      </c>
      <c r="I73" s="12">
        <f>H73*E73</f>
        <v>7164.246679039038</v>
      </c>
      <c r="J73" s="2"/>
      <c r="K73" s="1"/>
    </row>
    <row r="74" spans="1:10" ht="12.75">
      <c r="A74" s="20" t="s">
        <v>46</v>
      </c>
      <c r="D74" s="8"/>
      <c r="E74" s="16"/>
      <c r="F74" s="14"/>
      <c r="H74" s="14"/>
      <c r="J74" s="3"/>
    </row>
    <row r="75" spans="2:10" ht="12.75">
      <c r="B75" s="8" t="s">
        <v>37</v>
      </c>
      <c r="D75" s="8"/>
      <c r="E75" s="16"/>
      <c r="F75" s="14"/>
      <c r="H75" s="14"/>
      <c r="J75" s="3"/>
    </row>
    <row r="76" spans="3:11" ht="12.75">
      <c r="C76" s="8" t="s">
        <v>48</v>
      </c>
      <c r="D76" s="8" t="s">
        <v>47</v>
      </c>
      <c r="E76" s="16">
        <v>3881.299785657812</v>
      </c>
      <c r="F76" s="14">
        <f>'Regular Rate BD08'!F82</f>
        <v>0.432</v>
      </c>
      <c r="G76" s="15">
        <f>E76*F76</f>
        <v>1676.7215074041749</v>
      </c>
      <c r="H76" s="14">
        <f>'Nonprofit BD08'!H76</f>
        <v>0.42</v>
      </c>
      <c r="I76" s="12">
        <f>H76*E76</f>
        <v>1630.145909976281</v>
      </c>
      <c r="J76" s="2"/>
      <c r="K76" s="1"/>
    </row>
    <row r="77" spans="3:11" ht="12.75">
      <c r="C77" s="8" t="s">
        <v>49</v>
      </c>
      <c r="D77" s="8" t="s">
        <v>47</v>
      </c>
      <c r="E77" s="16">
        <v>57417.71781446163</v>
      </c>
      <c r="F77" s="14">
        <f>'Regular Rate BD08'!F83</f>
        <v>0.432</v>
      </c>
      <c r="G77" s="15">
        <f>E77*F77</f>
        <v>24804.45409584742</v>
      </c>
      <c r="H77" s="14">
        <f>'Nonprofit BD08'!H77</f>
        <v>0.42</v>
      </c>
      <c r="I77" s="12">
        <f>H77*E77</f>
        <v>24115.441482073882</v>
      </c>
      <c r="J77" s="2"/>
      <c r="K77" s="1"/>
    </row>
    <row r="78" spans="2:11" ht="12.75">
      <c r="B78" s="8" t="s">
        <v>50</v>
      </c>
      <c r="D78" s="8"/>
      <c r="E78" s="16"/>
      <c r="F78" s="14"/>
      <c r="G78" s="11"/>
      <c r="H78" s="14"/>
      <c r="J78" s="2"/>
      <c r="K78" s="1"/>
    </row>
    <row r="79" spans="3:11" ht="12.75">
      <c r="C79" s="8" t="s">
        <v>48</v>
      </c>
      <c r="D79" s="8" t="s">
        <v>47</v>
      </c>
      <c r="E79" s="16">
        <v>5176.648770601263</v>
      </c>
      <c r="F79" s="14">
        <f>'Regular Rate BD08'!F85</f>
        <v>1.853</v>
      </c>
      <c r="G79" s="15">
        <f>E79*F79</f>
        <v>9592.33017192414</v>
      </c>
      <c r="H79" s="14">
        <v>1.853</v>
      </c>
      <c r="I79" s="12">
        <f>H79*E79</f>
        <v>9592.33017192414</v>
      </c>
      <c r="J79" s="2"/>
      <c r="K79" s="1"/>
    </row>
    <row r="80" spans="3:11" ht="12.75">
      <c r="C80" s="8" t="s">
        <v>49</v>
      </c>
      <c r="D80" s="8" t="s">
        <v>47</v>
      </c>
      <c r="E80" s="16">
        <v>2415.7653765279656</v>
      </c>
      <c r="F80" s="14">
        <f>'Regular Rate BD08'!F86</f>
        <v>1.853</v>
      </c>
      <c r="G80" s="15">
        <f>E80*F80</f>
        <v>4476.4132427063205</v>
      </c>
      <c r="H80" s="14">
        <v>1.853</v>
      </c>
      <c r="I80" s="12">
        <f>H80*E80</f>
        <v>4476.4132427063205</v>
      </c>
      <c r="J80" s="2"/>
      <c r="K80" s="1"/>
    </row>
    <row r="81" spans="3:11" ht="12.75">
      <c r="C81" s="8" t="s">
        <v>51</v>
      </c>
      <c r="D81" s="8" t="s">
        <v>47</v>
      </c>
      <c r="E81" s="16">
        <v>70011.35554641159</v>
      </c>
      <c r="F81" s="14">
        <f>'Regular Rate BD08'!F87</f>
        <v>1.853</v>
      </c>
      <c r="G81" s="15">
        <f>E81*F81</f>
        <v>129731.04182750068</v>
      </c>
      <c r="H81" s="14">
        <f>'Nonprofit BD08'!H81</f>
        <v>2.01</v>
      </c>
      <c r="I81" s="12">
        <f>H81*E81</f>
        <v>140722.8246482873</v>
      </c>
      <c r="J81" s="2"/>
      <c r="K81" s="1"/>
    </row>
    <row r="82" spans="3:11" ht="12.75">
      <c r="C82" s="8" t="s">
        <v>52</v>
      </c>
      <c r="D82" s="8" t="s">
        <v>47</v>
      </c>
      <c r="E82" s="16">
        <v>3.040818624480493</v>
      </c>
      <c r="F82" s="14">
        <f>'Regular Rate BD08'!F88</f>
        <v>1.1320000000000001</v>
      </c>
      <c r="G82" s="15">
        <f>E82*F82</f>
        <v>3.4422066829119182</v>
      </c>
      <c r="H82" s="14">
        <f>'Nonprofit BD08'!H82</f>
        <v>1.4</v>
      </c>
      <c r="I82" s="12">
        <f>H82*E82</f>
        <v>4.25714607427269</v>
      </c>
      <c r="J82" s="2"/>
      <c r="K82" s="1"/>
    </row>
    <row r="83" spans="3:11" ht="12.75">
      <c r="C83" s="8" t="s">
        <v>53</v>
      </c>
      <c r="D83" s="8" t="s">
        <v>47</v>
      </c>
      <c r="E83" s="16">
        <v>1386.4707662030091</v>
      </c>
      <c r="F83" s="14">
        <f>'Regular Rate BD08'!F89</f>
        <v>0.618</v>
      </c>
      <c r="G83" s="15">
        <f>E83*F83</f>
        <v>856.8389335134597</v>
      </c>
      <c r="H83" s="14">
        <f>'Nonprofit BD08'!H83</f>
        <v>0.8</v>
      </c>
      <c r="I83" s="12">
        <f>H83*E83</f>
        <v>1109.1766129624073</v>
      </c>
      <c r="J83" s="2"/>
      <c r="K83" s="1"/>
    </row>
    <row r="84" spans="2:11" ht="12.75">
      <c r="B84" s="8" t="s">
        <v>54</v>
      </c>
      <c r="D84" s="8"/>
      <c r="E84" s="16"/>
      <c r="F84" s="14"/>
      <c r="G84" s="11"/>
      <c r="H84" s="14"/>
      <c r="J84" s="2"/>
      <c r="K84" s="1"/>
    </row>
    <row r="85" spans="3:11" ht="12.75">
      <c r="C85" s="8" t="s">
        <v>48</v>
      </c>
      <c r="D85" s="8" t="s">
        <v>47</v>
      </c>
      <c r="E85" s="16">
        <v>8699.65775817844</v>
      </c>
      <c r="F85" s="14">
        <f>'Regular Rate BD08'!F91</f>
        <v>1.956</v>
      </c>
      <c r="G85" s="15">
        <f aca="true" t="shared" si="2" ref="G85:G90">E85*F85</f>
        <v>17016.53057499703</v>
      </c>
      <c r="H85" s="14">
        <v>1.956</v>
      </c>
      <c r="I85" s="12">
        <f aca="true" t="shared" si="3" ref="I85:I90">H85*E85</f>
        <v>17016.53057499703</v>
      </c>
      <c r="J85" s="2"/>
      <c r="K85" s="1"/>
    </row>
    <row r="86" spans="3:11" ht="12.75">
      <c r="C86" s="8" t="s">
        <v>49</v>
      </c>
      <c r="D86" s="8" t="s">
        <v>47</v>
      </c>
      <c r="E86" s="16">
        <v>1600.2370249506516</v>
      </c>
      <c r="F86" s="14">
        <f>'Regular Rate BD08'!F92</f>
        <v>1.956</v>
      </c>
      <c r="G86" s="15">
        <f t="shared" si="2"/>
        <v>3130.0636208034744</v>
      </c>
      <c r="H86" s="14">
        <v>1.956</v>
      </c>
      <c r="I86" s="12">
        <f t="shared" si="3"/>
        <v>3130.0636208034744</v>
      </c>
      <c r="J86" s="2"/>
      <c r="K86" s="1"/>
    </row>
    <row r="87" spans="3:11" ht="12.75">
      <c r="C87" s="8" t="s">
        <v>51</v>
      </c>
      <c r="D87" s="8" t="s">
        <v>47</v>
      </c>
      <c r="E87" s="16">
        <v>162590.71362594768</v>
      </c>
      <c r="F87" s="14">
        <f>'Regular Rate BD08'!F93</f>
        <v>1.956</v>
      </c>
      <c r="G87" s="15">
        <f t="shared" si="2"/>
        <v>318027.43585235364</v>
      </c>
      <c r="H87" s="14">
        <f>'Nonprofit BD08'!H87</f>
        <v>2.1</v>
      </c>
      <c r="I87" s="12">
        <f t="shared" si="3"/>
        <v>341440.49861449015</v>
      </c>
      <c r="J87" s="2"/>
      <c r="K87" s="1"/>
    </row>
    <row r="88" spans="3:11" ht="12.75">
      <c r="C88" s="8" t="s">
        <v>52</v>
      </c>
      <c r="D88" s="8" t="s">
        <v>47</v>
      </c>
      <c r="E88" s="16">
        <v>0</v>
      </c>
      <c r="F88" s="14">
        <f>'Regular Rate BD08'!F94</f>
        <v>1.236</v>
      </c>
      <c r="G88" s="15">
        <f t="shared" si="2"/>
        <v>0</v>
      </c>
      <c r="H88" s="14">
        <f>'Nonprofit BD08'!H88</f>
        <v>1.5</v>
      </c>
      <c r="I88" s="12">
        <f t="shared" si="3"/>
        <v>0</v>
      </c>
      <c r="J88" s="2"/>
      <c r="K88" s="1"/>
    </row>
    <row r="89" spans="3:11" ht="12.75">
      <c r="C89" s="8" t="s">
        <v>53</v>
      </c>
      <c r="D89" s="8" t="s">
        <v>47</v>
      </c>
      <c r="E89" s="16">
        <v>698.1452124260659</v>
      </c>
      <c r="F89" s="14">
        <f>'Regular Rate BD08'!F95</f>
        <v>1.03</v>
      </c>
      <c r="G89" s="15">
        <f t="shared" si="2"/>
        <v>719.0895687988478</v>
      </c>
      <c r="H89" s="14">
        <f>'Nonprofit BD08'!H89</f>
        <v>1.2</v>
      </c>
      <c r="I89" s="12">
        <f t="shared" si="3"/>
        <v>837.7742549112791</v>
      </c>
      <c r="J89" s="2"/>
      <c r="K89" s="1"/>
    </row>
    <row r="90" spans="3:11" ht="12.75">
      <c r="C90" s="8" t="s">
        <v>55</v>
      </c>
      <c r="D90" s="8" t="s">
        <v>47</v>
      </c>
      <c r="E90" s="16">
        <v>2331.9480867841417</v>
      </c>
      <c r="F90" s="14">
        <f>'Regular Rate BD08'!F96</f>
        <v>0.618</v>
      </c>
      <c r="G90" s="15">
        <f t="shared" si="2"/>
        <v>1441.1439176325996</v>
      </c>
      <c r="H90" s="14">
        <f>'Nonprofit BD08'!H90</f>
        <v>0.8</v>
      </c>
      <c r="I90" s="12">
        <f t="shared" si="3"/>
        <v>1865.5584694273134</v>
      </c>
      <c r="J90" s="2"/>
      <c r="K90" s="1"/>
    </row>
    <row r="91" spans="2:11" ht="12.75">
      <c r="B91" s="8" t="s">
        <v>56</v>
      </c>
      <c r="D91" s="8"/>
      <c r="E91" s="16"/>
      <c r="F91" s="14"/>
      <c r="H91" s="14"/>
      <c r="J91" s="2"/>
      <c r="K91" s="1"/>
    </row>
    <row r="92" spans="3:11" ht="12.75">
      <c r="C92" s="8" t="s">
        <v>48</v>
      </c>
      <c r="D92" s="8" t="s">
        <v>47</v>
      </c>
      <c r="E92" s="16">
        <v>15829.441086650275</v>
      </c>
      <c r="F92" s="14">
        <f>'Regular Rate BD08'!F98</f>
        <v>2.306</v>
      </c>
      <c r="G92" s="15">
        <f aca="true" t="shared" si="4" ref="G92:G98">E92*F92</f>
        <v>36502.69114581554</v>
      </c>
      <c r="H92" s="14">
        <v>2.306</v>
      </c>
      <c r="I92" s="12">
        <f aca="true" t="shared" si="5" ref="I92:I98">H92*E92</f>
        <v>36502.69114581554</v>
      </c>
      <c r="J92" s="2"/>
      <c r="K92" s="1"/>
    </row>
    <row r="93" spans="3:11" ht="12.75">
      <c r="C93" s="8" t="s">
        <v>49</v>
      </c>
      <c r="D93" s="8" t="s">
        <v>47</v>
      </c>
      <c r="E93" s="16">
        <v>212.10965789846523</v>
      </c>
      <c r="F93" s="14">
        <f>'Regular Rate BD08'!F99</f>
        <v>2.306</v>
      </c>
      <c r="G93" s="15">
        <f t="shared" si="4"/>
        <v>489.1248711138608</v>
      </c>
      <c r="H93" s="14">
        <v>2.306</v>
      </c>
      <c r="I93" s="12">
        <f t="shared" si="5"/>
        <v>489.1248711138608</v>
      </c>
      <c r="J93" s="2"/>
      <c r="K93" s="1"/>
    </row>
    <row r="94" spans="3:11" ht="12.75">
      <c r="C94" s="8" t="s">
        <v>51</v>
      </c>
      <c r="D94" s="8" t="s">
        <v>47</v>
      </c>
      <c r="E94" s="16">
        <v>45271.61911498837</v>
      </c>
      <c r="F94" s="14">
        <f>'Regular Rate BD08'!F100</f>
        <v>2.306</v>
      </c>
      <c r="G94" s="15">
        <f t="shared" si="4"/>
        <v>104396.35367916318</v>
      </c>
      <c r="H94" s="14">
        <f>'Nonprofit BD08'!H94</f>
        <v>2.7</v>
      </c>
      <c r="I94" s="12">
        <f t="shared" si="5"/>
        <v>122233.3716104686</v>
      </c>
      <c r="J94" s="2"/>
      <c r="K94" s="1"/>
    </row>
    <row r="95" spans="3:11" ht="12.75">
      <c r="C95" s="8" t="s">
        <v>52</v>
      </c>
      <c r="D95" s="8" t="s">
        <v>47</v>
      </c>
      <c r="E95" s="16">
        <v>0</v>
      </c>
      <c r="F95" s="14">
        <f>'Regular Rate BD08'!F101</f>
        <v>1.544</v>
      </c>
      <c r="G95" s="15">
        <f t="shared" si="4"/>
        <v>0</v>
      </c>
      <c r="H95" s="14">
        <f>'Nonprofit BD08'!H95</f>
        <v>2</v>
      </c>
      <c r="I95" s="12">
        <f t="shared" si="5"/>
        <v>0</v>
      </c>
      <c r="J95" s="2"/>
      <c r="K95" s="1"/>
    </row>
    <row r="96" spans="3:11" ht="12.75">
      <c r="C96" s="8" t="s">
        <v>53</v>
      </c>
      <c r="D96" s="8" t="s">
        <v>47</v>
      </c>
      <c r="E96" s="16">
        <v>263.78196512025767</v>
      </c>
      <c r="F96" s="14">
        <f>'Regular Rate BD08'!F102</f>
        <v>1.338</v>
      </c>
      <c r="G96" s="15">
        <f t="shared" si="4"/>
        <v>352.94026933090475</v>
      </c>
      <c r="H96" s="14">
        <f>'Nonprofit BD08'!H96</f>
        <v>1.7</v>
      </c>
      <c r="I96" s="12">
        <f t="shared" si="5"/>
        <v>448.429340704438</v>
      </c>
      <c r="J96" s="2"/>
      <c r="K96" s="1"/>
    </row>
    <row r="97" spans="3:11" ht="12.75">
      <c r="C97" s="8" t="s">
        <v>55</v>
      </c>
      <c r="D97" s="8" t="s">
        <v>47</v>
      </c>
      <c r="E97" s="16">
        <v>3188.77038340551</v>
      </c>
      <c r="F97" s="14">
        <f>'Regular Rate BD08'!F103</f>
        <v>0.927</v>
      </c>
      <c r="G97" s="15">
        <f t="shared" si="4"/>
        <v>2955.990145416908</v>
      </c>
      <c r="H97" s="14">
        <f>'Nonprofit BD08'!H97</f>
        <v>1.3</v>
      </c>
      <c r="I97" s="12">
        <f t="shared" si="5"/>
        <v>4145.4014984271635</v>
      </c>
      <c r="J97" s="2"/>
      <c r="K97" s="1"/>
    </row>
    <row r="98" spans="3:11" ht="12.75">
      <c r="C98" s="8" t="s">
        <v>57</v>
      </c>
      <c r="D98" s="8" t="s">
        <v>47</v>
      </c>
      <c r="E98" s="16">
        <v>81.42387853573052</v>
      </c>
      <c r="F98" s="14">
        <f>'Regular Rate BD08'!F104</f>
        <v>0.721</v>
      </c>
      <c r="G98" s="15">
        <f t="shared" si="4"/>
        <v>58.7066164242617</v>
      </c>
      <c r="H98" s="14">
        <f>'Nonprofit BD08'!H98</f>
        <v>0.9</v>
      </c>
      <c r="I98" s="12">
        <f t="shared" si="5"/>
        <v>73.28149068215747</v>
      </c>
      <c r="J98" s="2"/>
      <c r="K98" s="1"/>
    </row>
    <row r="99" spans="1:11" ht="12.75">
      <c r="A99" s="8" t="s">
        <v>58</v>
      </c>
      <c r="D99" s="8"/>
      <c r="E99" s="16"/>
      <c r="F99" s="14"/>
      <c r="H99" s="14"/>
      <c r="J99" s="2"/>
      <c r="K99" s="1"/>
    </row>
    <row r="100" spans="2:11" ht="12.75">
      <c r="B100" s="8" t="s">
        <v>60</v>
      </c>
      <c r="D100" s="8"/>
      <c r="E100" s="16"/>
      <c r="F100" s="14"/>
      <c r="H100" s="14"/>
      <c r="J100" s="2"/>
      <c r="K100" s="1"/>
    </row>
    <row r="101" spans="3:11" ht="12.75">
      <c r="C101" s="8" t="s">
        <v>48</v>
      </c>
      <c r="D101" s="8" t="s">
        <v>59</v>
      </c>
      <c r="E101" s="16">
        <v>14.792350108810918</v>
      </c>
      <c r="F101" s="14">
        <f>'Regular Rate BD08'!F107</f>
        <v>19.161</v>
      </c>
      <c r="G101" s="15">
        <f>E101*F101</f>
        <v>283.43622043492604</v>
      </c>
      <c r="H101" s="14">
        <v>19.161</v>
      </c>
      <c r="I101" s="12">
        <f>H101*E101</f>
        <v>283.43622043492604</v>
      </c>
      <c r="J101" s="2"/>
      <c r="K101" s="1"/>
    </row>
    <row r="102" spans="3:11" ht="12.75">
      <c r="C102" s="8" t="s">
        <v>49</v>
      </c>
      <c r="D102" s="8" t="s">
        <v>59</v>
      </c>
      <c r="E102" s="16">
        <v>1027.165139803537</v>
      </c>
      <c r="F102" s="14">
        <f>'Regular Rate BD08'!F108</f>
        <v>19.161</v>
      </c>
      <c r="G102" s="15">
        <f>E102*F102</f>
        <v>19681.511243775574</v>
      </c>
      <c r="H102" s="14">
        <v>19.161</v>
      </c>
      <c r="I102" s="12">
        <f>H102*E102</f>
        <v>19681.511243775574</v>
      </c>
      <c r="J102" s="2"/>
      <c r="K102" s="1"/>
    </row>
    <row r="103" spans="3:11" ht="12.75">
      <c r="C103" s="8" t="s">
        <v>51</v>
      </c>
      <c r="D103" s="8" t="s">
        <v>59</v>
      </c>
      <c r="E103" s="16">
        <v>12644.46982469581</v>
      </c>
      <c r="F103" s="14">
        <f>'Regular Rate BD08'!F109</f>
        <v>19.161</v>
      </c>
      <c r="G103" s="15">
        <f>E103*F103</f>
        <v>242280.68631099645</v>
      </c>
      <c r="H103" s="14">
        <f>'Nonprofit BD08'!H103</f>
        <v>28</v>
      </c>
      <c r="I103" s="12">
        <f>H103*E103</f>
        <v>354045.1550914827</v>
      </c>
      <c r="J103" s="2"/>
      <c r="K103" s="1"/>
    </row>
    <row r="104" spans="3:11" ht="12.75">
      <c r="C104" s="8" t="s">
        <v>52</v>
      </c>
      <c r="D104" s="8" t="s">
        <v>59</v>
      </c>
      <c r="E104" s="16">
        <v>0</v>
      </c>
      <c r="F104" s="14">
        <f>'Regular Rate BD08'!F110</f>
        <v>13.385</v>
      </c>
      <c r="G104" s="15">
        <f>E104*F104</f>
        <v>0</v>
      </c>
      <c r="H104" s="14">
        <f>'Nonprofit BD08'!H104</f>
        <v>22.4</v>
      </c>
      <c r="I104" s="12">
        <f>H104*E104</f>
        <v>0</v>
      </c>
      <c r="J104" s="2"/>
      <c r="K104" s="1"/>
    </row>
    <row r="105" spans="3:11" ht="12.75">
      <c r="C105" s="8" t="s">
        <v>53</v>
      </c>
      <c r="D105" s="8" t="s">
        <v>59</v>
      </c>
      <c r="E105" s="16">
        <v>2305.433199291584</v>
      </c>
      <c r="F105" s="14">
        <f>'Regular Rate BD08'!F111</f>
        <v>9.163</v>
      </c>
      <c r="G105" s="15">
        <f>E105*F105</f>
        <v>21124.684405108786</v>
      </c>
      <c r="H105" s="14">
        <f>'Nonprofit BD08'!H105</f>
        <v>12.4</v>
      </c>
      <c r="I105" s="12">
        <f>H105*E105</f>
        <v>28587.371671215642</v>
      </c>
      <c r="J105" s="2"/>
      <c r="K105" s="1"/>
    </row>
    <row r="106" spans="2:11" ht="12.75">
      <c r="B106" s="8" t="s">
        <v>61</v>
      </c>
      <c r="D106" s="8"/>
      <c r="E106" s="16"/>
      <c r="F106" s="14"/>
      <c r="H106" s="14"/>
      <c r="J106" s="2"/>
      <c r="K106" s="1"/>
    </row>
    <row r="107" spans="3:11" ht="12.75">
      <c r="C107" s="8" t="s">
        <v>48</v>
      </c>
      <c r="D107" s="8" t="s">
        <v>59</v>
      </c>
      <c r="E107" s="16">
        <v>3521.348239381917</v>
      </c>
      <c r="F107" s="14">
        <f>'Regular Rate BD08'!F113</f>
        <v>23.66</v>
      </c>
      <c r="G107" s="15">
        <f aca="true" t="shared" si="6" ref="G107:G112">E107*F107</f>
        <v>83315.09934377616</v>
      </c>
      <c r="H107" s="14">
        <v>23.66</v>
      </c>
      <c r="I107" s="12">
        <f aca="true" t="shared" si="7" ref="I107:I112">H107*E107</f>
        <v>83315.09934377616</v>
      </c>
      <c r="J107" s="2"/>
      <c r="K107" s="1"/>
    </row>
    <row r="108" spans="3:11" ht="12.75">
      <c r="C108" s="8" t="s">
        <v>49</v>
      </c>
      <c r="D108" s="8" t="s">
        <v>59</v>
      </c>
      <c r="E108" s="16">
        <v>11.893762766725361</v>
      </c>
      <c r="F108" s="14">
        <f>'Regular Rate BD08'!F114</f>
        <v>23.66</v>
      </c>
      <c r="G108" s="15">
        <f t="shared" si="6"/>
        <v>281.406427060722</v>
      </c>
      <c r="H108" s="14">
        <v>23.66</v>
      </c>
      <c r="I108" s="12">
        <f t="shared" si="7"/>
        <v>281.406427060722</v>
      </c>
      <c r="J108" s="2"/>
      <c r="K108" s="1"/>
    </row>
    <row r="109" spans="3:11" ht="12.75">
      <c r="C109" s="8" t="s">
        <v>51</v>
      </c>
      <c r="D109" s="8" t="s">
        <v>59</v>
      </c>
      <c r="E109" s="16">
        <v>8704.239758637581</v>
      </c>
      <c r="F109" s="14">
        <f>'Regular Rate BD08'!F115</f>
        <v>23.66</v>
      </c>
      <c r="G109" s="15">
        <f t="shared" si="6"/>
        <v>205942.31268936518</v>
      </c>
      <c r="H109" s="14">
        <f>'Nonprofit BD08'!H109</f>
        <v>33.36</v>
      </c>
      <c r="I109" s="12">
        <f t="shared" si="7"/>
        <v>290373.4383481497</v>
      </c>
      <c r="J109" s="2"/>
      <c r="K109" s="1"/>
    </row>
    <row r="110" spans="3:11" ht="12.75">
      <c r="C110" s="8" t="s">
        <v>52</v>
      </c>
      <c r="D110" s="8" t="s">
        <v>59</v>
      </c>
      <c r="E110" s="16">
        <v>0</v>
      </c>
      <c r="F110" s="14">
        <f>'Regular Rate BD08'!F116</f>
        <v>14.826</v>
      </c>
      <c r="G110" s="15">
        <f t="shared" si="6"/>
        <v>0</v>
      </c>
      <c r="H110" s="14">
        <f>'Nonprofit BD08'!H110</f>
        <v>23.8</v>
      </c>
      <c r="I110" s="12">
        <f t="shared" si="7"/>
        <v>0</v>
      </c>
      <c r="J110" s="2"/>
      <c r="K110" s="1"/>
    </row>
    <row r="111" spans="3:11" ht="12.75">
      <c r="C111" s="8" t="s">
        <v>53</v>
      </c>
      <c r="D111" s="8" t="s">
        <v>59</v>
      </c>
      <c r="E111" s="16">
        <v>1713.2158067783644</v>
      </c>
      <c r="F111" s="14">
        <f>'Regular Rate BD08'!F117</f>
        <v>12.561</v>
      </c>
      <c r="G111" s="15">
        <f t="shared" si="6"/>
        <v>21519.703748943033</v>
      </c>
      <c r="H111" s="14">
        <f>'Nonprofit BD08'!H111</f>
        <v>20.7</v>
      </c>
      <c r="I111" s="12">
        <f t="shared" si="7"/>
        <v>35463.56720031214</v>
      </c>
      <c r="J111" s="2"/>
      <c r="K111" s="1"/>
    </row>
    <row r="112" spans="3:11" ht="12.75">
      <c r="C112" s="8" t="s">
        <v>55</v>
      </c>
      <c r="D112" s="8" t="s">
        <v>59</v>
      </c>
      <c r="E112" s="16">
        <v>8175.7254538387215</v>
      </c>
      <c r="F112" s="14">
        <f>'Regular Rate BD08'!F118</f>
        <v>6.898</v>
      </c>
      <c r="G112" s="15">
        <f t="shared" si="6"/>
        <v>56396.1541805795</v>
      </c>
      <c r="H112" s="14">
        <f>'Nonprofit BD08'!H112</f>
        <v>11.1</v>
      </c>
      <c r="I112" s="12">
        <f t="shared" si="7"/>
        <v>90750.55253760981</v>
      </c>
      <c r="J112" s="2"/>
      <c r="K112" s="1"/>
    </row>
    <row r="113" spans="2:11" ht="12.75">
      <c r="B113" s="8" t="s">
        <v>62</v>
      </c>
      <c r="D113" s="8"/>
      <c r="E113" s="16"/>
      <c r="F113" s="14"/>
      <c r="H113" s="14"/>
      <c r="J113" s="2"/>
      <c r="K113" s="1"/>
    </row>
    <row r="114" spans="3:11" ht="12.75">
      <c r="C114" s="8" t="s">
        <v>48</v>
      </c>
      <c r="D114" s="8" t="s">
        <v>59</v>
      </c>
      <c r="E114" s="16">
        <v>12.815043828645138</v>
      </c>
      <c r="F114" s="14">
        <f>'Regular Rate BD08'!F120</f>
        <v>27.748</v>
      </c>
      <c r="G114" s="15">
        <f aca="true" t="shared" si="8" ref="G114:G120">E114*F114</f>
        <v>355.59183615724527</v>
      </c>
      <c r="H114" s="14">
        <v>27.748</v>
      </c>
      <c r="I114" s="12">
        <f aca="true" t="shared" si="9" ref="I114:I120">H114*E114</f>
        <v>355.59183615724527</v>
      </c>
      <c r="J114" s="2"/>
      <c r="K114" s="1"/>
    </row>
    <row r="115" spans="3:11" ht="12.75">
      <c r="C115" s="8" t="s">
        <v>49</v>
      </c>
      <c r="D115" s="8" t="s">
        <v>59</v>
      </c>
      <c r="E115" s="16">
        <v>0</v>
      </c>
      <c r="F115" s="14">
        <f>'Regular Rate BD08'!F121</f>
        <v>27.748</v>
      </c>
      <c r="G115" s="15">
        <f t="shared" si="8"/>
        <v>0</v>
      </c>
      <c r="H115" s="14">
        <v>27.748</v>
      </c>
      <c r="I115" s="12">
        <f t="shared" si="9"/>
        <v>0</v>
      </c>
      <c r="J115" s="2"/>
      <c r="K115" s="1"/>
    </row>
    <row r="116" spans="3:11" ht="12.75">
      <c r="C116" s="8" t="s">
        <v>51</v>
      </c>
      <c r="D116" s="8" t="s">
        <v>59</v>
      </c>
      <c r="E116" s="16">
        <v>89.71837573060674</v>
      </c>
      <c r="F116" s="14">
        <f>'Regular Rate BD08'!F122</f>
        <v>27.748</v>
      </c>
      <c r="G116" s="15">
        <f t="shared" si="8"/>
        <v>2489.505489772876</v>
      </c>
      <c r="H116" s="14">
        <f>'Nonprofit BD08'!H116</f>
        <v>42.13</v>
      </c>
      <c r="I116" s="12">
        <f t="shared" si="9"/>
        <v>3779.8351695304623</v>
      </c>
      <c r="J116" s="2"/>
      <c r="K116" s="1"/>
    </row>
    <row r="117" spans="3:11" ht="12.75">
      <c r="C117" s="8" t="s">
        <v>52</v>
      </c>
      <c r="D117" s="8" t="s">
        <v>59</v>
      </c>
      <c r="E117" s="16">
        <v>0</v>
      </c>
      <c r="F117" s="14">
        <f>'Regular Rate BD08'!F123</f>
        <v>18.018</v>
      </c>
      <c r="G117" s="15">
        <f t="shared" si="8"/>
        <v>0</v>
      </c>
      <c r="H117" s="14">
        <f>'Nonprofit BD08'!H117</f>
        <v>31.9</v>
      </c>
      <c r="I117" s="12">
        <f t="shared" si="9"/>
        <v>0</v>
      </c>
      <c r="J117" s="2"/>
      <c r="K117" s="1"/>
    </row>
    <row r="118" spans="3:11" ht="12.75">
      <c r="C118" s="8" t="s">
        <v>53</v>
      </c>
      <c r="D118" s="8" t="s">
        <v>59</v>
      </c>
      <c r="E118" s="16">
        <v>10.839060137112906</v>
      </c>
      <c r="F118" s="14">
        <f>'Regular Rate BD08'!F124</f>
        <v>15.959</v>
      </c>
      <c r="G118" s="15">
        <f t="shared" si="8"/>
        <v>172.98056072818486</v>
      </c>
      <c r="H118" s="14">
        <f>'Nonprofit BD08'!H118</f>
        <v>30.2</v>
      </c>
      <c r="I118" s="12">
        <f t="shared" si="9"/>
        <v>327.33961614080977</v>
      </c>
      <c r="J118" s="2"/>
      <c r="K118" s="1"/>
    </row>
    <row r="119" spans="3:11" ht="12.75">
      <c r="C119" s="8" t="s">
        <v>55</v>
      </c>
      <c r="D119" s="8" t="s">
        <v>59</v>
      </c>
      <c r="E119" s="16">
        <v>70.98516990206346</v>
      </c>
      <c r="F119" s="14">
        <f>'Regular Rate BD08'!F125</f>
        <v>8.237</v>
      </c>
      <c r="G119" s="15">
        <f t="shared" si="8"/>
        <v>584.7048444832967</v>
      </c>
      <c r="H119" s="14">
        <f>'Nonprofit BD08'!H119</f>
        <v>20.4</v>
      </c>
      <c r="I119" s="12">
        <f t="shared" si="9"/>
        <v>1448.0974660020945</v>
      </c>
      <c r="J119" s="2"/>
      <c r="K119" s="1"/>
    </row>
    <row r="120" spans="3:11" ht="12.75">
      <c r="C120" s="8" t="s">
        <v>57</v>
      </c>
      <c r="D120" s="8" t="s">
        <v>59</v>
      </c>
      <c r="E120" s="16">
        <v>4.005713449390801</v>
      </c>
      <c r="F120" s="14">
        <f>'Regular Rate BD08'!F126</f>
        <v>1.236</v>
      </c>
      <c r="G120" s="15">
        <f t="shared" si="8"/>
        <v>4.95106182344703</v>
      </c>
      <c r="H120" s="14">
        <f>'Nonprofit BD08'!H120</f>
        <v>1.6</v>
      </c>
      <c r="I120" s="12">
        <f t="shared" si="9"/>
        <v>6.409141519025282</v>
      </c>
      <c r="J120" s="2"/>
      <c r="K120" s="1"/>
    </row>
    <row r="121" spans="3:9" ht="12.75">
      <c r="C121" s="8" t="s">
        <v>79</v>
      </c>
      <c r="E121" s="16">
        <f>SUM(E6:E15,E17:E20)</f>
        <v>31139890</v>
      </c>
      <c r="F121" s="14"/>
      <c r="G121" s="15">
        <f>SUM(G6:G15,G17:G20)</f>
        <v>6505357.939623105</v>
      </c>
      <c r="H121" s="14"/>
      <c r="I121" s="15">
        <f>SUM(I6:I15,I17:I20)</f>
        <v>6247508.167367116</v>
      </c>
    </row>
    <row r="122" spans="3:9" ht="12.75">
      <c r="C122" s="8" t="s">
        <v>80</v>
      </c>
      <c r="E122" s="16">
        <f>SUM(E23:E27,E29:E33,E35:E39,E41:E45,E47:E50)</f>
        <v>55361781.00000001</v>
      </c>
      <c r="F122" s="14"/>
      <c r="G122" s="15">
        <f>SUM(G23:G27,G29:G33,G35:G39,G41:G45,G47:G51)</f>
        <v>8231331.999587797</v>
      </c>
      <c r="H122" s="14"/>
      <c r="I122" s="15">
        <f>SUM(I23:I27,I29:I33,I35:I39,I41:I45,I47:I51)</f>
        <v>8286143.416803524</v>
      </c>
    </row>
    <row r="123" spans="3:9" ht="12.75">
      <c r="C123" s="8" t="s">
        <v>81</v>
      </c>
      <c r="E123" s="16">
        <f>SUM(E54:E58,E60:E64,E66:E69,E71:E73)</f>
        <v>12100030.805893557</v>
      </c>
      <c r="F123" s="14"/>
      <c r="G123" s="15">
        <f>SUM(G54:G58,G60:G64,G66:G69,G71:G73)</f>
        <v>736196.1000507878</v>
      </c>
      <c r="H123" s="14"/>
      <c r="I123" s="15">
        <f>SUM(I54:I58,I60:I64,I66:I69,I71:I73)</f>
        <v>1996491.7799957287</v>
      </c>
    </row>
    <row r="124" spans="3:9" ht="12.75">
      <c r="C124" s="8" t="s">
        <v>82</v>
      </c>
      <c r="E124" s="16">
        <f>SUM(E76:E77,E79:E83,E85:E90,E92:E98)</f>
        <v>381060.14667337347</v>
      </c>
      <c r="F124" s="14"/>
      <c r="G124" s="15">
        <f>SUM(G76:G77,G79:G83,G85:G90,G92:G98)</f>
        <v>656231.3122474292</v>
      </c>
      <c r="H124" s="14"/>
      <c r="I124" s="15">
        <f>SUM(I76:I77,I79:I83,I85:I90,I92:I98)</f>
        <v>709833.3147058454</v>
      </c>
    </row>
    <row r="125" spans="3:9" ht="12.75">
      <c r="C125" s="8" t="s">
        <v>83</v>
      </c>
      <c r="E125" s="16">
        <f>SUM(E101:E105,E107:E112,E114:E120)</f>
        <v>38306.646898350875</v>
      </c>
      <c r="F125" s="14"/>
      <c r="G125" s="15">
        <f>SUM(G101:G105,G107:G112,G114:G120)</f>
        <v>654432.7283630053</v>
      </c>
      <c r="H125" s="14"/>
      <c r="I125" s="15">
        <f>SUM(I101:I105,I107:I112,I114:I120)</f>
        <v>908698.811313167</v>
      </c>
    </row>
    <row r="126" spans="3:9" ht="12.75">
      <c r="C126" s="8" t="s">
        <v>63</v>
      </c>
      <c r="E126" s="16"/>
      <c r="F126" s="14"/>
      <c r="G126" s="13">
        <f>SUM(G121:G125)</f>
        <v>16783550.079872124</v>
      </c>
      <c r="H126" s="14"/>
      <c r="I126" s="13">
        <f>SUM(I121:I125)</f>
        <v>18148675.49018538</v>
      </c>
    </row>
    <row r="127" spans="3:9" ht="12.75">
      <c r="C127" s="8" t="s">
        <v>64</v>
      </c>
      <c r="E127" s="16">
        <v>256084.65529197082</v>
      </c>
      <c r="F127" s="14">
        <f>'Regular Rate BD08'!F133</f>
        <v>0.159</v>
      </c>
      <c r="G127" s="15">
        <f>E127*F127</f>
        <v>40717.460191423364</v>
      </c>
      <c r="H127" s="14">
        <f>'Nonprofit BD08'!H127</f>
        <v>0.165</v>
      </c>
      <c r="I127" s="12">
        <f>H127*E127</f>
        <v>42253.96812317519</v>
      </c>
    </row>
    <row r="128" spans="3:9" ht="12.75">
      <c r="C128" s="8" t="s">
        <v>65</v>
      </c>
      <c r="E128" s="16">
        <v>526</v>
      </c>
      <c r="F128" s="14">
        <f>'Regular Rate BD08'!F134</f>
        <v>0.015</v>
      </c>
      <c r="G128" s="15">
        <f>E128*F128</f>
        <v>7.89</v>
      </c>
      <c r="H128" s="14">
        <f>'Nonprofit BD08'!H128</f>
        <v>0.015</v>
      </c>
      <c r="I128" s="12">
        <f>H128*E128</f>
        <v>7.89</v>
      </c>
    </row>
    <row r="129" spans="3:9" ht="12.75">
      <c r="C129" s="8" t="s">
        <v>84</v>
      </c>
      <c r="G129" s="15">
        <f>0.05*SUM(G17:G20,G23:G27,G29:G33,G35:G39,G41:G45,G47:G51,G54:G58,G60:G64,G66:G69,G71:G73,G76:G77,G81:G83,G87:G90,G94:G98,G103:G105,G109:G112,G116:G120)</f>
        <v>773238.3492360021</v>
      </c>
      <c r="I129" s="15">
        <f>0.05*SUM(I17:I20,I23:I27,I29:I33,I35:I39,I41:I45,I47:I51,I54:I58,I60:I64,I66:I69,I71:I73,I76:I77,I81:I83,I87:I90,I94:I98,I103:I105,I109:I112,I116:I120)</f>
        <v>841988.4287177066</v>
      </c>
    </row>
    <row r="130" spans="3:9" ht="12.75">
      <c r="C130" s="8" t="s">
        <v>66</v>
      </c>
      <c r="E130" s="16"/>
      <c r="F130" s="14"/>
      <c r="G130" s="13">
        <f>G126+G127+G128-G129</f>
        <v>16051037.080827547</v>
      </c>
      <c r="H130" s="14"/>
      <c r="I130" s="13">
        <f>I126+I127+I128-I129</f>
        <v>17348948.91959085</v>
      </c>
    </row>
    <row r="131" spans="3:9" ht="12.75">
      <c r="C131" s="24" t="s">
        <v>116</v>
      </c>
      <c r="E131" s="16"/>
      <c r="G131" s="27">
        <f>G130/E122</f>
        <v>0.2899299262216211</v>
      </c>
      <c r="H131" s="31"/>
      <c r="I131" s="27">
        <f>I130/E122</f>
        <v>0.3133741112770712</v>
      </c>
    </row>
    <row r="132" spans="5:8" ht="12.75">
      <c r="E132" s="16"/>
      <c r="F132" s="14"/>
      <c r="H132" s="14"/>
    </row>
    <row r="133" spans="5:6" ht="12.75">
      <c r="E133" s="80"/>
      <c r="F133" s="14"/>
    </row>
    <row r="134" spans="5:6" ht="12.75">
      <c r="E134" s="81"/>
      <c r="F134" s="14"/>
    </row>
    <row r="135" spans="5:6" ht="12.75">
      <c r="E135" s="16"/>
      <c r="F135" s="14"/>
    </row>
    <row r="136" spans="5:6" ht="12.75">
      <c r="E136" s="16"/>
      <c r="F136" s="14"/>
    </row>
    <row r="137" spans="5:6" ht="12.75">
      <c r="E137" s="16"/>
      <c r="F137" s="14"/>
    </row>
    <row r="138" spans="5:6" ht="12.75">
      <c r="E138" s="16"/>
      <c r="F138" s="14"/>
    </row>
    <row r="139" spans="5:6" ht="12.75">
      <c r="E139" s="16"/>
      <c r="F139" s="14"/>
    </row>
    <row r="140" spans="5:6" ht="12.75">
      <c r="E140" s="16"/>
      <c r="F140" s="14"/>
    </row>
    <row r="141" spans="5:6" ht="12.75">
      <c r="E141" s="16"/>
      <c r="F141" s="14"/>
    </row>
    <row r="142" spans="5:6" ht="12.75">
      <c r="E142" s="16"/>
      <c r="F142" s="14"/>
    </row>
    <row r="143" spans="5:6" ht="12.75">
      <c r="E143" s="16"/>
      <c r="F143" s="14"/>
    </row>
    <row r="144" spans="5:6" ht="12.75">
      <c r="E144" s="16"/>
      <c r="F144" s="14"/>
    </row>
    <row r="145" spans="5:6" ht="12.75">
      <c r="E145" s="16"/>
      <c r="F145" s="14"/>
    </row>
    <row r="146" spans="5:6" ht="12.75">
      <c r="E146" s="16"/>
      <c r="F146" s="14"/>
    </row>
    <row r="147" spans="5:6" ht="12.75">
      <c r="E147" s="16"/>
      <c r="F147" s="14"/>
    </row>
    <row r="148" spans="5:6" ht="12.75">
      <c r="E148" s="16"/>
      <c r="F148" s="14"/>
    </row>
    <row r="149" spans="5:6" ht="12.75">
      <c r="E149" s="16"/>
      <c r="F149" s="14"/>
    </row>
    <row r="150" spans="5:6" ht="12.75">
      <c r="E150" s="16"/>
      <c r="F150" s="14"/>
    </row>
    <row r="151" spans="5:6" ht="12.75">
      <c r="E151" s="16"/>
      <c r="F151" s="14"/>
    </row>
    <row r="152" spans="5:6" ht="12.75">
      <c r="E152" s="16"/>
      <c r="F152" s="14"/>
    </row>
    <row r="153" spans="5:6" ht="12.75">
      <c r="E153" s="16"/>
      <c r="F153" s="14"/>
    </row>
    <row r="154" spans="5:6" ht="12.75">
      <c r="E154" s="16"/>
      <c r="F154" s="14"/>
    </row>
    <row r="155" spans="5:6" ht="12.75">
      <c r="E155" s="16"/>
      <c r="F155" s="14"/>
    </row>
    <row r="156" spans="5:6" ht="12.75">
      <c r="E156" s="16"/>
      <c r="F156" s="14"/>
    </row>
    <row r="157" spans="5:6" ht="12.75">
      <c r="E157" s="16"/>
      <c r="F157" s="14"/>
    </row>
    <row r="158" spans="5:6" ht="12.75">
      <c r="E158" s="16"/>
      <c r="F158" s="14"/>
    </row>
    <row r="159" spans="5:6" ht="12.75">
      <c r="E159" s="16"/>
      <c r="F159" s="14"/>
    </row>
    <row r="160" spans="5:6" ht="12.75">
      <c r="E160" s="16"/>
      <c r="F160" s="14"/>
    </row>
    <row r="161" spans="5:6" ht="12.75">
      <c r="E161" s="16"/>
      <c r="F161" s="14"/>
    </row>
    <row r="162" spans="5:6" ht="12.75">
      <c r="E162" s="16"/>
      <c r="F162" s="14"/>
    </row>
    <row r="163" spans="5:6" ht="12.75">
      <c r="E163" s="16"/>
      <c r="F163" s="14"/>
    </row>
    <row r="164" spans="5:6" ht="12.75">
      <c r="E164" s="16"/>
      <c r="F164" s="14"/>
    </row>
    <row r="165" spans="5:6" ht="12.75">
      <c r="E165" s="16"/>
      <c r="F165" s="14"/>
    </row>
    <row r="166" spans="5:6" ht="12.75">
      <c r="E166" s="16"/>
      <c r="F166" s="14"/>
    </row>
    <row r="167" spans="5:6" ht="12.75">
      <c r="E167" s="16"/>
      <c r="F167" s="14"/>
    </row>
    <row r="168" spans="5:6" ht="12.75">
      <c r="E168" s="16"/>
      <c r="F168" s="14"/>
    </row>
    <row r="169" spans="5:6" ht="12.75">
      <c r="E169" s="16"/>
      <c r="F169" s="14"/>
    </row>
    <row r="170" spans="5:6" ht="12.75">
      <c r="E170" s="16"/>
      <c r="F170" s="14"/>
    </row>
    <row r="171" ht="12.75">
      <c r="F171" s="14"/>
    </row>
    <row r="172" ht="12.75">
      <c r="F172" s="14"/>
    </row>
    <row r="173" ht="12.75">
      <c r="F173" s="14"/>
    </row>
    <row r="174" ht="12.75">
      <c r="F174" s="14"/>
    </row>
    <row r="175" ht="12.75">
      <c r="F175" s="14"/>
    </row>
    <row r="176" ht="12.75">
      <c r="F176" s="14"/>
    </row>
    <row r="177" ht="12.75">
      <c r="F177" s="14"/>
    </row>
    <row r="178" ht="12.75">
      <c r="F178" s="14"/>
    </row>
    <row r="179" ht="12.75">
      <c r="F179" s="14"/>
    </row>
    <row r="180" ht="12.75">
      <c r="F180" s="14"/>
    </row>
    <row r="181" ht="12.75">
      <c r="F181" s="14"/>
    </row>
    <row r="182" ht="12.75">
      <c r="F182" s="14"/>
    </row>
    <row r="183" ht="12.75">
      <c r="F183" s="14"/>
    </row>
    <row r="184" ht="12.75">
      <c r="F184" s="14"/>
    </row>
    <row r="185" ht="12.75">
      <c r="F185" s="14"/>
    </row>
    <row r="186" ht="12.75">
      <c r="F186" s="14"/>
    </row>
    <row r="187" ht="12.75">
      <c r="F187" s="14"/>
    </row>
    <row r="188" ht="12.75">
      <c r="F188" s="14"/>
    </row>
    <row r="189" ht="12.75">
      <c r="F189" s="14"/>
    </row>
    <row r="190" ht="12.75">
      <c r="F190" s="14"/>
    </row>
    <row r="191" ht="12.75">
      <c r="F191" s="14"/>
    </row>
    <row r="192" ht="12.75">
      <c r="F192" s="14"/>
    </row>
    <row r="193" ht="12.75">
      <c r="F193" s="14"/>
    </row>
    <row r="194" ht="12.75">
      <c r="F194" s="14"/>
    </row>
    <row r="195" ht="12.75">
      <c r="F195" s="14"/>
    </row>
    <row r="196" ht="12.75">
      <c r="F196" s="14"/>
    </row>
    <row r="197" ht="12.75">
      <c r="F197" s="14"/>
    </row>
    <row r="198" ht="12.75">
      <c r="F198" s="14"/>
    </row>
    <row r="199" ht="12.75">
      <c r="F199" s="14"/>
    </row>
    <row r="200" ht="12.75">
      <c r="F200" s="14"/>
    </row>
    <row r="201" ht="12.75">
      <c r="F201" s="14"/>
    </row>
    <row r="202" ht="12.75">
      <c r="F202" s="14"/>
    </row>
    <row r="203" ht="12.75">
      <c r="F203" s="14"/>
    </row>
    <row r="204" ht="12.75">
      <c r="F204" s="14"/>
    </row>
    <row r="205" ht="12.75">
      <c r="F205" s="14"/>
    </row>
    <row r="206" ht="12.75">
      <c r="F206" s="14"/>
    </row>
    <row r="207" ht="12.75">
      <c r="F207" s="14"/>
    </row>
    <row r="208" ht="12.75">
      <c r="F208" s="14"/>
    </row>
    <row r="209" ht="12.75">
      <c r="F209" s="14"/>
    </row>
    <row r="210" ht="12.75">
      <c r="F210" s="14"/>
    </row>
    <row r="211" ht="12.75">
      <c r="F211" s="14"/>
    </row>
    <row r="212" ht="12.75">
      <c r="F212" s="14"/>
    </row>
    <row r="213" ht="12.75">
      <c r="F213" s="14"/>
    </row>
    <row r="214" ht="12.75">
      <c r="F214" s="14"/>
    </row>
    <row r="215" ht="12.75">
      <c r="F215" s="14"/>
    </row>
    <row r="216" ht="12.75">
      <c r="F216" s="14"/>
    </row>
    <row r="217" ht="12.75">
      <c r="F217" s="14"/>
    </row>
    <row r="218" ht="12.75">
      <c r="F218" s="14"/>
    </row>
    <row r="219" ht="12.75">
      <c r="F219" s="14"/>
    </row>
    <row r="220" ht="12.75">
      <c r="F220" s="14"/>
    </row>
    <row r="221" ht="12.75">
      <c r="F221" s="14"/>
    </row>
    <row r="222" ht="12.75">
      <c r="F222" s="14"/>
    </row>
    <row r="223" ht="12.75">
      <c r="F223" s="14"/>
    </row>
    <row r="224" ht="12.75">
      <c r="F224" s="14"/>
    </row>
    <row r="225" ht="12.75">
      <c r="F225" s="14"/>
    </row>
    <row r="226" ht="12.75">
      <c r="F226" s="14"/>
    </row>
    <row r="227" ht="12.75">
      <c r="F227" s="14"/>
    </row>
    <row r="228" ht="12.75">
      <c r="F228" s="14"/>
    </row>
    <row r="229" ht="12.75">
      <c r="F229" s="14"/>
    </row>
    <row r="230" ht="12.75">
      <c r="F230" s="14"/>
    </row>
    <row r="231" ht="12.75">
      <c r="F231" s="14"/>
    </row>
    <row r="232" ht="12.75">
      <c r="F232" s="14"/>
    </row>
    <row r="233" ht="12.75">
      <c r="F233" s="14"/>
    </row>
    <row r="234" ht="12.75">
      <c r="F234" s="14"/>
    </row>
    <row r="235" ht="12.75">
      <c r="F235" s="14"/>
    </row>
    <row r="236" ht="12.75">
      <c r="F236" s="14"/>
    </row>
    <row r="237" ht="12.75">
      <c r="F237" s="14"/>
    </row>
    <row r="238" ht="12.75">
      <c r="F238" s="14"/>
    </row>
    <row r="239" ht="12.75">
      <c r="F239" s="14"/>
    </row>
    <row r="240" ht="12.75">
      <c r="F240" s="14"/>
    </row>
    <row r="241" ht="12.75">
      <c r="F241" s="14"/>
    </row>
    <row r="242" ht="12.75">
      <c r="F242" s="14"/>
    </row>
    <row r="243" ht="12.75">
      <c r="F243" s="14"/>
    </row>
    <row r="244" ht="12.75">
      <c r="F244" s="14"/>
    </row>
    <row r="245" ht="12.75">
      <c r="F245" s="14"/>
    </row>
    <row r="246" ht="12.75">
      <c r="F246" s="14"/>
    </row>
    <row r="247" ht="12.75">
      <c r="F247" s="14"/>
    </row>
    <row r="248" ht="12.75">
      <c r="F248" s="14"/>
    </row>
    <row r="249" ht="12.75">
      <c r="F249" s="14"/>
    </row>
    <row r="250" ht="12.75">
      <c r="F250" s="14"/>
    </row>
    <row r="251" ht="12.75">
      <c r="F251" s="14"/>
    </row>
    <row r="252" ht="12.75">
      <c r="F252" s="14"/>
    </row>
    <row r="253" ht="12.75">
      <c r="F253" s="14"/>
    </row>
    <row r="254" ht="12.75">
      <c r="F254" s="14"/>
    </row>
    <row r="255" ht="12.75">
      <c r="F255" s="14"/>
    </row>
    <row r="256" ht="12.75">
      <c r="F256" s="14"/>
    </row>
    <row r="257" ht="12.75">
      <c r="F257" s="14"/>
    </row>
    <row r="258" ht="12.75">
      <c r="F258" s="14"/>
    </row>
    <row r="259" ht="12.75">
      <c r="F259" s="14"/>
    </row>
    <row r="260" ht="12.75">
      <c r="F260" s="14"/>
    </row>
    <row r="261" ht="12.75">
      <c r="F261" s="14"/>
    </row>
    <row r="262" ht="12.75">
      <c r="F262" s="14"/>
    </row>
    <row r="263" ht="12.75">
      <c r="F263" s="14"/>
    </row>
    <row r="264" ht="12.75">
      <c r="F264" s="14"/>
    </row>
    <row r="265" ht="12.75">
      <c r="F265" s="14"/>
    </row>
    <row r="266" ht="12.75">
      <c r="F266" s="14"/>
    </row>
    <row r="267" ht="12.75">
      <c r="F267" s="14"/>
    </row>
    <row r="268" ht="12.75">
      <c r="F268" s="14"/>
    </row>
    <row r="269" ht="12.75">
      <c r="F269" s="14"/>
    </row>
    <row r="270" ht="12.75">
      <c r="F270" s="14"/>
    </row>
    <row r="271" ht="12.75">
      <c r="F271" s="14"/>
    </row>
    <row r="272" ht="12.75">
      <c r="F272" s="14"/>
    </row>
    <row r="273" ht="12.75">
      <c r="F273" s="14"/>
    </row>
    <row r="274" ht="12.75">
      <c r="F274" s="14"/>
    </row>
    <row r="275" ht="12.75">
      <c r="F275" s="14"/>
    </row>
    <row r="276" ht="12.75">
      <c r="F276" s="14"/>
    </row>
  </sheetData>
  <printOptions/>
  <pageMargins left="0.75" right="0.75" top="0.75" bottom="1" header="0.5" footer="0.5"/>
  <pageSetup horizontalDpi="600" verticalDpi="600" orientation="landscape" r:id="rId1"/>
  <rowBreaks count="3" manualBreakCount="3">
    <brk id="39" max="8" man="1"/>
    <brk id="73" max="8" man="1"/>
    <brk id="10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H6" sqref="H6"/>
    </sheetView>
  </sheetViews>
  <sheetFormatPr defaultColWidth="9.140625" defaultRowHeight="12.75"/>
  <cols>
    <col min="1" max="1" width="3.28125" style="0" customWidth="1"/>
    <col min="2" max="2" width="36.140625" style="0" customWidth="1"/>
    <col min="3" max="3" width="4.421875" style="0" customWidth="1"/>
    <col min="5" max="6" width="13.28125" style="0" customWidth="1"/>
    <col min="8" max="8" width="9.7109375" style="0" bestFit="1" customWidth="1"/>
  </cols>
  <sheetData>
    <row r="1" ht="12.75">
      <c r="A1" t="s">
        <v>109</v>
      </c>
    </row>
    <row r="2" spans="4:8" ht="12.75">
      <c r="D2" t="s">
        <v>128</v>
      </c>
      <c r="E2" t="s">
        <v>129</v>
      </c>
      <c r="F2" t="s">
        <v>130</v>
      </c>
      <c r="G2" t="s">
        <v>131</v>
      </c>
      <c r="H2" t="s">
        <v>31</v>
      </c>
    </row>
    <row r="3" spans="1:8" ht="12.75">
      <c r="A3" t="s">
        <v>214</v>
      </c>
      <c r="D3" s="38">
        <v>0.63</v>
      </c>
      <c r="E3" s="38">
        <v>0.69</v>
      </c>
      <c r="F3" s="38">
        <v>0.63</v>
      </c>
      <c r="G3" s="38">
        <v>0.63</v>
      </c>
      <c r="H3" s="38">
        <v>0.8</v>
      </c>
    </row>
    <row r="4" spans="1:8" ht="12.75">
      <c r="A4" t="s">
        <v>215</v>
      </c>
      <c r="D4" s="38">
        <f>D3*(23/52)</f>
        <v>0.27865384615384614</v>
      </c>
      <c r="E4" s="38">
        <f>E3*(23/52)</f>
        <v>0.30519230769230765</v>
      </c>
      <c r="F4" s="38">
        <f>F3*(23/52)</f>
        <v>0.27865384615384614</v>
      </c>
      <c r="G4" s="38">
        <f>G3*(23/52)</f>
        <v>0.27865384615384614</v>
      </c>
      <c r="H4" s="38">
        <f>H3*(23/52)</f>
        <v>0.35384615384615387</v>
      </c>
    </row>
    <row r="5" spans="5:8" ht="25.5">
      <c r="E5" s="37" t="s">
        <v>126</v>
      </c>
      <c r="F5" s="37" t="s">
        <v>127</v>
      </c>
      <c r="G5" s="37" t="s">
        <v>234</v>
      </c>
      <c r="H5" s="37" t="s">
        <v>243</v>
      </c>
    </row>
    <row r="6" ht="12.75">
      <c r="A6" s="8" t="s">
        <v>19</v>
      </c>
    </row>
    <row r="7" spans="2:8" ht="12.75">
      <c r="B7" s="8" t="s">
        <v>22</v>
      </c>
      <c r="E7" s="2">
        <f>'Outside County'!E31</f>
        <v>4242871.615865112</v>
      </c>
      <c r="F7" s="2">
        <f>E7*$E$4</f>
        <v>1294891.779688064</v>
      </c>
      <c r="G7" s="39">
        <v>0.001</v>
      </c>
      <c r="H7" s="2">
        <f>F7*G7</f>
        <v>1294.891779688064</v>
      </c>
    </row>
    <row r="8" spans="2:8" ht="12.75">
      <c r="B8" s="8" t="s">
        <v>23</v>
      </c>
      <c r="E8" s="2">
        <f>'Outside County'!E32</f>
        <v>40942400.89781436</v>
      </c>
      <c r="F8" s="2">
        <f>E8*$E$4</f>
        <v>12495305.812467575</v>
      </c>
      <c r="G8" s="39">
        <v>0.001</v>
      </c>
      <c r="H8" s="2">
        <f>F8*G8</f>
        <v>12495.305812467575</v>
      </c>
    </row>
    <row r="9" spans="2:8" ht="12.75">
      <c r="B9" s="8" t="s">
        <v>24</v>
      </c>
      <c r="E9" s="2">
        <f>'Outside County'!E33</f>
        <v>25644887.616899714</v>
      </c>
      <c r="F9" s="2">
        <f>E9*$D$4</f>
        <v>7146046.568632247</v>
      </c>
      <c r="G9" s="39">
        <v>0.001</v>
      </c>
      <c r="H9" s="2">
        <f>F9*G9</f>
        <v>7146.046568632247</v>
      </c>
    </row>
    <row r="10" ht="12.75">
      <c r="A10" s="8" t="s">
        <v>25</v>
      </c>
    </row>
    <row r="11" spans="2:8" ht="12.75">
      <c r="B11" s="8" t="s">
        <v>22</v>
      </c>
      <c r="E11" s="2">
        <f>'Outside County'!E37</f>
        <v>6319322.237487466</v>
      </c>
      <c r="F11" s="2">
        <f>E11*$E$4</f>
        <v>1928608.5367101168</v>
      </c>
      <c r="G11" s="39">
        <v>0.001</v>
      </c>
      <c r="H11" s="2">
        <f>F11*G11</f>
        <v>1928.6085367101168</v>
      </c>
    </row>
    <row r="12" spans="2:8" ht="12.75">
      <c r="B12" s="8" t="s">
        <v>23</v>
      </c>
      <c r="E12" s="2">
        <f>'Outside County'!E38</f>
        <v>74217594.78177293</v>
      </c>
      <c r="F12" s="2">
        <f>E12*$E$4</f>
        <v>22650639.02282185</v>
      </c>
      <c r="G12" s="39">
        <v>0.001</v>
      </c>
      <c r="H12" s="2">
        <f>F12*G12</f>
        <v>22650.63902282185</v>
      </c>
    </row>
    <row r="13" spans="2:8" ht="12.75">
      <c r="B13" s="8" t="s">
        <v>24</v>
      </c>
      <c r="E13" s="2">
        <f>'Outside County'!E39</f>
        <v>13156685.20148837</v>
      </c>
      <c r="F13" s="2">
        <f>E13*$D$4</f>
        <v>3666160.9340301245</v>
      </c>
      <c r="G13" s="39">
        <v>0.001</v>
      </c>
      <c r="H13" s="2">
        <f>F13*G13</f>
        <v>3666.1609340301247</v>
      </c>
    </row>
    <row r="14" ht="12.75">
      <c r="A14" s="8" t="s">
        <v>26</v>
      </c>
    </row>
    <row r="15" spans="2:8" ht="12.75">
      <c r="B15" s="8" t="s">
        <v>22</v>
      </c>
      <c r="E15" s="2">
        <f>'Outside County'!E43</f>
        <v>46503420.0933868</v>
      </c>
      <c r="F15" s="2">
        <f>E15*$E$4</f>
        <v>14192486.093885547</v>
      </c>
      <c r="G15" s="39">
        <v>0.001</v>
      </c>
      <c r="H15" s="2">
        <f>F15*G15</f>
        <v>14192.486093885547</v>
      </c>
    </row>
    <row r="16" spans="2:8" ht="12.75">
      <c r="B16" s="8" t="s">
        <v>23</v>
      </c>
      <c r="E16" s="2">
        <f>'Outside County'!E44</f>
        <v>768465235.3758347</v>
      </c>
      <c r="F16" s="2">
        <f>E16*$E$4</f>
        <v>234529678.56566337</v>
      </c>
      <c r="G16" s="39">
        <v>0.001</v>
      </c>
      <c r="H16" s="2">
        <f>F16*G16</f>
        <v>234529.67856566337</v>
      </c>
    </row>
    <row r="17" spans="2:8" ht="12.75">
      <c r="B17" s="8" t="s">
        <v>24</v>
      </c>
      <c r="E17" s="2">
        <f>'Outside County'!E45</f>
        <v>21899995.121093944</v>
      </c>
      <c r="F17" s="2">
        <f>E17*$D$4</f>
        <v>6102517.8712432925</v>
      </c>
      <c r="G17" s="39">
        <v>0.001</v>
      </c>
      <c r="H17" s="2">
        <f>F17*G17</f>
        <v>6102.517871243293</v>
      </c>
    </row>
    <row r="18" ht="12.75">
      <c r="A18" s="8" t="s">
        <v>27</v>
      </c>
    </row>
    <row r="19" spans="2:8" ht="12.75">
      <c r="B19" s="8" t="s">
        <v>22</v>
      </c>
      <c r="E19" s="2">
        <f>'Outside County'!E49</f>
        <v>9547297.832366025</v>
      </c>
      <c r="F19" s="2">
        <f>E19*$E$4</f>
        <v>2913761.857685554</v>
      </c>
      <c r="G19" s="39">
        <v>0.001</v>
      </c>
      <c r="H19" s="2">
        <f>F19*G19</f>
        <v>2913.761857685554</v>
      </c>
    </row>
    <row r="20" spans="2:8" ht="12.75">
      <c r="B20" s="8" t="s">
        <v>23</v>
      </c>
      <c r="E20" s="2">
        <f>'Outside County'!E50</f>
        <v>2301855942.5111785</v>
      </c>
      <c r="F20" s="2">
        <f>E20*$E$4</f>
        <v>702508727.0702385</v>
      </c>
      <c r="G20" s="39">
        <v>0.001</v>
      </c>
      <c r="H20" s="2">
        <f>F20*G20</f>
        <v>702508.7270702384</v>
      </c>
    </row>
    <row r="21" spans="2:8" ht="12.75">
      <c r="B21" s="8" t="s">
        <v>24</v>
      </c>
      <c r="E21" s="2">
        <f>'Outside County'!E51</f>
        <v>1762624.0762794816</v>
      </c>
      <c r="F21" s="2">
        <f>E21*$D$4</f>
        <v>491161.97817864787</v>
      </c>
      <c r="G21" s="39">
        <v>0.001</v>
      </c>
      <c r="H21" s="2">
        <f>F21*G21</f>
        <v>491.16197817864787</v>
      </c>
    </row>
    <row r="22" ht="12.75">
      <c r="A22" s="8" t="s">
        <v>28</v>
      </c>
    </row>
    <row r="23" spans="2:8" ht="12.75">
      <c r="B23" s="8" t="s">
        <v>29</v>
      </c>
      <c r="E23" s="2">
        <f>'Outside County'!E53</f>
        <v>3811226750.5425</v>
      </c>
      <c r="F23" s="2">
        <f>E23*$F$4</f>
        <v>1062012992.6030928</v>
      </c>
      <c r="G23" s="39">
        <v>0.001</v>
      </c>
      <c r="H23" s="2">
        <f>F23*G23</f>
        <v>1062012.992603093</v>
      </c>
    </row>
    <row r="24" spans="2:8" ht="12.75">
      <c r="B24" s="8" t="s">
        <v>30</v>
      </c>
      <c r="E24" s="2">
        <f>'Outside County'!E54</f>
        <v>172452450.48852533</v>
      </c>
      <c r="F24" s="2">
        <f>E24*$G$4</f>
        <v>48054538.60728331</v>
      </c>
      <c r="G24" s="39">
        <v>0.001</v>
      </c>
      <c r="H24" s="2">
        <f>F24*G24</f>
        <v>48054.53860728331</v>
      </c>
    </row>
    <row r="25" spans="2:8" ht="12.75">
      <c r="B25" s="8" t="s">
        <v>31</v>
      </c>
      <c r="E25" s="2">
        <f>'Outside County'!E55</f>
        <v>55411226.42628051</v>
      </c>
      <c r="F25" s="2">
        <f>E25*$H$4</f>
        <v>19607049.350837722</v>
      </c>
      <c r="G25" s="39">
        <v>0.001</v>
      </c>
      <c r="H25" s="2">
        <f>F25*G25</f>
        <v>19607.049350837722</v>
      </c>
    </row>
    <row r="26" ht="12.75">
      <c r="H26" s="2">
        <f>SUM(H7:H9,H11:H13,H15:H17,H19:H21,H23:H25)</f>
        <v>2139594.566652459</v>
      </c>
    </row>
    <row r="28" ht="12.75">
      <c r="A28" t="s">
        <v>111</v>
      </c>
    </row>
    <row r="29" spans="1:4" ht="12.75">
      <c r="A29" t="s">
        <v>125</v>
      </c>
      <c r="D29" s="38">
        <v>0.4</v>
      </c>
    </row>
    <row r="30" spans="1:4" ht="12.75">
      <c r="A30" t="s">
        <v>211</v>
      </c>
      <c r="D30" s="38">
        <f>D29*(23/52)</f>
        <v>0.17692307692307693</v>
      </c>
    </row>
    <row r="32" spans="2:8" ht="12.75">
      <c r="B32" s="8" t="s">
        <v>74</v>
      </c>
      <c r="E32" s="2">
        <f>'Within County'!C11</f>
        <v>690719.2282559664</v>
      </c>
      <c r="F32" s="2">
        <f>E32*$D$30</f>
        <v>122204.17115297868</v>
      </c>
      <c r="G32" s="39">
        <v>0.001</v>
      </c>
      <c r="H32" s="13">
        <f>G32*F32</f>
        <v>122.20417115297869</v>
      </c>
    </row>
    <row r="33" spans="2:8" ht="12.75">
      <c r="B33" s="8" t="s">
        <v>91</v>
      </c>
      <c r="E33" s="2">
        <f>'Within County'!C12</f>
        <v>972596.7225735515</v>
      </c>
      <c r="F33" s="2">
        <f aca="true" t="shared" si="0" ref="F33:F40">E33*$D$30</f>
        <v>172074.80476301297</v>
      </c>
      <c r="G33" s="39">
        <v>0.001</v>
      </c>
      <c r="H33" s="13">
        <f aca="true" t="shared" si="1" ref="H33:H40">G33*F33</f>
        <v>172.07480476301296</v>
      </c>
    </row>
    <row r="34" spans="2:8" ht="12.75">
      <c r="B34" s="8" t="s">
        <v>75</v>
      </c>
      <c r="E34" s="2">
        <f>'Within County'!C14</f>
        <v>6612697.621003127</v>
      </c>
      <c r="F34" s="2">
        <f t="shared" si="0"/>
        <v>1169938.809869784</v>
      </c>
      <c r="G34" s="39">
        <v>0.001</v>
      </c>
      <c r="H34" s="13">
        <f t="shared" si="1"/>
        <v>1169.9388098697839</v>
      </c>
    </row>
    <row r="35" spans="2:8" ht="12.75">
      <c r="B35" s="8" t="s">
        <v>93</v>
      </c>
      <c r="E35" s="2">
        <f>'Within County'!C15</f>
        <v>6211308.263602564</v>
      </c>
      <c r="F35" s="2">
        <f t="shared" si="0"/>
        <v>1098923.7697142998</v>
      </c>
      <c r="G35" s="39">
        <v>0.001</v>
      </c>
      <c r="H35" s="13">
        <f t="shared" si="1"/>
        <v>1098.9237697142999</v>
      </c>
    </row>
    <row r="36" spans="2:8" ht="12.75">
      <c r="B36" s="8" t="s">
        <v>76</v>
      </c>
      <c r="E36" s="2">
        <f>'Within County'!C17</f>
        <v>8524256.41684438</v>
      </c>
      <c r="F36" s="2">
        <f t="shared" si="0"/>
        <v>1508137.6737493903</v>
      </c>
      <c r="G36" s="39">
        <v>0.001</v>
      </c>
      <c r="H36" s="13">
        <f t="shared" si="1"/>
        <v>1508.1376737493904</v>
      </c>
    </row>
    <row r="37" spans="2:8" ht="12.75">
      <c r="B37" s="8" t="s">
        <v>95</v>
      </c>
      <c r="E37" s="2">
        <f>'Within County'!C18</f>
        <v>53012077.04814025</v>
      </c>
      <c r="F37" s="2">
        <f t="shared" si="0"/>
        <v>9379059.7854402</v>
      </c>
      <c r="G37" s="39">
        <v>0.001</v>
      </c>
      <c r="H37" s="13">
        <f t="shared" si="1"/>
        <v>9379.059785440199</v>
      </c>
    </row>
    <row r="38" spans="2:8" ht="12.75">
      <c r="B38" s="8" t="s">
        <v>96</v>
      </c>
      <c r="E38" s="2">
        <f>'Within County'!C19</f>
        <v>438209280.7901451</v>
      </c>
      <c r="F38" s="2">
        <f t="shared" si="0"/>
        <v>77529334.29364106</v>
      </c>
      <c r="G38" s="39">
        <v>0.001</v>
      </c>
      <c r="H38" s="13">
        <f t="shared" si="1"/>
        <v>77529.33429364106</v>
      </c>
    </row>
    <row r="39" spans="2:8" ht="12.75">
      <c r="B39" s="8" t="s">
        <v>97</v>
      </c>
      <c r="E39" s="2">
        <f>'Within County'!C20</f>
        <v>118904152.37748976</v>
      </c>
      <c r="F39" s="2">
        <f t="shared" si="0"/>
        <v>21036888.49755588</v>
      </c>
      <c r="G39" s="39">
        <v>0.001</v>
      </c>
      <c r="H39" s="13">
        <f t="shared" si="1"/>
        <v>21036.888497555883</v>
      </c>
    </row>
    <row r="40" spans="2:8" ht="12.75">
      <c r="B40" s="8" t="s">
        <v>98</v>
      </c>
      <c r="E40" s="2">
        <f>'Within County'!C21</f>
        <v>83950537.74477442</v>
      </c>
      <c r="F40" s="2">
        <f t="shared" si="0"/>
        <v>14852787.447152397</v>
      </c>
      <c r="G40" s="39">
        <v>0.001</v>
      </c>
      <c r="H40" s="13">
        <f t="shared" si="1"/>
        <v>14852.787447152397</v>
      </c>
    </row>
    <row r="41" spans="6:8" ht="12.75">
      <c r="F41" s="2">
        <f>SUM(F32:F40)</f>
        <v>126869349.253039</v>
      </c>
      <c r="H41" s="13">
        <f>SUM(H32:H40)</f>
        <v>126869.34925303902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workbookViewId="0" topLeftCell="A119">
      <selection activeCell="C137" sqref="C137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42.28125" style="0" customWidth="1"/>
    <col min="4" max="4" width="11.28125" style="0" customWidth="1"/>
    <col min="5" max="5" width="13.28125" style="0" customWidth="1"/>
    <col min="7" max="7" width="15.00390625" style="0" customWidth="1"/>
    <col min="8" max="8" width="10.28125" style="0" customWidth="1"/>
    <col min="9" max="9" width="15.00390625" style="0" customWidth="1"/>
  </cols>
  <sheetData>
    <row r="1" spans="1:8" ht="12.75">
      <c r="A1" s="22" t="s">
        <v>109</v>
      </c>
      <c r="H1" s="32">
        <f>1.038</f>
        <v>1.038</v>
      </c>
    </row>
    <row r="3" spans="1:9" ht="25.5">
      <c r="A3" s="10" t="s">
        <v>0</v>
      </c>
      <c r="B3" s="10"/>
      <c r="C3" s="22"/>
      <c r="D3" s="10" t="s">
        <v>1</v>
      </c>
      <c r="E3" s="21" t="s">
        <v>110</v>
      </c>
      <c r="F3" s="21" t="s">
        <v>112</v>
      </c>
      <c r="G3" s="21" t="s">
        <v>114</v>
      </c>
      <c r="H3" s="21" t="s">
        <v>113</v>
      </c>
      <c r="I3" s="21" t="s">
        <v>115</v>
      </c>
    </row>
    <row r="4" spans="1:4" ht="12.75">
      <c r="A4" s="8" t="s">
        <v>2</v>
      </c>
      <c r="B4" s="8"/>
      <c r="D4" s="8"/>
    </row>
    <row r="5" spans="2:4" ht="12.75">
      <c r="B5" s="8" t="s">
        <v>3</v>
      </c>
      <c r="D5" s="8"/>
    </row>
    <row r="6" spans="3:10" ht="12.75">
      <c r="C6" s="8" t="s">
        <v>5</v>
      </c>
      <c r="D6" s="8" t="s">
        <v>4</v>
      </c>
      <c r="E6" s="2">
        <f>'Regular Rate BD08'!E6+'Nonprofit BD08'!E6+'Classroom BD08'!E6</f>
        <v>14583553.680200085</v>
      </c>
      <c r="F6" s="9">
        <f>'Regular Rate BD08'!F6</f>
        <v>0.165</v>
      </c>
      <c r="G6" s="12">
        <f>E6*F6</f>
        <v>2406286.357233014</v>
      </c>
      <c r="H6" s="9">
        <v>0.131</v>
      </c>
      <c r="I6" s="12">
        <f>H6*E6</f>
        <v>1910445.5321062112</v>
      </c>
      <c r="J6" s="6"/>
    </row>
    <row r="7" spans="3:10" ht="12.75">
      <c r="C7" s="8" t="s">
        <v>6</v>
      </c>
      <c r="D7" s="8" t="s">
        <v>4</v>
      </c>
      <c r="E7" s="2">
        <f>'Regular Rate BD08'!E7+'Nonprofit BD08'!E7+'Classroom BD08'!E7</f>
        <v>897198417.6656495</v>
      </c>
      <c r="F7" s="9">
        <f>'Regular Rate BD08'!F7</f>
        <v>0.215</v>
      </c>
      <c r="G7" s="12">
        <f aca="true" t="shared" si="0" ref="G7:G15">E7*F7</f>
        <v>192897659.79811466</v>
      </c>
      <c r="H7" s="9">
        <v>0.2</v>
      </c>
      <c r="I7" s="12">
        <f aca="true" t="shared" si="1" ref="I7:I20">H7*E7</f>
        <v>179439683.53312993</v>
      </c>
      <c r="J7" s="6"/>
    </row>
    <row r="8" spans="3:10" ht="12.75">
      <c r="C8" s="8" t="s">
        <v>7</v>
      </c>
      <c r="D8" s="8" t="s">
        <v>4</v>
      </c>
      <c r="E8" s="2">
        <f>'Regular Rate BD08'!E8+'Nonprofit BD08'!E8+'Classroom BD08'!E8</f>
        <v>170151327.43597603</v>
      </c>
      <c r="F8" s="9">
        <f>'Regular Rate BD08'!F8</f>
        <v>0.225</v>
      </c>
      <c r="G8" s="12">
        <f t="shared" si="0"/>
        <v>38284048.67309461</v>
      </c>
      <c r="H8" s="9">
        <v>0.212</v>
      </c>
      <c r="I8" s="12">
        <f t="shared" si="1"/>
        <v>36072081.41642692</v>
      </c>
      <c r="J8" s="6"/>
    </row>
    <row r="9" spans="3:10" ht="12.75">
      <c r="C9" s="8" t="s">
        <v>8</v>
      </c>
      <c r="D9" s="8" t="s">
        <v>4</v>
      </c>
      <c r="E9" s="2">
        <f>'Regular Rate BD08'!E9+'Nonprofit BD08'!E9+'Classroom BD08'!E9</f>
        <v>94867075.12854539</v>
      </c>
      <c r="F9" s="9">
        <f>'Regular Rate BD08'!F9</f>
        <v>0.246</v>
      </c>
      <c r="G9" s="12">
        <f t="shared" si="0"/>
        <v>23337300.481622167</v>
      </c>
      <c r="H9" s="9">
        <v>0.237</v>
      </c>
      <c r="I9" s="12">
        <f t="shared" si="1"/>
        <v>22483496.805465255</v>
      </c>
      <c r="J9" s="6"/>
    </row>
    <row r="10" spans="3:10" ht="12.75">
      <c r="C10" s="8" t="s">
        <v>9</v>
      </c>
      <c r="D10" s="8" t="s">
        <v>4</v>
      </c>
      <c r="E10" s="2">
        <f>'Regular Rate BD08'!E10+'Nonprofit BD08'!E10+'Classroom BD08'!E10</f>
        <v>47768593.74915014</v>
      </c>
      <c r="F10" s="9">
        <f>'Regular Rate BD08'!F10</f>
        <v>0.265</v>
      </c>
      <c r="G10" s="12">
        <f t="shared" si="0"/>
        <v>12658677.343524788</v>
      </c>
      <c r="H10" s="9">
        <v>0.259</v>
      </c>
      <c r="I10" s="12">
        <f t="shared" si="1"/>
        <v>12372065.781029887</v>
      </c>
      <c r="J10" s="6"/>
    </row>
    <row r="11" spans="3:10" ht="12.75">
      <c r="C11" s="8" t="s">
        <v>10</v>
      </c>
      <c r="D11" s="8" t="s">
        <v>4</v>
      </c>
      <c r="E11" s="2">
        <f>'Regular Rate BD08'!E11+'Nonprofit BD08'!E11+'Classroom BD08'!E11</f>
        <v>60271133.372602314</v>
      </c>
      <c r="F11" s="9">
        <f>'Regular Rate BD08'!F11</f>
        <v>0.312</v>
      </c>
      <c r="G11" s="12">
        <f t="shared" si="0"/>
        <v>18804593.612251922</v>
      </c>
      <c r="H11" s="9">
        <v>0.317</v>
      </c>
      <c r="I11" s="12">
        <f t="shared" si="1"/>
        <v>19105949.279114936</v>
      </c>
      <c r="J11" s="6"/>
    </row>
    <row r="12" spans="3:10" ht="12.75">
      <c r="C12" s="8" t="s">
        <v>11</v>
      </c>
      <c r="D12" s="8" t="s">
        <v>4</v>
      </c>
      <c r="E12" s="2">
        <f>'Regular Rate BD08'!E12+'Nonprofit BD08'!E12+'Classroom BD08'!E12</f>
        <v>59962051.18063957</v>
      </c>
      <c r="F12" s="9">
        <f>'Regular Rate BD08'!F12</f>
        <v>0.383</v>
      </c>
      <c r="G12" s="12">
        <f t="shared" si="0"/>
        <v>22965465.602184955</v>
      </c>
      <c r="H12" s="9">
        <v>0.404</v>
      </c>
      <c r="I12" s="12">
        <f t="shared" si="1"/>
        <v>24224668.67697839</v>
      </c>
      <c r="J12" s="6"/>
    </row>
    <row r="13" spans="3:10" ht="12.75">
      <c r="C13" s="8" t="s">
        <v>12</v>
      </c>
      <c r="D13" s="8" t="s">
        <v>4</v>
      </c>
      <c r="E13" s="2">
        <f>'Regular Rate BD08'!E13+'Nonprofit BD08'!E13+'Classroom BD08'!E13</f>
        <v>23764004.499933325</v>
      </c>
      <c r="F13" s="9">
        <f>'Regular Rate BD08'!F13</f>
        <v>0.459</v>
      </c>
      <c r="G13" s="12">
        <f t="shared" si="0"/>
        <v>10907678.065469397</v>
      </c>
      <c r="H13" s="9">
        <v>0.496</v>
      </c>
      <c r="I13" s="12">
        <f t="shared" si="1"/>
        <v>11786946.23196693</v>
      </c>
      <c r="J13" s="6"/>
    </row>
    <row r="14" spans="3:10" ht="12.75">
      <c r="C14" s="8" t="s">
        <v>13</v>
      </c>
      <c r="D14" s="8" t="s">
        <v>4</v>
      </c>
      <c r="E14" s="2">
        <f>'Regular Rate BD08'!E14+'Nonprofit BD08'!E14+'Classroom BD08'!E14</f>
        <v>16974115.97025755</v>
      </c>
      <c r="F14" s="9">
        <f>'Regular Rate BD08'!F14</f>
        <v>0.55</v>
      </c>
      <c r="G14" s="12">
        <f t="shared" si="0"/>
        <v>9335763.783641653</v>
      </c>
      <c r="H14" s="9">
        <v>0.607</v>
      </c>
      <c r="I14" s="12">
        <f t="shared" si="1"/>
        <v>10303288.393946333</v>
      </c>
      <c r="J14" s="6"/>
    </row>
    <row r="15" spans="3:10" ht="12.75">
      <c r="C15" s="8" t="s">
        <v>14</v>
      </c>
      <c r="D15" s="8" t="s">
        <v>4</v>
      </c>
      <c r="E15" s="2">
        <f>'Regular Rate BD08'!E15+'Nonprofit BD08'!E15+'Classroom BD08'!E15</f>
        <v>23813565.000462953</v>
      </c>
      <c r="F15" s="9">
        <f>'Regular Rate BD08'!F15</f>
        <v>0.628</v>
      </c>
      <c r="G15" s="12">
        <f t="shared" si="0"/>
        <v>14954918.820290735</v>
      </c>
      <c r="H15" s="9">
        <v>0.701</v>
      </c>
      <c r="I15" s="12">
        <f t="shared" si="1"/>
        <v>16693309.065324528</v>
      </c>
      <c r="J15" s="6"/>
    </row>
    <row r="16" spans="2:10" ht="12.75">
      <c r="B16" s="8" t="s">
        <v>15</v>
      </c>
      <c r="D16" s="8"/>
      <c r="J16" s="39"/>
    </row>
    <row r="17" spans="3:10" ht="12.75">
      <c r="C17" s="8" t="s">
        <v>5</v>
      </c>
      <c r="D17" s="8" t="s">
        <v>4</v>
      </c>
      <c r="E17" s="2">
        <f>'Regular Rate BD08'!E17+'Nonprofit BD08'!E17+'Classroom BD08'!E17</f>
        <v>11481312.26361645</v>
      </c>
      <c r="F17" s="9">
        <f>'Regular Rate BD08'!F17</f>
        <v>0.137</v>
      </c>
      <c r="G17" s="12">
        <f>E17*F17</f>
        <v>1572939.7801154538</v>
      </c>
      <c r="H17" s="9">
        <v>0.109</v>
      </c>
      <c r="I17" s="12">
        <f t="shared" si="1"/>
        <v>1251463.036734193</v>
      </c>
      <c r="J17" s="6"/>
    </row>
    <row r="18" spans="3:10" ht="12.75">
      <c r="C18" s="8" t="s">
        <v>6</v>
      </c>
      <c r="D18" s="8" t="s">
        <v>4</v>
      </c>
      <c r="E18" s="2">
        <f>'Regular Rate BD08'!E18+'Nonprofit BD08'!E18+'Classroom BD08'!E18</f>
        <v>1093294871.5384324</v>
      </c>
      <c r="F18" s="9">
        <f>'Regular Rate BD08'!F18</f>
        <v>0.179</v>
      </c>
      <c r="G18" s="12">
        <f>E18*F18</f>
        <v>195699782.00537938</v>
      </c>
      <c r="H18" s="9">
        <v>0.166</v>
      </c>
      <c r="I18" s="12">
        <f t="shared" si="1"/>
        <v>181486948.67537978</v>
      </c>
      <c r="J18" s="6"/>
    </row>
    <row r="19" spans="3:10" ht="12.75">
      <c r="C19" s="8" t="s">
        <v>7</v>
      </c>
      <c r="D19" s="8" t="s">
        <v>4</v>
      </c>
      <c r="E19" s="46">
        <f>'Regular Rate BD08'!E19+'Nonprofit BD08'!E19+'Classroom BD08'!E19</f>
        <v>228477370.04491946</v>
      </c>
      <c r="F19" s="9">
        <f>'Regular Rate BD08'!F19</f>
        <v>0.187</v>
      </c>
      <c r="G19" s="12">
        <f>E19*F19</f>
        <v>42725268.19839994</v>
      </c>
      <c r="H19" s="9">
        <v>0.176</v>
      </c>
      <c r="I19" s="12">
        <f t="shared" si="1"/>
        <v>40212017.12790582</v>
      </c>
      <c r="J19" s="6"/>
    </row>
    <row r="20" spans="3:10" ht="12.75">
      <c r="C20" s="8" t="s">
        <v>16</v>
      </c>
      <c r="D20" s="8" t="s">
        <v>4</v>
      </c>
      <c r="E20" s="2">
        <f>'Regular Rate BD08'!E20+'Nonprofit BD08'!E20+'Classroom BD08'!E20</f>
        <v>647525140.691768</v>
      </c>
      <c r="F20" s="9">
        <f>'Regular Rate BD08'!F20</f>
        <v>0.205</v>
      </c>
      <c r="G20" s="12">
        <f>E20*F20</f>
        <v>132742653.84181245</v>
      </c>
      <c r="H20" s="9">
        <v>0.197</v>
      </c>
      <c r="I20" s="12">
        <f t="shared" si="1"/>
        <v>127562452.71627831</v>
      </c>
      <c r="J20" s="6"/>
    </row>
    <row r="21" spans="1:10" ht="12.75">
      <c r="A21" t="s">
        <v>78</v>
      </c>
      <c r="C21" s="8"/>
      <c r="D21" s="8"/>
      <c r="J21" s="39"/>
    </row>
    <row r="22" spans="2:10" ht="12.75">
      <c r="B22" s="8" t="s">
        <v>3</v>
      </c>
      <c r="D22" s="8"/>
      <c r="J22" s="39"/>
    </row>
    <row r="23" spans="3:10" ht="12.75">
      <c r="C23" s="8" t="s">
        <v>5</v>
      </c>
      <c r="D23" s="8" t="s">
        <v>4</v>
      </c>
      <c r="E23" s="2">
        <f>'Regular Rate BD08'!E23</f>
        <v>59427.273397621764</v>
      </c>
      <c r="F23" s="9">
        <f>'Regular Rate BD08'!F23</f>
        <v>0.124</v>
      </c>
      <c r="G23" s="12">
        <f>E23*F23</f>
        <v>7368.981901305098</v>
      </c>
      <c r="H23" s="9">
        <v>0.098</v>
      </c>
      <c r="I23" s="12">
        <f>H23*E23</f>
        <v>5823.872792966933</v>
      </c>
      <c r="J23" s="6"/>
    </row>
    <row r="24" spans="3:10" ht="12.75">
      <c r="C24" s="8" t="s">
        <v>6</v>
      </c>
      <c r="D24" s="8" t="s">
        <v>4</v>
      </c>
      <c r="E24" s="2">
        <f>'Regular Rate BD08'!E24</f>
        <v>1372501.096676832</v>
      </c>
      <c r="F24" s="9">
        <f>'Regular Rate BD08'!F24</f>
        <v>0.162</v>
      </c>
      <c r="G24" s="12">
        <f>E24*F24</f>
        <v>222345.1776616468</v>
      </c>
      <c r="H24" s="9">
        <v>0.15</v>
      </c>
      <c r="I24" s="12">
        <f>H24*E24</f>
        <v>205875.1645015248</v>
      </c>
      <c r="J24" s="6"/>
    </row>
    <row r="25" spans="3:10" ht="12.75">
      <c r="C25" s="8" t="s">
        <v>7</v>
      </c>
      <c r="D25" s="8" t="s">
        <v>4</v>
      </c>
      <c r="E25" s="2">
        <f>'Regular Rate BD08'!E25</f>
        <v>411411.5887751572</v>
      </c>
      <c r="F25" s="9">
        <f>'Regular Rate BD08'!F25</f>
        <v>0.169</v>
      </c>
      <c r="G25" s="12">
        <f>E25*F25</f>
        <v>69528.55850300156</v>
      </c>
      <c r="H25" s="9">
        <v>0.159</v>
      </c>
      <c r="I25" s="12">
        <f>H25*E25</f>
        <v>65414.442615249995</v>
      </c>
      <c r="J25" s="6"/>
    </row>
    <row r="26" spans="3:10" ht="12.75">
      <c r="C26" s="8" t="s">
        <v>8</v>
      </c>
      <c r="D26" s="8" t="s">
        <v>4</v>
      </c>
      <c r="E26" s="2">
        <f>'Regular Rate BD08'!E26</f>
        <v>5740170.8189973235</v>
      </c>
      <c r="F26" s="9">
        <f>'Regular Rate BD08'!F26</f>
        <v>0.184</v>
      </c>
      <c r="G26" s="12">
        <f>E26*F26</f>
        <v>1056191.4306955074</v>
      </c>
      <c r="H26" s="9">
        <v>0.178</v>
      </c>
      <c r="I26" s="12">
        <f>H26*E26</f>
        <v>1021750.4057815236</v>
      </c>
      <c r="J26" s="6"/>
    </row>
    <row r="27" spans="1:10" ht="12.75">
      <c r="A27" s="8" t="s">
        <v>17</v>
      </c>
      <c r="B27" s="8"/>
      <c r="D27" s="8"/>
      <c r="J27" s="39"/>
    </row>
    <row r="28" spans="2:10" ht="12.75">
      <c r="B28" s="8" t="s">
        <v>19</v>
      </c>
      <c r="D28" s="8"/>
      <c r="J28" s="39"/>
    </row>
    <row r="29" spans="3:10" ht="12.75">
      <c r="C29" s="8" t="s">
        <v>20</v>
      </c>
      <c r="D29" s="8" t="s">
        <v>18</v>
      </c>
      <c r="E29" s="2">
        <f>'Regular Rate BD08'!E29+'Nonprofit BD08'!E23+'Classroom BD08'!E23</f>
        <v>22071018.936381135</v>
      </c>
      <c r="F29" s="9">
        <f>'Regular Rate BD08'!F29</f>
        <v>0.55</v>
      </c>
      <c r="G29" s="12">
        <f>E29*F29</f>
        <v>12139060.415009625</v>
      </c>
      <c r="H29" s="9">
        <v>0.606</v>
      </c>
      <c r="I29" s="12">
        <f>H29*E29</f>
        <v>13375037.475446967</v>
      </c>
      <c r="J29" s="6"/>
    </row>
    <row r="30" spans="3:10" ht="12.75">
      <c r="C30" s="8" t="s">
        <v>21</v>
      </c>
      <c r="D30" s="8" t="s">
        <v>18</v>
      </c>
      <c r="E30" s="2">
        <f>'Regular Rate BD08'!E30+'Nonprofit BD08'!E24+'Classroom BD08'!E24</f>
        <v>29783777.927241746</v>
      </c>
      <c r="F30" s="9">
        <f>'Regular Rate BD08'!F30</f>
        <v>0.444</v>
      </c>
      <c r="G30" s="12">
        <f>E30*F30</f>
        <v>13223997.399695335</v>
      </c>
      <c r="H30" s="9">
        <v>0.435</v>
      </c>
      <c r="I30" s="12">
        <f>H30*E30</f>
        <v>12955943.398350159</v>
      </c>
      <c r="J30" s="6"/>
    </row>
    <row r="31" spans="3:10" ht="12.75">
      <c r="C31" s="8" t="s">
        <v>22</v>
      </c>
      <c r="D31" s="8" t="s">
        <v>18</v>
      </c>
      <c r="E31" s="2">
        <f>'Regular Rate BD08'!E31+'Nonprofit BD08'!E25+'Classroom BD08'!E25</f>
        <v>4242871.615865112</v>
      </c>
      <c r="F31" s="9">
        <f>'Regular Rate BD08'!F31</f>
        <v>0.519</v>
      </c>
      <c r="G31" s="12">
        <f>E31*F31</f>
        <v>2202050.3686339934</v>
      </c>
      <c r="H31" s="9">
        <v>0.561</v>
      </c>
      <c r="I31" s="12">
        <f>H31*E31</f>
        <v>2380250.976500328</v>
      </c>
      <c r="J31" s="6"/>
    </row>
    <row r="32" spans="3:10" ht="12.75">
      <c r="C32" s="8" t="s">
        <v>23</v>
      </c>
      <c r="D32" s="8" t="s">
        <v>18</v>
      </c>
      <c r="E32" s="2">
        <f>'Regular Rate BD08'!E32+'Nonprofit BD08'!E26+'Classroom BD08'!E26</f>
        <v>40942400.89781436</v>
      </c>
      <c r="F32" s="9">
        <f>'Regular Rate BD08'!F32</f>
        <v>0.416</v>
      </c>
      <c r="G32" s="12">
        <f>E32*F32</f>
        <v>17032038.773490775</v>
      </c>
      <c r="H32" s="9">
        <v>0.403</v>
      </c>
      <c r="I32" s="12">
        <f>H32*E32</f>
        <v>16499787.56181919</v>
      </c>
      <c r="J32" s="6"/>
    </row>
    <row r="33" spans="3:10" ht="12.75">
      <c r="C33" s="8" t="s">
        <v>24</v>
      </c>
      <c r="D33" s="8" t="s">
        <v>18</v>
      </c>
      <c r="E33" s="2">
        <f>'Regular Rate BD08'!E33+'Nonprofit BD08'!E27+'Classroom BD08'!E27</f>
        <v>25644887.616899714</v>
      </c>
      <c r="F33" s="9">
        <f>'Regular Rate BD08'!F33</f>
        <v>0.337</v>
      </c>
      <c r="G33" s="12">
        <f>E33*F33</f>
        <v>8642327.126895204</v>
      </c>
      <c r="H33" s="9">
        <v>0.315</v>
      </c>
      <c r="I33" s="12">
        <f>H33*E33</f>
        <v>8078139.59932341</v>
      </c>
      <c r="J33" s="6"/>
    </row>
    <row r="34" spans="2:10" ht="12.75">
      <c r="B34" s="8" t="s">
        <v>25</v>
      </c>
      <c r="D34" s="8"/>
      <c r="E34" s="2"/>
      <c r="F34" s="9"/>
      <c r="H34" s="9"/>
      <c r="J34" s="39"/>
    </row>
    <row r="35" spans="3:10" ht="12.75">
      <c r="C35" s="8" t="s">
        <v>20</v>
      </c>
      <c r="D35" s="8" t="s">
        <v>18</v>
      </c>
      <c r="E35" s="2">
        <f>'Regular Rate BD08'!E35+'Nonprofit BD08'!E29+'Classroom BD08'!E29</f>
        <v>15181047.691287188</v>
      </c>
      <c r="F35" s="9">
        <f>'Regular Rate BD08'!F35</f>
        <v>0.445</v>
      </c>
      <c r="G35" s="12">
        <f>E35*F35</f>
        <v>6755566.222622799</v>
      </c>
      <c r="H35" s="9">
        <v>0.491</v>
      </c>
      <c r="I35" s="12">
        <f aca="true" t="shared" si="2" ref="I35:I57">H35*E35</f>
        <v>7453894.4164220095</v>
      </c>
      <c r="J35" s="6"/>
    </row>
    <row r="36" spans="3:10" ht="12.75">
      <c r="C36" s="8" t="s">
        <v>21</v>
      </c>
      <c r="D36" s="8" t="s">
        <v>18</v>
      </c>
      <c r="E36" s="2">
        <f>'Regular Rate BD08'!E36+'Nonprofit BD08'!E30+'Classroom BD08'!E30</f>
        <v>18660066.787663586</v>
      </c>
      <c r="F36" s="9">
        <f>'Regular Rate BD08'!F36</f>
        <v>0.381</v>
      </c>
      <c r="G36" s="12">
        <f>E36*F36</f>
        <v>7109485.446099826</v>
      </c>
      <c r="H36" s="9">
        <v>0.4</v>
      </c>
      <c r="I36" s="12">
        <f t="shared" si="2"/>
        <v>7464026.715065435</v>
      </c>
      <c r="J36" s="6"/>
    </row>
    <row r="37" spans="3:10" ht="12.75">
      <c r="C37" s="8" t="s">
        <v>22</v>
      </c>
      <c r="D37" s="8" t="s">
        <v>18</v>
      </c>
      <c r="E37" s="2">
        <f>'Regular Rate BD08'!E37+'Nonprofit BD08'!E31+'Classroom BD08'!E31</f>
        <v>6319322.237487466</v>
      </c>
      <c r="F37" s="9">
        <f>'Regular Rate BD08'!F37</f>
        <v>0.424</v>
      </c>
      <c r="G37" s="12">
        <f>E37*F37</f>
        <v>2679392.6286946856</v>
      </c>
      <c r="H37" s="9">
        <v>0.46699999999999997</v>
      </c>
      <c r="I37" s="12">
        <f t="shared" si="2"/>
        <v>2951123.4849066464</v>
      </c>
      <c r="J37" s="6"/>
    </row>
    <row r="38" spans="3:10" ht="12.75">
      <c r="C38" s="8" t="s">
        <v>23</v>
      </c>
      <c r="D38" s="8" t="s">
        <v>18</v>
      </c>
      <c r="E38" s="2">
        <f>'Regular Rate BD08'!E38+'Nonprofit BD08'!E32+'Classroom BD08'!E32</f>
        <v>74217594.78177293</v>
      </c>
      <c r="F38" s="9">
        <f>'Regular Rate BD08'!F38</f>
        <v>0.36</v>
      </c>
      <c r="G38" s="12">
        <f>E38*F38</f>
        <v>26718334.121438254</v>
      </c>
      <c r="H38" s="9">
        <v>0.377</v>
      </c>
      <c r="I38" s="12">
        <f t="shared" si="2"/>
        <v>27980033.232728392</v>
      </c>
      <c r="J38" s="6"/>
    </row>
    <row r="39" spans="3:10" ht="12.75">
      <c r="C39" s="8" t="s">
        <v>24</v>
      </c>
      <c r="D39" s="8" t="s">
        <v>18</v>
      </c>
      <c r="E39" s="2">
        <f>'Regular Rate BD08'!E39+'Nonprofit BD08'!E33+'Classroom BD08'!E33</f>
        <v>13156685.20148837</v>
      </c>
      <c r="F39" s="9">
        <f>'Regular Rate BD08'!F39</f>
        <v>0.298</v>
      </c>
      <c r="G39" s="12">
        <f>E39*F39</f>
        <v>3920692.190043534</v>
      </c>
      <c r="H39" s="9">
        <v>0.275</v>
      </c>
      <c r="I39" s="12">
        <f t="shared" si="2"/>
        <v>3618088.430409302</v>
      </c>
      <c r="J39" s="6"/>
    </row>
    <row r="40" spans="2:10" ht="12.75">
      <c r="B40" s="8" t="s">
        <v>26</v>
      </c>
      <c r="D40" s="8"/>
      <c r="E40" s="2"/>
      <c r="F40" s="9"/>
      <c r="H40" s="9"/>
      <c r="J40" s="39"/>
    </row>
    <row r="41" spans="3:10" ht="12.75">
      <c r="C41" s="8" t="s">
        <v>20</v>
      </c>
      <c r="D41" s="8" t="s">
        <v>18</v>
      </c>
      <c r="E41" s="2">
        <f>'Regular Rate BD08'!E41+'Nonprofit BD08'!E35+'Classroom BD08'!E35</f>
        <v>41896359.981096014</v>
      </c>
      <c r="F41" s="9">
        <f>'Regular Rate BD08'!F41</f>
        <v>0.384</v>
      </c>
      <c r="G41" s="12">
        <f>E41*F41</f>
        <v>16088202.23274087</v>
      </c>
      <c r="H41" s="9">
        <v>0.417</v>
      </c>
      <c r="I41" s="12">
        <f t="shared" si="2"/>
        <v>17470782.112117037</v>
      </c>
      <c r="J41" s="6"/>
    </row>
    <row r="42" spans="3:10" ht="12.75">
      <c r="C42" s="8" t="s">
        <v>21</v>
      </c>
      <c r="D42" s="8" t="s">
        <v>18</v>
      </c>
      <c r="E42" s="2">
        <f>'Regular Rate BD08'!E42+'Nonprofit BD08'!E36+'Classroom BD08'!E36</f>
        <v>73845852.26371977</v>
      </c>
      <c r="F42" s="9">
        <f>'Regular Rate BD08'!F42</f>
        <v>0.358</v>
      </c>
      <c r="G42" s="12">
        <f>E42*F42</f>
        <v>26436815.110411674</v>
      </c>
      <c r="H42" s="9">
        <v>0.383</v>
      </c>
      <c r="I42" s="12">
        <f t="shared" si="2"/>
        <v>28282961.41700467</v>
      </c>
      <c r="J42" s="6"/>
    </row>
    <row r="43" spans="3:10" ht="12.75">
      <c r="C43" s="8" t="s">
        <v>22</v>
      </c>
      <c r="D43" s="8" t="s">
        <v>18</v>
      </c>
      <c r="E43" s="2">
        <f>'Regular Rate BD08'!E43+'Nonprofit BD08'!E37+'Classroom BD08'!E37</f>
        <v>46503420.0933868</v>
      </c>
      <c r="F43" s="9">
        <f>'Regular Rate BD08'!F43</f>
        <v>0.373</v>
      </c>
      <c r="G43" s="12">
        <f>E43*F43</f>
        <v>17345775.694833275</v>
      </c>
      <c r="H43" s="9">
        <v>0.407</v>
      </c>
      <c r="I43" s="12">
        <f t="shared" si="2"/>
        <v>18926891.978008427</v>
      </c>
      <c r="J43" s="6"/>
    </row>
    <row r="44" spans="3:10" ht="12.75">
      <c r="C44" s="8" t="s">
        <v>23</v>
      </c>
      <c r="D44" s="8" t="s">
        <v>18</v>
      </c>
      <c r="E44" s="2">
        <f>'Regular Rate BD08'!E44+'Nonprofit BD08'!E38+'Classroom BD08'!E38</f>
        <v>768465235.3758347</v>
      </c>
      <c r="F44" s="9">
        <f>'Regular Rate BD08'!F44</f>
        <v>0.341</v>
      </c>
      <c r="G44" s="12">
        <f>E44*F44</f>
        <v>262046645.26315966</v>
      </c>
      <c r="H44" s="9">
        <v>0.362</v>
      </c>
      <c r="I44" s="12">
        <f t="shared" si="2"/>
        <v>278184415.2060521</v>
      </c>
      <c r="J44" s="6"/>
    </row>
    <row r="45" spans="3:10" ht="12.75">
      <c r="C45" s="8" t="s">
        <v>24</v>
      </c>
      <c r="D45" s="8" t="s">
        <v>18</v>
      </c>
      <c r="E45" s="2">
        <f>'Regular Rate BD08'!E45+'Nonprofit BD08'!E39+'Classroom BD08'!E39</f>
        <v>21899995.121093944</v>
      </c>
      <c r="F45" s="9">
        <f>'Regular Rate BD08'!F45</f>
        <v>0.283</v>
      </c>
      <c r="G45" s="12">
        <f>E45*F45</f>
        <v>6197698.619269585</v>
      </c>
      <c r="H45" s="9">
        <v>0.255</v>
      </c>
      <c r="I45" s="12">
        <f t="shared" si="2"/>
        <v>5584498.755878956</v>
      </c>
      <c r="J45" s="6"/>
    </row>
    <row r="46" spans="2:10" ht="12.75">
      <c r="B46" s="8" t="s">
        <v>27</v>
      </c>
      <c r="D46" s="8"/>
      <c r="E46" s="2"/>
      <c r="F46" s="9"/>
      <c r="H46" s="9"/>
      <c r="J46" s="39"/>
    </row>
    <row r="47" spans="3:10" ht="12.75">
      <c r="C47" s="8" t="s">
        <v>20</v>
      </c>
      <c r="D47" s="8" t="s">
        <v>18</v>
      </c>
      <c r="E47" s="2">
        <f>'Regular Rate BD08'!E47+'Nonprofit BD08'!E41+'Classroom BD08'!E41</f>
        <v>45207943.7881452</v>
      </c>
      <c r="F47" s="9">
        <f>'Regular Rate BD08'!F47</f>
        <v>0.298</v>
      </c>
      <c r="G47" s="12">
        <f>E47*F47</f>
        <v>13471967.24886727</v>
      </c>
      <c r="H47" s="9">
        <v>0.301</v>
      </c>
      <c r="I47" s="12">
        <f t="shared" si="2"/>
        <v>13607591.080231704</v>
      </c>
      <c r="J47" s="6"/>
    </row>
    <row r="48" spans="3:10" ht="12.75">
      <c r="C48" s="8" t="s">
        <v>21</v>
      </c>
      <c r="D48" s="8" t="s">
        <v>18</v>
      </c>
      <c r="E48" s="2">
        <f>'Regular Rate BD08'!E48+'Nonprofit BD08'!E42+'Classroom BD08'!E42</f>
        <v>131615572.38004558</v>
      </c>
      <c r="F48" s="9">
        <f>'Regular Rate BD08'!F48</f>
        <v>0.284</v>
      </c>
      <c r="G48" s="12">
        <f>E48*F48</f>
        <v>37378822.55593294</v>
      </c>
      <c r="H48" s="9">
        <v>0.286</v>
      </c>
      <c r="I48" s="12">
        <f t="shared" si="2"/>
        <v>37642053.70069303</v>
      </c>
      <c r="J48" s="6"/>
    </row>
    <row r="49" spans="3:10" ht="12.75">
      <c r="C49" s="8" t="s">
        <v>22</v>
      </c>
      <c r="D49" s="8" t="s">
        <v>18</v>
      </c>
      <c r="E49" s="2">
        <f>'Regular Rate BD08'!E49+'Nonprofit BD08'!E43+'Classroom BD08'!E43</f>
        <v>9547297.832366025</v>
      </c>
      <c r="F49" s="9">
        <f>'Regular Rate BD08'!F49</f>
        <v>0.293</v>
      </c>
      <c r="G49" s="12">
        <f>E49*F49</f>
        <v>2797358.2648832453</v>
      </c>
      <c r="H49" s="9">
        <v>0.3</v>
      </c>
      <c r="I49" s="12">
        <f t="shared" si="2"/>
        <v>2864189.3497098074</v>
      </c>
      <c r="J49" s="6"/>
    </row>
    <row r="50" spans="3:10" ht="12.75">
      <c r="C50" s="8" t="s">
        <v>23</v>
      </c>
      <c r="D50" s="8" t="s">
        <v>18</v>
      </c>
      <c r="E50" s="2">
        <f>'Regular Rate BD08'!E50+'Nonprofit BD08'!E44+'Classroom BD08'!E44</f>
        <v>2301855942.5111785</v>
      </c>
      <c r="F50" s="9">
        <f>'Regular Rate BD08'!F50</f>
        <v>0.276</v>
      </c>
      <c r="G50" s="12">
        <f>E50*F50</f>
        <v>635312240.1330854</v>
      </c>
      <c r="H50" s="9">
        <v>0.276</v>
      </c>
      <c r="I50" s="12">
        <f t="shared" si="2"/>
        <v>635312240.1330854</v>
      </c>
      <c r="J50" s="6"/>
    </row>
    <row r="51" spans="3:10" ht="12.75">
      <c r="C51" s="8" t="s">
        <v>24</v>
      </c>
      <c r="D51" s="8" t="s">
        <v>18</v>
      </c>
      <c r="E51" s="2">
        <f>'Regular Rate BD08'!E51+'Nonprofit BD08'!E45+'Classroom BD08'!E45</f>
        <v>1762624.0762794816</v>
      </c>
      <c r="F51" s="9">
        <f>'Regular Rate BD08'!F51</f>
        <v>0.217</v>
      </c>
      <c r="G51" s="12">
        <f>E51*F51</f>
        <v>382489.4245526475</v>
      </c>
      <c r="H51" s="9">
        <v>0.195</v>
      </c>
      <c r="I51" s="12">
        <f t="shared" si="2"/>
        <v>343711.69487449893</v>
      </c>
      <c r="J51" s="6"/>
    </row>
    <row r="52" spans="2:10" ht="12.75">
      <c r="B52" s="8" t="s">
        <v>28</v>
      </c>
      <c r="D52" s="8"/>
      <c r="E52" s="2"/>
      <c r="F52" s="9"/>
      <c r="H52" s="9"/>
      <c r="J52" s="39"/>
    </row>
    <row r="53" spans="3:12" ht="12.75">
      <c r="C53" s="8" t="s">
        <v>29</v>
      </c>
      <c r="D53" s="8" t="s">
        <v>18</v>
      </c>
      <c r="E53" s="2">
        <f>'Regular Rate BD08'!E53+'Nonprofit BD08'!E47+'Classroom BD08'!E47</f>
        <v>3811226750.5425</v>
      </c>
      <c r="F53" s="9">
        <f>'Regular Rate BD08'!F53</f>
        <v>0.174</v>
      </c>
      <c r="G53" s="12">
        <f>E53*F53</f>
        <v>663153454.5943949</v>
      </c>
      <c r="H53" s="9">
        <v>0.178</v>
      </c>
      <c r="I53" s="12">
        <f t="shared" si="2"/>
        <v>678398361.596565</v>
      </c>
      <c r="J53" s="6"/>
      <c r="K53" s="43"/>
      <c r="L53" s="44">
        <f>H53-H50</f>
        <v>-0.09800000000000003</v>
      </c>
    </row>
    <row r="54" spans="3:10" ht="12.75">
      <c r="C54" s="8" t="s">
        <v>30</v>
      </c>
      <c r="D54" s="8" t="s">
        <v>18</v>
      </c>
      <c r="E54" s="2">
        <f>'Regular Rate BD08'!E54+'Nonprofit BD08'!E48+'Classroom BD08'!E48</f>
        <v>172452450.48852533</v>
      </c>
      <c r="F54" s="9">
        <f>'Regular Rate BD08'!F54</f>
        <v>0.153</v>
      </c>
      <c r="G54" s="12">
        <f>E54*F54</f>
        <v>26385224.924744375</v>
      </c>
      <c r="H54" s="9">
        <v>0.151</v>
      </c>
      <c r="I54" s="12">
        <f t="shared" si="2"/>
        <v>26040320.023767326</v>
      </c>
      <c r="J54" s="6"/>
    </row>
    <row r="55" spans="3:10" ht="12.75">
      <c r="C55" s="8" t="s">
        <v>31</v>
      </c>
      <c r="D55" s="8" t="s">
        <v>18</v>
      </c>
      <c r="E55" s="2">
        <f>'Regular Rate BD08'!E55+'Nonprofit BD08'!E49+'Classroom BD08'!E49</f>
        <v>55411226.42628051</v>
      </c>
      <c r="F55" s="9">
        <f>'Regular Rate BD08'!F55</f>
        <v>0.135</v>
      </c>
      <c r="G55" s="12">
        <f>E55*F55</f>
        <v>7480515.56754787</v>
      </c>
      <c r="H55" s="9">
        <v>0.132</v>
      </c>
      <c r="I55" s="12">
        <f t="shared" si="2"/>
        <v>7314281.888269028</v>
      </c>
      <c r="J55" s="6"/>
    </row>
    <row r="56" spans="3:11" ht="12.75">
      <c r="C56" s="8" t="s">
        <v>32</v>
      </c>
      <c r="D56" s="8" t="s">
        <v>18</v>
      </c>
      <c r="E56" s="2">
        <f>'Regular Rate BD08'!E56+'Nonprofit BD08'!E50+'Classroom BD08'!E50</f>
        <v>42429087.42564618</v>
      </c>
      <c r="F56" s="9">
        <f>'Regular Rate BD08'!F56</f>
        <v>0.174</v>
      </c>
      <c r="G56" s="12">
        <f>E56*F56</f>
        <v>7382661.212062434</v>
      </c>
      <c r="H56" s="9">
        <v>0.178</v>
      </c>
      <c r="I56" s="12">
        <f t="shared" si="2"/>
        <v>7552377.56176502</v>
      </c>
      <c r="J56" s="6"/>
      <c r="K56" s="44"/>
    </row>
    <row r="57" spans="3:10" ht="12.75">
      <c r="C57" s="8" t="s">
        <v>33</v>
      </c>
      <c r="D57" s="8" t="s">
        <v>34</v>
      </c>
      <c r="E57" s="2">
        <f>'Regular Rate BD08'!E57+'Nonprofit BD08'!E51+'Classroom BD08'!E51</f>
        <v>4867814806.488644</v>
      </c>
      <c r="F57" s="9">
        <f>'Regular Rate BD08'!F57</f>
        <v>-0.094</v>
      </c>
      <c r="G57" s="12">
        <f>E57*F57</f>
        <v>-457574591.80993253</v>
      </c>
      <c r="H57" s="9">
        <v>-0.098</v>
      </c>
      <c r="I57" s="12">
        <f t="shared" si="2"/>
        <v>-477045851.0358871</v>
      </c>
      <c r="J57" s="6"/>
    </row>
    <row r="58" spans="1:10" ht="12.75">
      <c r="A58" s="8" t="s">
        <v>35</v>
      </c>
      <c r="D58" s="8"/>
      <c r="E58" s="2"/>
      <c r="J58" s="39"/>
    </row>
    <row r="59" spans="2:10" ht="12.75">
      <c r="B59" s="8" t="s">
        <v>37</v>
      </c>
      <c r="D59" s="8"/>
      <c r="E59" s="2"/>
      <c r="J59" s="39"/>
    </row>
    <row r="60" spans="3:10" ht="12.75">
      <c r="C60" s="8" t="s">
        <v>38</v>
      </c>
      <c r="D60" s="8" t="s">
        <v>36</v>
      </c>
      <c r="E60" s="2">
        <f>'Regular Rate BD08'!E60+'Nonprofit BD08'!E54+'Classroom BD08'!E54</f>
        <v>6888305.670687503</v>
      </c>
      <c r="F60" s="9">
        <f>'Regular Rate BD08'!F60</f>
        <v>0.103</v>
      </c>
      <c r="G60" s="12">
        <f>E60*F60</f>
        <v>709495.4840808128</v>
      </c>
      <c r="H60" s="9">
        <v>0.077</v>
      </c>
      <c r="I60" s="12">
        <f>H60*E60</f>
        <v>530399.5366429377</v>
      </c>
      <c r="J60" s="6"/>
    </row>
    <row r="61" spans="3:10" ht="12.75">
      <c r="C61" s="8" t="s">
        <v>39</v>
      </c>
      <c r="D61" s="8" t="s">
        <v>36</v>
      </c>
      <c r="E61" s="2">
        <f>'Regular Rate BD08'!E61+'Nonprofit BD08'!E55+'Classroom BD08'!E55</f>
        <v>6639317.774864174</v>
      </c>
      <c r="F61" s="9">
        <f>'Regular Rate BD08'!F61</f>
        <v>0.133</v>
      </c>
      <c r="G61" s="12">
        <f>E61*F61</f>
        <v>883029.2640569352</v>
      </c>
      <c r="H61" s="9">
        <v>0.201</v>
      </c>
      <c r="I61" s="12">
        <f>H61*E61</f>
        <v>1334502.872747699</v>
      </c>
      <c r="J61" s="6"/>
    </row>
    <row r="62" spans="3:10" ht="12.75">
      <c r="C62" s="8" t="s">
        <v>40</v>
      </c>
      <c r="D62" s="8" t="s">
        <v>36</v>
      </c>
      <c r="E62" s="2">
        <f>'Regular Rate BD08'!E62+'Nonprofit BD08'!E56+'Classroom BD08'!E56</f>
        <v>6077105.360029828</v>
      </c>
      <c r="F62" s="9">
        <f>'Regular Rate BD08'!F62</f>
        <v>0.138</v>
      </c>
      <c r="G62" s="12">
        <f>E62*F62</f>
        <v>838640.5396841163</v>
      </c>
      <c r="H62" s="9">
        <v>0.267</v>
      </c>
      <c r="I62" s="12">
        <f>H62*E62</f>
        <v>1622587.131127964</v>
      </c>
      <c r="J62" s="6"/>
    </row>
    <row r="63" spans="3:10" ht="12.75">
      <c r="C63" s="8" t="s">
        <v>41</v>
      </c>
      <c r="D63" s="8" t="s">
        <v>36</v>
      </c>
      <c r="E63" s="2">
        <f>'Regular Rate BD08'!E63+'Nonprofit BD08'!E57+'Classroom BD08'!E57</f>
        <v>1737815.6991430938</v>
      </c>
      <c r="F63" s="9">
        <f>'Regular Rate BD08'!F63</f>
        <v>0.166</v>
      </c>
      <c r="G63" s="12">
        <f>E63*F63</f>
        <v>288477.4060577536</v>
      </c>
      <c r="H63" s="9">
        <v>0.276</v>
      </c>
      <c r="I63" s="12">
        <f>H63*E63</f>
        <v>479637.13296349393</v>
      </c>
      <c r="J63" s="6"/>
    </row>
    <row r="64" spans="3:10" ht="12.75">
      <c r="C64" s="8" t="s">
        <v>32</v>
      </c>
      <c r="D64" s="8" t="s">
        <v>36</v>
      </c>
      <c r="E64" s="2">
        <f>'Regular Rate BD08'!E64+'Nonprofit BD08'!E58+'Classroom BD08'!E58</f>
        <v>5220843.9804848805</v>
      </c>
      <c r="F64" s="9">
        <f>'Regular Rate BD08'!F64</f>
        <v>0.081</v>
      </c>
      <c r="G64" s="12">
        <f>E64*F64</f>
        <v>422888.36241927533</v>
      </c>
      <c r="H64" s="9">
        <v>0.179</v>
      </c>
      <c r="I64" s="12">
        <f>H64*E64</f>
        <v>934531.0725067935</v>
      </c>
      <c r="J64" s="6"/>
    </row>
    <row r="65" spans="2:10" ht="12.75">
      <c r="B65" s="8" t="s">
        <v>42</v>
      </c>
      <c r="D65" s="8"/>
      <c r="E65" s="2"/>
      <c r="F65" s="9"/>
      <c r="H65" s="9"/>
      <c r="J65" s="39"/>
    </row>
    <row r="66" spans="3:10" ht="12.75">
      <c r="C66" s="8" t="s">
        <v>39</v>
      </c>
      <c r="D66" s="8" t="s">
        <v>36</v>
      </c>
      <c r="E66" s="2">
        <f>'Regular Rate BD08'!E66+'Nonprofit BD08'!E60+'Classroom BD08'!E60</f>
        <v>4876629.050161298</v>
      </c>
      <c r="F66" s="9">
        <f>'Regular Rate BD08'!F66</f>
        <v>0.039</v>
      </c>
      <c r="G66" s="12">
        <f>E66*F66</f>
        <v>190188.53295629064</v>
      </c>
      <c r="H66" s="9">
        <v>0.111</v>
      </c>
      <c r="I66" s="12">
        <f>H66*E66</f>
        <v>541305.8245679041</v>
      </c>
      <c r="J66" s="6"/>
    </row>
    <row r="67" spans="3:10" ht="12.75">
      <c r="C67" s="8" t="s">
        <v>40</v>
      </c>
      <c r="D67" s="8" t="s">
        <v>36</v>
      </c>
      <c r="E67" s="2">
        <f>'Regular Rate BD08'!E67+'Nonprofit BD08'!E61+'Classroom BD08'!E61</f>
        <v>24181156.042961847</v>
      </c>
      <c r="F67" s="9">
        <f>'Regular Rate BD08'!F67</f>
        <v>0.065</v>
      </c>
      <c r="G67" s="12">
        <f>E67*F67</f>
        <v>1571775.14279252</v>
      </c>
      <c r="H67" s="9">
        <v>0.183</v>
      </c>
      <c r="I67" s="12">
        <f>H67*E67</f>
        <v>4425151.555862018</v>
      </c>
      <c r="J67" s="6"/>
    </row>
    <row r="68" spans="3:10" ht="12.75">
      <c r="C68" s="8" t="s">
        <v>41</v>
      </c>
      <c r="D68" s="8" t="s">
        <v>36</v>
      </c>
      <c r="E68" s="2">
        <f>'Regular Rate BD08'!E68+'Nonprofit BD08'!E62+'Classroom BD08'!E62</f>
        <v>43966671.8682434</v>
      </c>
      <c r="F68" s="9">
        <f>'Regular Rate BD08'!F68</f>
        <v>0.098</v>
      </c>
      <c r="G68" s="12">
        <f>E68*F68</f>
        <v>4308733.843087853</v>
      </c>
      <c r="H68" s="9">
        <v>0.19899999999999998</v>
      </c>
      <c r="I68" s="12">
        <f>H68*E68</f>
        <v>8749367.701780435</v>
      </c>
      <c r="J68" s="6"/>
    </row>
    <row r="69" spans="3:10" ht="12.75">
      <c r="C69" s="8" t="s">
        <v>43</v>
      </c>
      <c r="D69" s="8" t="s">
        <v>36</v>
      </c>
      <c r="E69" s="2">
        <f>'Regular Rate BD08'!E69+'Nonprofit BD08'!E63+'Classroom BD08'!E63</f>
        <v>20003938.06534315</v>
      </c>
      <c r="F69" s="9">
        <f>'Regular Rate BD08'!F69</f>
        <v>0.107</v>
      </c>
      <c r="G69" s="12">
        <f>E69*F69</f>
        <v>2140421.372991717</v>
      </c>
      <c r="H69" s="9">
        <v>0.314</v>
      </c>
      <c r="I69" s="12">
        <f>H69*E69</f>
        <v>6281236.552517748</v>
      </c>
      <c r="J69" s="6"/>
    </row>
    <row r="70" spans="3:10" ht="12.75">
      <c r="C70" s="8" t="s">
        <v>32</v>
      </c>
      <c r="D70" s="8" t="s">
        <v>36</v>
      </c>
      <c r="E70" s="2">
        <f>'Regular Rate BD08'!E70+'Nonprofit BD08'!E64+'Classroom BD08'!E64</f>
        <v>12257138.44817029</v>
      </c>
      <c r="F70" s="9">
        <f>'Regular Rate BD08'!F70</f>
        <v>0.049</v>
      </c>
      <c r="G70" s="12">
        <f>E70*F70</f>
        <v>600599.7839603442</v>
      </c>
      <c r="H70" s="9">
        <v>0.149</v>
      </c>
      <c r="I70" s="12">
        <f>H70*E70</f>
        <v>1826313.6287773731</v>
      </c>
      <c r="J70" s="6"/>
    </row>
    <row r="71" spans="2:10" ht="12.75">
      <c r="B71" s="8" t="s">
        <v>44</v>
      </c>
      <c r="D71" s="8"/>
      <c r="E71" s="2"/>
      <c r="F71" s="9"/>
      <c r="H71" s="9"/>
      <c r="J71" s="39"/>
    </row>
    <row r="72" spans="3:10" ht="12.75">
      <c r="C72" s="8" t="s">
        <v>40</v>
      </c>
      <c r="D72" s="8" t="s">
        <v>36</v>
      </c>
      <c r="E72" s="2">
        <f>'Regular Rate BD08'!E72+'Nonprofit BD08'!E66+'Classroom BD08'!E66</f>
        <v>31164015.017705236</v>
      </c>
      <c r="F72" s="9">
        <f>'Regular Rate BD08'!F72</f>
        <v>0.04</v>
      </c>
      <c r="G72" s="12">
        <f>E72*F72</f>
        <v>1246560.6007082094</v>
      </c>
      <c r="H72" s="9">
        <v>0.125</v>
      </c>
      <c r="I72" s="12">
        <f>H72*E72</f>
        <v>3895501.8772131545</v>
      </c>
      <c r="J72" s="6"/>
    </row>
    <row r="73" spans="3:10" ht="12.75">
      <c r="C73" s="8" t="s">
        <v>41</v>
      </c>
      <c r="D73" s="8" t="s">
        <v>36</v>
      </c>
      <c r="E73" s="2">
        <f>'Regular Rate BD08'!E73+'Nonprofit BD08'!E67+'Classroom BD08'!E67</f>
        <v>115631090.37729175</v>
      </c>
      <c r="F73" s="9">
        <f>'Regular Rate BD08'!F73</f>
        <v>0.086</v>
      </c>
      <c r="G73" s="12">
        <f>E73*F73</f>
        <v>9944273.77244709</v>
      </c>
      <c r="H73" s="9">
        <v>0.145</v>
      </c>
      <c r="I73" s="12">
        <f>H73*E73</f>
        <v>16766508.104707303</v>
      </c>
      <c r="J73" s="6"/>
    </row>
    <row r="74" spans="3:10" ht="12.75">
      <c r="C74" s="8" t="s">
        <v>43</v>
      </c>
      <c r="D74" s="8" t="s">
        <v>36</v>
      </c>
      <c r="E74" s="2">
        <f>'Regular Rate BD08'!E74+'Nonprofit BD08'!E68+'Classroom BD08'!E68</f>
        <v>252378352.59122768</v>
      </c>
      <c r="F74" s="9">
        <f>'Regular Rate BD08'!F74</f>
        <v>0.098</v>
      </c>
      <c r="G74" s="12">
        <f>E74*F74</f>
        <v>24733078.553940315</v>
      </c>
      <c r="H74" s="9">
        <v>0.27899999999999997</v>
      </c>
      <c r="I74" s="12">
        <f>H74*E74</f>
        <v>70413560.37295252</v>
      </c>
      <c r="J74" s="6"/>
    </row>
    <row r="75" spans="3:10" ht="12.75">
      <c r="C75" s="8" t="s">
        <v>32</v>
      </c>
      <c r="D75" s="8" t="s">
        <v>36</v>
      </c>
      <c r="E75" s="2">
        <f>'Regular Rate BD08'!E75+'Nonprofit BD08'!E69+'Classroom BD08'!E69</f>
        <v>18525102.059700165</v>
      </c>
      <c r="F75" s="9">
        <f>'Regular Rate BD08'!F75</f>
        <v>0.046</v>
      </c>
      <c r="G75" s="12">
        <f>E75*F75</f>
        <v>852154.6947462076</v>
      </c>
      <c r="H75" s="9">
        <v>0.13699999999999998</v>
      </c>
      <c r="I75" s="12">
        <f>H75*E75</f>
        <v>2537938.9821789223</v>
      </c>
      <c r="J75" s="6"/>
    </row>
    <row r="76" spans="2:10" ht="12.75">
      <c r="B76" s="8" t="s">
        <v>45</v>
      </c>
      <c r="D76" s="8"/>
      <c r="E76" s="2"/>
      <c r="F76" s="9"/>
      <c r="H76" s="9"/>
      <c r="J76" s="39"/>
    </row>
    <row r="77" spans="3:10" ht="12.75">
      <c r="C77" s="8" t="s">
        <v>41</v>
      </c>
      <c r="D77" s="8" t="s">
        <v>36</v>
      </c>
      <c r="E77" s="2">
        <f>'Regular Rate BD08'!E77+'Nonprofit BD08'!E71+'Classroom BD08'!E71</f>
        <v>8235205.329711204</v>
      </c>
      <c r="F77" s="9">
        <f>'Regular Rate BD08'!F77</f>
        <v>0.008</v>
      </c>
      <c r="G77" s="12">
        <f>E77*F77</f>
        <v>65881.64263768964</v>
      </c>
      <c r="H77" s="9">
        <v>0.14</v>
      </c>
      <c r="I77" s="12">
        <f>H77*E77</f>
        <v>1152928.7461595687</v>
      </c>
      <c r="J77" s="6"/>
    </row>
    <row r="78" spans="3:10" ht="12.75">
      <c r="C78" s="8" t="s">
        <v>43</v>
      </c>
      <c r="D78" s="8" t="s">
        <v>36</v>
      </c>
      <c r="E78" s="2">
        <f>'Regular Rate BD08'!E78+'Nonprofit BD08'!E72+'Classroom BD08'!E72</f>
        <v>43549102.216210715</v>
      </c>
      <c r="F78" s="9">
        <f>'Regular Rate BD08'!F78</f>
        <v>0.04</v>
      </c>
      <c r="G78" s="12">
        <f>E78*F78</f>
        <v>1741964.0886484287</v>
      </c>
      <c r="H78" s="9">
        <v>0.147</v>
      </c>
      <c r="I78" s="12">
        <f>H78*E78</f>
        <v>6401718.025782974</v>
      </c>
      <c r="J78" s="6"/>
    </row>
    <row r="79" spans="3:10" ht="12.75">
      <c r="C79" s="8" t="s">
        <v>32</v>
      </c>
      <c r="D79" s="8" t="s">
        <v>36</v>
      </c>
      <c r="E79" s="2">
        <f>'Regular Rate BD08'!E79+'Nonprofit BD08'!E73+'Classroom BD08'!E73</f>
        <v>2003796.1600239791</v>
      </c>
      <c r="F79" s="9">
        <f>'Regular Rate BD08'!F79</f>
        <v>0.028</v>
      </c>
      <c r="G79" s="12">
        <f>E79*F79</f>
        <v>56106.292480671415</v>
      </c>
      <c r="H79" s="9">
        <v>0.077</v>
      </c>
      <c r="I79" s="12">
        <f>H79*E79</f>
        <v>154292.3043218464</v>
      </c>
      <c r="J79" s="6"/>
    </row>
    <row r="80" spans="1:10" ht="12.75">
      <c r="A80" s="10" t="s">
        <v>46</v>
      </c>
      <c r="D80" s="8"/>
      <c r="E80" s="2"/>
      <c r="J80" s="39"/>
    </row>
    <row r="81" spans="2:10" ht="12.75">
      <c r="B81" s="8" t="s">
        <v>37</v>
      </c>
      <c r="D81" s="8"/>
      <c r="E81" s="2"/>
      <c r="J81" s="39"/>
    </row>
    <row r="82" spans="3:10" ht="12.75">
      <c r="C82" s="8" t="s">
        <v>48</v>
      </c>
      <c r="D82" s="8" t="s">
        <v>47</v>
      </c>
      <c r="E82" s="2">
        <f>'Regular Rate BD08'!E82+'Nonprofit BD08'!E76+'Classroom BD08'!E76</f>
        <v>1239634.0856029585</v>
      </c>
      <c r="F82" s="9">
        <f>'Regular Rate BD08'!F82</f>
        <v>0.432</v>
      </c>
      <c r="G82" s="12">
        <f>E82*F82</f>
        <v>535521.924980478</v>
      </c>
      <c r="H82" s="9">
        <v>0.42</v>
      </c>
      <c r="I82" s="12">
        <f>H82*E82</f>
        <v>520646.31595324253</v>
      </c>
      <c r="J82" s="6"/>
    </row>
    <row r="83" spans="3:10" ht="12.75">
      <c r="C83" s="8" t="s">
        <v>49</v>
      </c>
      <c r="D83" s="8" t="s">
        <v>47</v>
      </c>
      <c r="E83" s="2">
        <f>'Regular Rate BD08'!E83+'Nonprofit BD08'!E77+'Classroom BD08'!E77</f>
        <v>4747496.9796612095</v>
      </c>
      <c r="F83" s="9">
        <f>'Regular Rate BD08'!F83</f>
        <v>0.432</v>
      </c>
      <c r="G83" s="12">
        <f>E83*F83</f>
        <v>2050918.6952136424</v>
      </c>
      <c r="H83" s="9">
        <v>0.42</v>
      </c>
      <c r="I83" s="12">
        <f>H83*E83</f>
        <v>1993948.731457708</v>
      </c>
      <c r="J83" s="6"/>
    </row>
    <row r="84" spans="2:10" ht="12.75">
      <c r="B84" s="8" t="s">
        <v>50</v>
      </c>
      <c r="D84" s="8"/>
      <c r="E84" s="2"/>
      <c r="F84" s="9"/>
      <c r="H84" s="9"/>
      <c r="J84" s="39"/>
    </row>
    <row r="85" spans="3:10" ht="12.75">
      <c r="C85" s="8" t="s">
        <v>48</v>
      </c>
      <c r="D85" s="8" t="s">
        <v>47</v>
      </c>
      <c r="E85" s="1">
        <f>'Regular Rate BD08'!E85+'Nonprofit BD08'!E79+'Classroom BD08'!E79</f>
        <v>930861.8346255594</v>
      </c>
      <c r="F85" s="9">
        <f>'Regular Rate BD08'!F85</f>
        <v>1.853</v>
      </c>
      <c r="G85" s="12">
        <f>E85*F85</f>
        <v>1724886.9795611615</v>
      </c>
      <c r="H85" s="9">
        <v>2.01</v>
      </c>
      <c r="I85" s="12">
        <f>H85*E85</f>
        <v>1871032.2875973743</v>
      </c>
      <c r="J85" s="6"/>
    </row>
    <row r="86" spans="3:10" ht="12.75">
      <c r="C86" s="8" t="s">
        <v>49</v>
      </c>
      <c r="D86" s="8" t="s">
        <v>47</v>
      </c>
      <c r="E86" s="1">
        <f>'Regular Rate BD08'!E86+'Nonprofit BD08'!E80+'Classroom BD08'!E80</f>
        <v>128372.36744296482</v>
      </c>
      <c r="F86" s="9">
        <f>'Regular Rate BD08'!F86</f>
        <v>1.853</v>
      </c>
      <c r="G86" s="12">
        <f>E86*F86</f>
        <v>237873.9968718138</v>
      </c>
      <c r="H86" s="9">
        <v>2.01</v>
      </c>
      <c r="I86" s="12">
        <f>H86*E86</f>
        <v>258028.45856035926</v>
      </c>
      <c r="J86" s="6"/>
    </row>
    <row r="87" spans="3:10" ht="12.75">
      <c r="C87" s="8" t="s">
        <v>51</v>
      </c>
      <c r="D87" s="8" t="s">
        <v>47</v>
      </c>
      <c r="E87" s="2">
        <f>'Regular Rate BD08'!E87+'Nonprofit BD08'!E81+'Classroom BD08'!E81</f>
        <v>3394192.441968385</v>
      </c>
      <c r="F87" s="9">
        <f>'Regular Rate BD08'!F87</f>
        <v>1.853</v>
      </c>
      <c r="G87" s="12">
        <f>E87*F87</f>
        <v>6289438.594967417</v>
      </c>
      <c r="H87" s="9">
        <v>2.01</v>
      </c>
      <c r="I87" s="12">
        <f>H87*E87</f>
        <v>6822326.808356454</v>
      </c>
      <c r="J87" s="6"/>
    </row>
    <row r="88" spans="3:10" ht="12.75">
      <c r="C88" s="8" t="s">
        <v>52</v>
      </c>
      <c r="D88" s="8" t="s">
        <v>47</v>
      </c>
      <c r="E88" s="2">
        <f>'Regular Rate BD08'!E88+'Nonprofit BD08'!E82+'Classroom BD08'!E82</f>
        <v>5276.428421782453</v>
      </c>
      <c r="F88" s="9">
        <f>'Regular Rate BD08'!F88</f>
        <v>1.1320000000000001</v>
      </c>
      <c r="G88" s="12">
        <f>E88*F88</f>
        <v>5972.916973457738</v>
      </c>
      <c r="H88" s="9">
        <v>1.4</v>
      </c>
      <c r="I88" s="12">
        <f>H88*E88</f>
        <v>7386.999790495434</v>
      </c>
      <c r="J88" s="6"/>
    </row>
    <row r="89" spans="3:10" ht="12.75">
      <c r="C89" s="8" t="s">
        <v>53</v>
      </c>
      <c r="D89" s="8" t="s">
        <v>47</v>
      </c>
      <c r="E89" s="2">
        <f>'Regular Rate BD08'!E89+'Nonprofit BD08'!E83+'Classroom BD08'!E83</f>
        <v>77913.95472962434</v>
      </c>
      <c r="F89" s="9">
        <f>'Regular Rate BD08'!F89</f>
        <v>0.618</v>
      </c>
      <c r="G89" s="12">
        <f>E89*F89</f>
        <v>48150.824022907844</v>
      </c>
      <c r="H89" s="9">
        <v>0.8</v>
      </c>
      <c r="I89" s="12">
        <f>H89*E89</f>
        <v>62331.16378369948</v>
      </c>
      <c r="J89" s="6"/>
    </row>
    <row r="90" spans="2:10" ht="12.75">
      <c r="B90" s="8" t="s">
        <v>54</v>
      </c>
      <c r="D90" s="8"/>
      <c r="E90" s="2"/>
      <c r="F90" s="9"/>
      <c r="H90" s="9"/>
      <c r="J90" s="39"/>
    </row>
    <row r="91" spans="3:10" ht="12.75">
      <c r="C91" s="8" t="s">
        <v>48</v>
      </c>
      <c r="D91" s="8" t="s">
        <v>47</v>
      </c>
      <c r="E91" s="1">
        <f>'Regular Rate BD08'!E91+'Nonprofit BD08'!E85+'Classroom BD08'!E85</f>
        <v>2673330.8787321583</v>
      </c>
      <c r="F91" s="9">
        <f>'Regular Rate BD08'!F91</f>
        <v>1.956</v>
      </c>
      <c r="G91" s="12">
        <f aca="true" t="shared" si="3" ref="G91:G96">E91*F91</f>
        <v>5229035.198800102</v>
      </c>
      <c r="H91" s="9">
        <v>2.1</v>
      </c>
      <c r="I91" s="12">
        <f aca="true" t="shared" si="4" ref="I91:I96">H91*E91</f>
        <v>5613994.845337532</v>
      </c>
      <c r="J91" s="6"/>
    </row>
    <row r="92" spans="3:10" ht="12.75">
      <c r="C92" s="8" t="s">
        <v>49</v>
      </c>
      <c r="D92" s="8" t="s">
        <v>47</v>
      </c>
      <c r="E92" s="1">
        <f>'Regular Rate BD08'!E92+'Nonprofit BD08'!E86+'Classroom BD08'!E86</f>
        <v>342915.08976905385</v>
      </c>
      <c r="F92" s="9">
        <f>'Regular Rate BD08'!F92</f>
        <v>1.956</v>
      </c>
      <c r="G92" s="12">
        <f t="shared" si="3"/>
        <v>670741.9155882694</v>
      </c>
      <c r="H92" s="9">
        <v>2.1</v>
      </c>
      <c r="I92" s="12">
        <f t="shared" si="4"/>
        <v>720121.6885150131</v>
      </c>
      <c r="J92" s="6"/>
    </row>
    <row r="93" spans="3:10" ht="12.75">
      <c r="C93" s="8" t="s">
        <v>51</v>
      </c>
      <c r="D93" s="8" t="s">
        <v>47</v>
      </c>
      <c r="E93" s="2">
        <f>'Regular Rate BD08'!E93+'Nonprofit BD08'!E87+'Classroom BD08'!E87</f>
        <v>10926963.712334283</v>
      </c>
      <c r="F93" s="9">
        <f>'Regular Rate BD08'!F93</f>
        <v>1.956</v>
      </c>
      <c r="G93" s="12">
        <f t="shared" si="3"/>
        <v>21373141.021325856</v>
      </c>
      <c r="H93" s="9">
        <v>2.1</v>
      </c>
      <c r="I93" s="12">
        <f t="shared" si="4"/>
        <v>22946623.795901995</v>
      </c>
      <c r="J93" s="6"/>
    </row>
    <row r="94" spans="3:10" ht="12.75">
      <c r="C94" s="8" t="s">
        <v>52</v>
      </c>
      <c r="D94" s="8" t="s">
        <v>47</v>
      </c>
      <c r="E94" s="2">
        <f>'Regular Rate BD08'!E94+'Nonprofit BD08'!E88+'Classroom BD08'!E88</f>
        <v>16795.610409006185</v>
      </c>
      <c r="F94" s="9">
        <f>'Regular Rate BD08'!F94</f>
        <v>1.236</v>
      </c>
      <c r="G94" s="12">
        <f t="shared" si="3"/>
        <v>20759.374465531644</v>
      </c>
      <c r="H94" s="9">
        <v>1.5</v>
      </c>
      <c r="I94" s="12">
        <f t="shared" si="4"/>
        <v>25193.415613509278</v>
      </c>
      <c r="J94" s="6"/>
    </row>
    <row r="95" spans="3:10" ht="12.75">
      <c r="C95" s="8" t="s">
        <v>53</v>
      </c>
      <c r="D95" s="8" t="s">
        <v>47</v>
      </c>
      <c r="E95" s="2">
        <f>'Regular Rate BD08'!E95+'Nonprofit BD08'!E89+'Classroom BD08'!E89</f>
        <v>333370.84781167755</v>
      </c>
      <c r="F95" s="9">
        <f>'Regular Rate BD08'!F95</f>
        <v>1.03</v>
      </c>
      <c r="G95" s="12">
        <f t="shared" si="3"/>
        <v>343371.9732460279</v>
      </c>
      <c r="H95" s="9">
        <v>1.2</v>
      </c>
      <c r="I95" s="12">
        <f t="shared" si="4"/>
        <v>400045.017374013</v>
      </c>
      <c r="J95" s="6"/>
    </row>
    <row r="96" spans="3:10" ht="12.75">
      <c r="C96" s="8" t="s">
        <v>55</v>
      </c>
      <c r="D96" s="8" t="s">
        <v>47</v>
      </c>
      <c r="E96" s="2">
        <f>'Regular Rate BD08'!E96+'Nonprofit BD08'!E90+'Classroom BD08'!E90</f>
        <v>1684396.6209877508</v>
      </c>
      <c r="F96" s="9">
        <f>'Regular Rate BD08'!F96</f>
        <v>0.618</v>
      </c>
      <c r="G96" s="12">
        <f t="shared" si="3"/>
        <v>1040957.11177043</v>
      </c>
      <c r="H96" s="9">
        <v>0.8</v>
      </c>
      <c r="I96" s="12">
        <f t="shared" si="4"/>
        <v>1347517.2967902008</v>
      </c>
      <c r="J96" s="6"/>
    </row>
    <row r="97" spans="2:10" ht="12.75">
      <c r="B97" s="8" t="s">
        <v>56</v>
      </c>
      <c r="D97" s="8"/>
      <c r="E97" s="2"/>
      <c r="F97" s="9"/>
      <c r="H97" s="9"/>
      <c r="J97" s="39"/>
    </row>
    <row r="98" spans="3:10" ht="12.75">
      <c r="C98" s="8" t="s">
        <v>48</v>
      </c>
      <c r="D98" s="8" t="s">
        <v>47</v>
      </c>
      <c r="E98" s="1">
        <f>'Regular Rate BD08'!E98+'Nonprofit BD08'!E92+'Classroom BD08'!E92</f>
        <v>1516992.372684546</v>
      </c>
      <c r="F98" s="9">
        <f>'Regular Rate BD08'!F98</f>
        <v>2.306</v>
      </c>
      <c r="G98" s="12">
        <f aca="true" t="shared" si="5" ref="G98:G104">E98*F98</f>
        <v>3498184.411410563</v>
      </c>
      <c r="H98" s="9">
        <v>2.7</v>
      </c>
      <c r="I98" s="12">
        <f aca="true" t="shared" si="6" ref="I98:I104">H98*E98</f>
        <v>4095879.4062482747</v>
      </c>
      <c r="J98" s="6"/>
    </row>
    <row r="99" spans="3:10" ht="12.75">
      <c r="C99" s="8" t="s">
        <v>49</v>
      </c>
      <c r="D99" s="8" t="s">
        <v>47</v>
      </c>
      <c r="E99" s="1">
        <f>'Regular Rate BD08'!E99+'Nonprofit BD08'!E93+'Classroom BD08'!E93</f>
        <v>113498.75307372847</v>
      </c>
      <c r="F99" s="9">
        <f>'Regular Rate BD08'!F99</f>
        <v>2.306</v>
      </c>
      <c r="G99" s="12">
        <f t="shared" si="5"/>
        <v>261728.12458801785</v>
      </c>
      <c r="H99" s="9">
        <v>2.7</v>
      </c>
      <c r="I99" s="12">
        <f t="shared" si="6"/>
        <v>306446.63329906686</v>
      </c>
      <c r="J99" s="6"/>
    </row>
    <row r="100" spans="3:10" ht="12.75">
      <c r="C100" s="8" t="s">
        <v>51</v>
      </c>
      <c r="D100" s="8" t="s">
        <v>47</v>
      </c>
      <c r="E100" s="2">
        <f>'Regular Rate BD08'!E100+'Nonprofit BD08'!E94+'Classroom BD08'!E94</f>
        <v>3224071.965959496</v>
      </c>
      <c r="F100" s="9">
        <f>'Regular Rate BD08'!F100</f>
        <v>2.306</v>
      </c>
      <c r="G100" s="12">
        <f t="shared" si="5"/>
        <v>7434709.953502597</v>
      </c>
      <c r="H100" s="9">
        <v>2.7</v>
      </c>
      <c r="I100" s="12">
        <f t="shared" si="6"/>
        <v>8704994.30809064</v>
      </c>
      <c r="J100" s="6"/>
    </row>
    <row r="101" spans="3:10" ht="12.75">
      <c r="C101" s="8" t="s">
        <v>52</v>
      </c>
      <c r="D101" s="8" t="s">
        <v>47</v>
      </c>
      <c r="E101" s="2">
        <f>'Regular Rate BD08'!E101+'Nonprofit BD08'!E95+'Classroom BD08'!E95</f>
        <v>9917.385111923155</v>
      </c>
      <c r="F101" s="9">
        <f>'Regular Rate BD08'!F101</f>
        <v>1.544</v>
      </c>
      <c r="G101" s="12">
        <f t="shared" si="5"/>
        <v>15312.442612809351</v>
      </c>
      <c r="H101" s="9">
        <v>2</v>
      </c>
      <c r="I101" s="12">
        <f t="shared" si="6"/>
        <v>19834.77022384631</v>
      </c>
      <c r="J101" s="6"/>
    </row>
    <row r="102" spans="3:10" ht="12.75">
      <c r="C102" s="8" t="s">
        <v>53</v>
      </c>
      <c r="D102" s="8" t="s">
        <v>47</v>
      </c>
      <c r="E102" s="2">
        <f>'Regular Rate BD08'!E102+'Nonprofit BD08'!E96+'Classroom BD08'!E96</f>
        <v>336550.94708129106</v>
      </c>
      <c r="F102" s="9">
        <f>'Regular Rate BD08'!F102</f>
        <v>1.338</v>
      </c>
      <c r="G102" s="12">
        <f t="shared" si="5"/>
        <v>450305.16719476745</v>
      </c>
      <c r="H102" s="9">
        <v>1.7</v>
      </c>
      <c r="I102" s="12">
        <f t="shared" si="6"/>
        <v>572136.6100381948</v>
      </c>
      <c r="J102" s="6"/>
    </row>
    <row r="103" spans="3:10" ht="12.75">
      <c r="C103" s="8" t="s">
        <v>55</v>
      </c>
      <c r="D103" s="8" t="s">
        <v>47</v>
      </c>
      <c r="E103" s="2">
        <f>'Regular Rate BD08'!E103+'Nonprofit BD08'!E97+'Classroom BD08'!E97</f>
        <v>1887971.0033930964</v>
      </c>
      <c r="F103" s="9">
        <f>'Regular Rate BD08'!F103</f>
        <v>0.927</v>
      </c>
      <c r="G103" s="12">
        <f t="shared" si="5"/>
        <v>1750149.1201454005</v>
      </c>
      <c r="H103" s="9">
        <v>1.3</v>
      </c>
      <c r="I103" s="12">
        <f t="shared" si="6"/>
        <v>2454362.3044110253</v>
      </c>
      <c r="J103" s="6"/>
    </row>
    <row r="104" spans="3:10" ht="12.75">
      <c r="C104" s="8" t="s">
        <v>57</v>
      </c>
      <c r="D104" s="8" t="s">
        <v>47</v>
      </c>
      <c r="E104" s="2">
        <f>'Regular Rate BD08'!E104+'Nonprofit BD08'!E98+'Classroom BD08'!E98</f>
        <v>516770.5954857072</v>
      </c>
      <c r="F104" s="9">
        <f>'Regular Rate BD08'!F104</f>
        <v>0.721</v>
      </c>
      <c r="G104" s="12">
        <f t="shared" si="5"/>
        <v>372591.5993451949</v>
      </c>
      <c r="H104" s="9">
        <v>0.9</v>
      </c>
      <c r="I104" s="12">
        <f t="shared" si="6"/>
        <v>465093.5359371365</v>
      </c>
      <c r="J104" s="6"/>
    </row>
    <row r="105" spans="1:10" ht="12.75">
      <c r="A105" s="8" t="s">
        <v>58</v>
      </c>
      <c r="D105" s="8"/>
      <c r="E105" s="2"/>
      <c r="F105" s="9"/>
      <c r="H105" s="9"/>
      <c r="J105" s="39"/>
    </row>
    <row r="106" spans="2:10" ht="12.75">
      <c r="B106" s="8" t="s">
        <v>60</v>
      </c>
      <c r="D106" s="8"/>
      <c r="E106" s="2"/>
      <c r="F106" s="9"/>
      <c r="H106" s="9"/>
      <c r="J106" s="39"/>
    </row>
    <row r="107" spans="3:10" ht="12.75">
      <c r="C107" s="8" t="s">
        <v>48</v>
      </c>
      <c r="D107" s="8" t="s">
        <v>59</v>
      </c>
      <c r="E107" s="1">
        <f>'Regular Rate BD08'!E107+'Nonprofit BD08'!E101+'Classroom BD08'!E101</f>
        <v>63909.3232037616</v>
      </c>
      <c r="F107" s="9">
        <f>'Regular Rate BD08'!F107</f>
        <v>19.161</v>
      </c>
      <c r="G107" s="12">
        <f>E107*F107</f>
        <v>1224566.5419072763</v>
      </c>
      <c r="H107" s="9">
        <v>28</v>
      </c>
      <c r="I107" s="12">
        <f>H107*E107</f>
        <v>1789461.049705325</v>
      </c>
      <c r="J107" s="6"/>
    </row>
    <row r="108" spans="3:10" ht="12.75">
      <c r="C108" s="8" t="s">
        <v>49</v>
      </c>
      <c r="D108" s="8" t="s">
        <v>59</v>
      </c>
      <c r="E108" s="1">
        <f>'Regular Rate BD08'!E108+'Nonprofit BD08'!E102+'Classroom BD08'!E102</f>
        <v>31630.913722177138</v>
      </c>
      <c r="F108" s="9">
        <f>'Regular Rate BD08'!F108</f>
        <v>19.161</v>
      </c>
      <c r="G108" s="12">
        <f>E108*F108</f>
        <v>606079.9378306362</v>
      </c>
      <c r="H108" s="9">
        <v>28</v>
      </c>
      <c r="I108" s="12">
        <f>H108*E108</f>
        <v>885665.5842209598</v>
      </c>
      <c r="J108" s="6"/>
    </row>
    <row r="109" spans="3:10" ht="12.75">
      <c r="C109" s="8" t="s">
        <v>51</v>
      </c>
      <c r="D109" s="8" t="s">
        <v>59</v>
      </c>
      <c r="E109" s="1">
        <f>'Regular Rate BD08'!E109+'Nonprofit BD08'!E103+'Classroom BD08'!E103</f>
        <v>315056.18944468844</v>
      </c>
      <c r="F109" s="9">
        <f>'Regular Rate BD08'!F109</f>
        <v>19.161</v>
      </c>
      <c r="G109" s="12">
        <f>E109*F109</f>
        <v>6036791.645949676</v>
      </c>
      <c r="H109" s="9">
        <v>28</v>
      </c>
      <c r="I109" s="12">
        <f>H109*E109</f>
        <v>8821573.304451276</v>
      </c>
      <c r="J109" s="6"/>
    </row>
    <row r="110" spans="3:10" ht="12.75">
      <c r="C110" s="8" t="s">
        <v>52</v>
      </c>
      <c r="D110" s="8" t="s">
        <v>59</v>
      </c>
      <c r="E110" s="1">
        <f>'Regular Rate BD08'!E110+'Nonprofit BD08'!E104+'Classroom BD08'!E104</f>
        <v>2799.7846074047725</v>
      </c>
      <c r="F110" s="9">
        <f>'Regular Rate BD08'!F110</f>
        <v>13.385</v>
      </c>
      <c r="G110" s="12">
        <f>E110*F110</f>
        <v>37475.11697011288</v>
      </c>
      <c r="H110" s="9">
        <v>22.4</v>
      </c>
      <c r="I110" s="12">
        <f>H110*E110</f>
        <v>62715.1752058669</v>
      </c>
      <c r="J110" s="6"/>
    </row>
    <row r="111" spans="3:10" ht="12.75">
      <c r="C111" s="8" t="s">
        <v>53</v>
      </c>
      <c r="D111" s="8" t="s">
        <v>59</v>
      </c>
      <c r="E111" s="1">
        <f>'Regular Rate BD08'!E111+'Nonprofit BD08'!E105+'Classroom BD08'!E105</f>
        <v>415364.92547889124</v>
      </c>
      <c r="F111" s="9">
        <f>'Regular Rate BD08'!F111</f>
        <v>9.163</v>
      </c>
      <c r="G111" s="12">
        <f>E111*F111</f>
        <v>3805988.8121630806</v>
      </c>
      <c r="H111" s="9">
        <v>12.4</v>
      </c>
      <c r="I111" s="12">
        <f>H111*E111</f>
        <v>5150525.075938252</v>
      </c>
      <c r="J111" s="6"/>
    </row>
    <row r="112" spans="2:10" ht="12.75">
      <c r="B112" s="8" t="s">
        <v>61</v>
      </c>
      <c r="D112" s="8"/>
      <c r="E112" s="2"/>
      <c r="F112" s="9"/>
      <c r="H112" s="9"/>
      <c r="J112" s="39"/>
    </row>
    <row r="113" spans="3:10" ht="12.75">
      <c r="C113" s="8" t="s">
        <v>48</v>
      </c>
      <c r="D113" s="8" t="s">
        <v>59</v>
      </c>
      <c r="E113" s="1">
        <f>'Regular Rate BD08'!E113+'Nonprofit BD08'!E107+'Classroom BD08'!E107</f>
        <v>112359.14020760027</v>
      </c>
      <c r="F113" s="9">
        <f>'Regular Rate BD08'!F113</f>
        <v>23.66</v>
      </c>
      <c r="G113" s="12">
        <f aca="true" t="shared" si="7" ref="G113:G118">E113*F113</f>
        <v>2658417.2573118224</v>
      </c>
      <c r="H113" s="9">
        <v>33.36</v>
      </c>
      <c r="I113" s="12">
        <f aca="true" t="shared" si="8" ref="I113:I118">H113*E113</f>
        <v>3748300.917325545</v>
      </c>
      <c r="J113" s="6"/>
    </row>
    <row r="114" spans="3:10" ht="12.75">
      <c r="C114" s="8" t="s">
        <v>49</v>
      </c>
      <c r="D114" s="8" t="s">
        <v>59</v>
      </c>
      <c r="E114" s="1">
        <f>'Regular Rate BD08'!E114+'Nonprofit BD08'!E108+'Classroom BD08'!E108</f>
        <v>38129.17271477314</v>
      </c>
      <c r="F114" s="9">
        <f>'Regular Rate BD08'!F114</f>
        <v>23.66</v>
      </c>
      <c r="G114" s="12">
        <f t="shared" si="7"/>
        <v>902136.2264315325</v>
      </c>
      <c r="H114" s="9">
        <v>33.36</v>
      </c>
      <c r="I114" s="12">
        <f t="shared" si="8"/>
        <v>1271989.201764832</v>
      </c>
      <c r="J114" s="6"/>
    </row>
    <row r="115" spans="3:10" ht="12.75">
      <c r="C115" s="8" t="s">
        <v>51</v>
      </c>
      <c r="D115" s="8" t="s">
        <v>59</v>
      </c>
      <c r="E115" s="1">
        <f>'Regular Rate BD08'!E115+'Nonprofit BD08'!E109+'Classroom BD08'!E109</f>
        <v>293156.39347954723</v>
      </c>
      <c r="F115" s="9">
        <f>'Regular Rate BD08'!F115</f>
        <v>23.66</v>
      </c>
      <c r="G115" s="12">
        <f t="shared" si="7"/>
        <v>6936080.269726087</v>
      </c>
      <c r="H115" s="9">
        <v>33.36</v>
      </c>
      <c r="I115" s="12">
        <f t="shared" si="8"/>
        <v>9779697.286477696</v>
      </c>
      <c r="J115" s="6"/>
    </row>
    <row r="116" spans="3:10" ht="12.75">
      <c r="C116" s="8" t="s">
        <v>52</v>
      </c>
      <c r="D116" s="8" t="s">
        <v>59</v>
      </c>
      <c r="E116" s="1">
        <f>'Regular Rate BD08'!E116+'Nonprofit BD08'!E110+'Classroom BD08'!E110</f>
        <v>6678.45034573797</v>
      </c>
      <c r="F116" s="9">
        <f>'Regular Rate BD08'!F116</f>
        <v>14.826</v>
      </c>
      <c r="G116" s="12">
        <f t="shared" si="7"/>
        <v>99014.70482591115</v>
      </c>
      <c r="H116" s="9">
        <v>23.8</v>
      </c>
      <c r="I116" s="12">
        <f t="shared" si="8"/>
        <v>158947.1182285637</v>
      </c>
      <c r="J116" s="6"/>
    </row>
    <row r="117" spans="3:11" ht="12.75">
      <c r="C117" s="8" t="s">
        <v>53</v>
      </c>
      <c r="D117" s="8" t="s">
        <v>59</v>
      </c>
      <c r="E117" s="1">
        <f>'Regular Rate BD08'!E117+'Nonprofit BD08'!E111+'Classroom BD08'!E111</f>
        <v>286788.50061880075</v>
      </c>
      <c r="F117" s="9">
        <f>'Regular Rate BD08'!F117</f>
        <v>12.561</v>
      </c>
      <c r="G117" s="12">
        <f t="shared" si="7"/>
        <v>3602350.356272756</v>
      </c>
      <c r="H117" s="9">
        <v>20.7</v>
      </c>
      <c r="I117" s="12">
        <f t="shared" si="8"/>
        <v>5936521.962809175</v>
      </c>
      <c r="J117" s="6"/>
      <c r="K117" s="45"/>
    </row>
    <row r="118" spans="3:11" ht="12.75">
      <c r="C118" s="8" t="s">
        <v>55</v>
      </c>
      <c r="D118" s="8" t="s">
        <v>59</v>
      </c>
      <c r="E118" s="1">
        <f>'Regular Rate BD08'!E118+'Nonprofit BD08'!E112+'Classroom BD08'!E112</f>
        <v>1334778.3442040933</v>
      </c>
      <c r="F118" s="9">
        <f>'Regular Rate BD08'!F118</f>
        <v>6.898</v>
      </c>
      <c r="G118" s="12">
        <f t="shared" si="7"/>
        <v>9207301.018319836</v>
      </c>
      <c r="H118" s="9">
        <v>11.1</v>
      </c>
      <c r="I118" s="12">
        <f t="shared" si="8"/>
        <v>14816039.620665435</v>
      </c>
      <c r="J118" s="6"/>
      <c r="K118" s="45"/>
    </row>
    <row r="119" spans="2:10" ht="12.75">
      <c r="B119" s="8" t="s">
        <v>62</v>
      </c>
      <c r="D119" s="8"/>
      <c r="E119" s="2"/>
      <c r="F119" s="9"/>
      <c r="H119" s="9"/>
      <c r="J119" s="39"/>
    </row>
    <row r="120" spans="3:10" ht="12.75">
      <c r="C120" s="8" t="s">
        <v>48</v>
      </c>
      <c r="D120" s="8" t="s">
        <v>59</v>
      </c>
      <c r="E120" s="1">
        <f>'Regular Rate BD08'!E120+'Nonprofit BD08'!E114+'Classroom BD08'!E114</f>
        <v>12562.05772368267</v>
      </c>
      <c r="F120" s="9">
        <f>'Regular Rate BD08'!F120</f>
        <v>27.748</v>
      </c>
      <c r="G120" s="12">
        <f aca="true" t="shared" si="9" ref="G120:G126">E120*F120</f>
        <v>348571.97771674674</v>
      </c>
      <c r="H120" s="9">
        <v>42.13</v>
      </c>
      <c r="I120" s="12">
        <f aca="true" t="shared" si="10" ref="I120:I126">H120*E120</f>
        <v>529239.4918987509</v>
      </c>
      <c r="J120" s="6"/>
    </row>
    <row r="121" spans="3:10" ht="12.75">
      <c r="C121" s="8" t="s">
        <v>49</v>
      </c>
      <c r="D121" s="8" t="s">
        <v>59</v>
      </c>
      <c r="E121" s="1">
        <f>'Regular Rate BD08'!E121+'Nonprofit BD08'!E115+'Classroom BD08'!E115</f>
        <v>2821.101127067558</v>
      </c>
      <c r="F121" s="9">
        <f>'Regular Rate BD08'!F121</f>
        <v>27.748</v>
      </c>
      <c r="G121" s="12">
        <f t="shared" si="9"/>
        <v>78279.9140738706</v>
      </c>
      <c r="H121" s="9">
        <v>42.13</v>
      </c>
      <c r="I121" s="12">
        <f t="shared" si="10"/>
        <v>118852.99048335623</v>
      </c>
      <c r="J121" s="6"/>
    </row>
    <row r="122" spans="3:10" ht="12.75">
      <c r="C122" s="8" t="s">
        <v>51</v>
      </c>
      <c r="D122" s="8" t="s">
        <v>59</v>
      </c>
      <c r="E122" s="1">
        <f>'Regular Rate BD08'!E122+'Nonprofit BD08'!E116+'Classroom BD08'!E116</f>
        <v>26664.255457760035</v>
      </c>
      <c r="F122" s="9">
        <f>'Regular Rate BD08'!F122</f>
        <v>27.748</v>
      </c>
      <c r="G122" s="12">
        <f t="shared" si="9"/>
        <v>739879.7604419255</v>
      </c>
      <c r="H122" s="9">
        <v>42.13</v>
      </c>
      <c r="I122" s="12">
        <f t="shared" si="10"/>
        <v>1123365.0824354303</v>
      </c>
      <c r="J122" s="6"/>
    </row>
    <row r="123" spans="3:10" ht="12.75">
      <c r="C123" s="8" t="s">
        <v>52</v>
      </c>
      <c r="D123" s="8" t="s">
        <v>59</v>
      </c>
      <c r="E123" s="1">
        <f>'Regular Rate BD08'!E123+'Nonprofit BD08'!E117+'Classroom BD08'!E117</f>
        <v>1891.6384311343968</v>
      </c>
      <c r="F123" s="9">
        <f>'Regular Rate BD08'!F123</f>
        <v>18.018</v>
      </c>
      <c r="G123" s="12">
        <f t="shared" si="9"/>
        <v>34083.541252179566</v>
      </c>
      <c r="H123" s="9">
        <v>31.9</v>
      </c>
      <c r="I123" s="12">
        <f t="shared" si="10"/>
        <v>60343.265953187256</v>
      </c>
      <c r="J123" s="6"/>
    </row>
    <row r="124" spans="3:10" ht="12.75">
      <c r="C124" s="8" t="s">
        <v>53</v>
      </c>
      <c r="D124" s="8" t="s">
        <v>59</v>
      </c>
      <c r="E124" s="1">
        <f>'Regular Rate BD08'!E124+'Nonprofit BD08'!E118+'Classroom BD08'!E118</f>
        <v>26518.94110688397</v>
      </c>
      <c r="F124" s="9">
        <f>'Regular Rate BD08'!F124</f>
        <v>15.959</v>
      </c>
      <c r="G124" s="12">
        <f t="shared" si="9"/>
        <v>423215.78112476127</v>
      </c>
      <c r="H124" s="9">
        <v>30.2</v>
      </c>
      <c r="I124" s="12">
        <f t="shared" si="10"/>
        <v>800872.0214278959</v>
      </c>
      <c r="J124" s="6"/>
    </row>
    <row r="125" spans="3:11" ht="12.75">
      <c r="C125" s="8" t="s">
        <v>55</v>
      </c>
      <c r="D125" s="8" t="s">
        <v>59</v>
      </c>
      <c r="E125" s="1">
        <f>'Regular Rate BD08'!E125+'Nonprofit BD08'!E119+'Classroom BD08'!E119</f>
        <v>432196.30036010937</v>
      </c>
      <c r="F125" s="9">
        <f>'Regular Rate BD08'!F125</f>
        <v>8.237</v>
      </c>
      <c r="G125" s="12">
        <f t="shared" si="9"/>
        <v>3560000.9260662207</v>
      </c>
      <c r="H125" s="9">
        <v>20.4</v>
      </c>
      <c r="I125" s="12">
        <f t="shared" si="10"/>
        <v>8816804.527346231</v>
      </c>
      <c r="J125" s="6"/>
      <c r="K125" s="45"/>
    </row>
    <row r="126" spans="3:10" ht="12.75">
      <c r="C126" s="8" t="s">
        <v>57</v>
      </c>
      <c r="D126" s="8" t="s">
        <v>59</v>
      </c>
      <c r="E126" s="1">
        <f>'Regular Rate BD08'!E126+'Nonprofit BD08'!E120+'Classroom BD08'!E120</f>
        <v>19263.99007046675</v>
      </c>
      <c r="F126" s="9">
        <f>'Regular Rate BD08'!F126</f>
        <v>1.236</v>
      </c>
      <c r="G126" s="12">
        <f t="shared" si="9"/>
        <v>23810.2917270969</v>
      </c>
      <c r="H126" s="9">
        <v>1.6</v>
      </c>
      <c r="I126" s="12">
        <f t="shared" si="10"/>
        <v>30822.3841127468</v>
      </c>
      <c r="J126" s="6"/>
    </row>
    <row r="127" spans="3:11" ht="12.75">
      <c r="C127" s="8" t="s">
        <v>79</v>
      </c>
      <c r="E127" s="2">
        <f>SUM(E6:E15,E17:E20,E23:E26)</f>
        <v>3397716042.9999995</v>
      </c>
      <c r="F127" s="9"/>
      <c r="G127" s="12">
        <f>SUM(G6:G15,G17:G20,G23:G26)</f>
        <v>720648470.5118966</v>
      </c>
      <c r="H127" s="9"/>
      <c r="I127" s="12">
        <f>SUM(I6:I15,I17:I20,I23:I26)</f>
        <v>686203680.1574788</v>
      </c>
      <c r="K127" s="45"/>
    </row>
    <row r="128" spans="3:10" ht="12.75">
      <c r="C128" s="8" t="s">
        <v>80</v>
      </c>
      <c r="E128" s="2">
        <f>SUM(E29:E33,E35:E39,E41:E45,E47:E51,E53:E56)</f>
        <v>7774339432</v>
      </c>
      <c r="F128" s="9"/>
      <c r="G128" s="12">
        <f>SUM(G29:G33,G35:G39,G41:G45,G47:G51,G53:G57)</f>
        <v>1364708223.7291775</v>
      </c>
      <c r="H128" s="9"/>
      <c r="I128" s="12">
        <f>SUM(I29:I33,I35:I39,I41:I45,I47:I51,I53:I57)</f>
        <v>1383235150.7531066</v>
      </c>
      <c r="J128" s="39"/>
    </row>
    <row r="129" spans="3:10" ht="12.75">
      <c r="C129" s="8" t="s">
        <v>81</v>
      </c>
      <c r="E129" s="2">
        <f>SUM(E60:E64,E66:E70,E72:E75,E77:E79)</f>
        <v>603335585.7119601</v>
      </c>
      <c r="F129" s="9"/>
      <c r="G129" s="12">
        <f>SUM(G60:G64,G66:G70,G72:G75,G77:G79)</f>
        <v>50594269.37769624</v>
      </c>
      <c r="H129" s="9"/>
      <c r="I129" s="12">
        <f>SUM(I60:I64,I66:I70,I72:I75,I77:I79)</f>
        <v>128047481.42281064</v>
      </c>
      <c r="J129" s="39"/>
    </row>
    <row r="130" spans="3:9" ht="12.75">
      <c r="C130" s="8" t="s">
        <v>82</v>
      </c>
      <c r="E130" s="2">
        <f>SUM(E82:E83,E85:E89,E91:E96,E98:E104)</f>
        <v>34107293.87528621</v>
      </c>
      <c r="F130" s="9"/>
      <c r="G130" s="12">
        <f>SUM(G82:G83,G85:G89,G91:G96,G98:G104)</f>
        <v>53353751.34658645</v>
      </c>
      <c r="H130" s="9"/>
      <c r="I130" s="12">
        <f>SUM(I82:I83,I85:I89,I91:I96,I98:I104)</f>
        <v>59207944.39327978</v>
      </c>
    </row>
    <row r="131" spans="3:9" ht="12.75">
      <c r="C131" s="8" t="s">
        <v>83</v>
      </c>
      <c r="E131" s="2">
        <f>SUM(E107:E111,E113:E118,E120:E126)</f>
        <v>3422569.4223045805</v>
      </c>
      <c r="F131" s="9"/>
      <c r="G131" s="12">
        <f>SUM(G107:G111,G113:G118,G120:G126)</f>
        <v>40324044.08011153</v>
      </c>
      <c r="H131" s="9"/>
      <c r="I131" s="12">
        <f>SUM(I107:I111,I113:I118,I120:I126)</f>
        <v>63901736.06045053</v>
      </c>
    </row>
    <row r="132" spans="3:9" ht="12.75">
      <c r="C132" s="8" t="s">
        <v>63</v>
      </c>
      <c r="E132" s="2"/>
      <c r="F132" s="9"/>
      <c r="G132" s="12">
        <f>SUM(G127:G131)</f>
        <v>2229628759.0454683</v>
      </c>
      <c r="H132" s="9"/>
      <c r="I132" s="12">
        <f>SUM(I127:I131)</f>
        <v>2320595992.787126</v>
      </c>
    </row>
    <row r="133" spans="3:10" ht="12.75">
      <c r="C133" s="8" t="s">
        <v>64</v>
      </c>
      <c r="E133" s="2">
        <f>'Regular Rate BD08'!E133+'Nonprofit BD08'!E127+'Classroom BD08'!E127</f>
        <v>95001238.15828313</v>
      </c>
      <c r="F133" s="9">
        <f>'Regular Rate BD08'!F133</f>
        <v>0.159</v>
      </c>
      <c r="G133" s="12">
        <f>E133*F133</f>
        <v>15105196.867167018</v>
      </c>
      <c r="H133" s="9">
        <v>0.165</v>
      </c>
      <c r="I133" s="12">
        <f>H133*E133</f>
        <v>15675204.296116717</v>
      </c>
      <c r="J133" s="6"/>
    </row>
    <row r="134" spans="3:10" ht="12.75">
      <c r="C134" s="8" t="s">
        <v>65</v>
      </c>
      <c r="E134" s="2">
        <f>'Regular Rate BD08'!E134+'Nonprofit BD08'!E128+'Classroom BD08'!E128</f>
        <v>2265536</v>
      </c>
      <c r="F134" s="9">
        <f>'Regular Rate BD08'!F134</f>
        <v>0.015</v>
      </c>
      <c r="G134" s="12">
        <f>E134*F134</f>
        <v>33983.04</v>
      </c>
      <c r="H134" s="9">
        <v>0.015</v>
      </c>
      <c r="I134" s="12">
        <f>H134*E134</f>
        <v>33983.04</v>
      </c>
      <c r="J134" s="6"/>
    </row>
    <row r="135" spans="3:9" ht="12.75">
      <c r="C135" s="8" t="s">
        <v>85</v>
      </c>
      <c r="E135" s="2"/>
      <c r="G135" s="12">
        <f>'Nonprofit BD08'!G129+'Classroom BD08'!G129</f>
        <v>18022505.990330875</v>
      </c>
      <c r="I135" s="12">
        <f>'Nonprofit BD08'!I129+'Classroom BD08'!I129</f>
        <v>18921740.905017003</v>
      </c>
    </row>
    <row r="136" spans="3:9" ht="12.75">
      <c r="C136" s="8" t="s">
        <v>216</v>
      </c>
      <c r="E136" s="2"/>
      <c r="G136" s="12">
        <f>'Regular Rate BD08'!G135</f>
        <v>-3197488.539545103</v>
      </c>
      <c r="I136" s="36">
        <f>G136*(I135/G135)</f>
        <v>-3357027.581208361</v>
      </c>
    </row>
    <row r="137" spans="3:9" ht="13.5" thickBot="1">
      <c r="C137" t="s">
        <v>243</v>
      </c>
      <c r="E137" s="2"/>
      <c r="G137" s="12"/>
      <c r="I137" s="36">
        <f>-'IM FS Incentive '!H26</f>
        <v>-2139594.566652459</v>
      </c>
    </row>
    <row r="138" spans="3:10" ht="13.5" thickTop="1">
      <c r="C138" s="8" t="s">
        <v>66</v>
      </c>
      <c r="E138" s="2"/>
      <c r="G138" s="12">
        <f>G132+G133+G134-G135+G136</f>
        <v>2223547944.4227595</v>
      </c>
      <c r="I138" s="12">
        <f>I132+I133+I134-I135+I136+I137</f>
        <v>2311886817.0703654</v>
      </c>
      <c r="J138" s="25" t="s">
        <v>117</v>
      </c>
    </row>
    <row r="139" spans="3:10" ht="13.5" thickBot="1">
      <c r="C139" s="24" t="s">
        <v>116</v>
      </c>
      <c r="E139" s="2"/>
      <c r="G139" s="27">
        <f>G138/E128</f>
        <v>0.2860111735371885</v>
      </c>
      <c r="H139" s="24"/>
      <c r="I139" s="27">
        <f>I138/E128</f>
        <v>0.29737405181389376</v>
      </c>
      <c r="J139" s="26">
        <f>(I139/G139)-1</f>
        <v>0.039728791488028214</v>
      </c>
    </row>
    <row r="140" spans="3:5" ht="13.5" thickTop="1">
      <c r="C140" s="8"/>
      <c r="E140" s="2"/>
    </row>
    <row r="141" spans="5:7" ht="12.75">
      <c r="E141" s="2"/>
      <c r="G141" s="6"/>
    </row>
    <row r="142" spans="3:9" ht="12.75">
      <c r="C142" s="8"/>
      <c r="E142" s="2"/>
      <c r="F142" s="39"/>
      <c r="G142" s="77"/>
      <c r="H142" s="39"/>
      <c r="I142" s="13"/>
    </row>
    <row r="143" spans="3:10" ht="12.75">
      <c r="C143" s="8"/>
      <c r="E143" s="2"/>
      <c r="F143" s="39"/>
      <c r="G143" s="77"/>
      <c r="H143" s="39"/>
      <c r="I143" s="13"/>
      <c r="J143" s="39"/>
    </row>
    <row r="144" spans="3:10" ht="12.75">
      <c r="C144" s="8"/>
      <c r="E144" s="2"/>
      <c r="F144" s="39"/>
      <c r="G144" s="77"/>
      <c r="H144" s="39"/>
      <c r="I144" s="13"/>
      <c r="J144" s="39"/>
    </row>
    <row r="145" spans="3:9" ht="12.75">
      <c r="C145" s="8"/>
      <c r="E145" s="2"/>
      <c r="F145" s="39"/>
      <c r="G145" s="77"/>
      <c r="H145" s="78"/>
      <c r="I145" s="13"/>
    </row>
    <row r="146" spans="3:9" ht="12.75">
      <c r="C146" s="8"/>
      <c r="E146" s="2"/>
      <c r="F146" s="39"/>
      <c r="G146" s="13"/>
      <c r="H146" s="39"/>
      <c r="I146" s="13"/>
    </row>
    <row r="147" spans="3:9" ht="12.75">
      <c r="C147" s="8"/>
      <c r="E147" s="2"/>
      <c r="F147" s="39"/>
      <c r="G147" s="13"/>
      <c r="H147" s="39"/>
      <c r="I147" s="13"/>
    </row>
    <row r="148" spans="3:10" ht="12.75">
      <c r="C148" s="8"/>
      <c r="E148" s="2"/>
      <c r="F148" s="39"/>
      <c r="G148" s="13"/>
      <c r="H148" s="39"/>
      <c r="I148" s="13"/>
      <c r="J148" s="7"/>
    </row>
    <row r="149" spans="3:10" ht="12.75">
      <c r="C149" s="8"/>
      <c r="E149" s="2"/>
      <c r="F149" s="39"/>
      <c r="G149" s="13"/>
      <c r="H149" s="39"/>
      <c r="I149" s="13"/>
      <c r="J149" s="7"/>
    </row>
    <row r="150" spans="3:9" ht="12.75">
      <c r="C150" s="8"/>
      <c r="E150" s="2"/>
      <c r="G150" s="13"/>
      <c r="I150" s="13"/>
    </row>
    <row r="151" spans="3:9" ht="12.75">
      <c r="C151" s="8"/>
      <c r="E151" s="2"/>
      <c r="G151" s="13"/>
      <c r="I151" s="13"/>
    </row>
    <row r="152" spans="3:9" ht="12.75">
      <c r="C152" s="8"/>
      <c r="E152" s="2"/>
      <c r="G152" s="13"/>
      <c r="I152" s="13"/>
    </row>
    <row r="153" spans="3:9" ht="12.75">
      <c r="C153" s="8"/>
      <c r="E153" s="2"/>
      <c r="G153" s="13"/>
      <c r="I153" s="13"/>
    </row>
    <row r="154" spans="3:10" ht="12.75">
      <c r="C154" s="39"/>
      <c r="E154" s="2"/>
      <c r="G154" s="74"/>
      <c r="H154" s="39"/>
      <c r="I154" s="74"/>
      <c r="J154" s="23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</sheetData>
  <printOptions/>
  <pageMargins left="0.17" right="0.18" top="0.17" bottom="0.26" header="0.5" footer="0.5"/>
  <pageSetup fitToHeight="3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24" sqref="G24"/>
    </sheetView>
  </sheetViews>
  <sheetFormatPr defaultColWidth="9.140625" defaultRowHeight="12.75"/>
  <cols>
    <col min="1" max="1" width="3.00390625" style="0" customWidth="1"/>
    <col min="2" max="2" width="32.00390625" style="0" customWidth="1"/>
    <col min="3" max="3" width="11.7109375" style="0" customWidth="1"/>
    <col min="5" max="5" width="15.00390625" style="0" bestFit="1" customWidth="1"/>
    <col min="7" max="7" width="13.140625" style="0" customWidth="1"/>
    <col min="9" max="9" width="12.421875" style="0" customWidth="1"/>
    <col min="10" max="10" width="14.00390625" style="0" customWidth="1"/>
  </cols>
  <sheetData>
    <row r="1" spans="1:6" ht="12.75">
      <c r="A1" s="22" t="s">
        <v>111</v>
      </c>
      <c r="F1" s="40"/>
    </row>
    <row r="4" ht="12.75">
      <c r="A4" s="8" t="s">
        <v>86</v>
      </c>
    </row>
    <row r="5" spans="1:10" ht="25.5">
      <c r="A5" s="10" t="s">
        <v>87</v>
      </c>
      <c r="C5" s="21" t="s">
        <v>226</v>
      </c>
      <c r="D5" s="21" t="s">
        <v>112</v>
      </c>
      <c r="E5" s="21" t="s">
        <v>114</v>
      </c>
      <c r="F5" s="21" t="s">
        <v>113</v>
      </c>
      <c r="G5" s="21" t="s">
        <v>115</v>
      </c>
      <c r="I5" s="21"/>
      <c r="J5" s="21"/>
    </row>
    <row r="6" ht="12.75">
      <c r="A6" s="8" t="s">
        <v>101</v>
      </c>
    </row>
    <row r="7" spans="2:10" ht="12.75">
      <c r="B7" s="8" t="s">
        <v>88</v>
      </c>
      <c r="C7" s="2">
        <v>130603963.78674635</v>
      </c>
      <c r="D7" s="9">
        <v>0.136</v>
      </c>
      <c r="E7" s="12">
        <f>D7*C7</f>
        <v>17762139.074997507</v>
      </c>
      <c r="F7" s="9">
        <v>0.141</v>
      </c>
      <c r="G7" s="12">
        <f>F7*C7</f>
        <v>18415158.893931232</v>
      </c>
      <c r="H7" s="42">
        <f>(F7/D7)-1</f>
        <v>0.03676470588235281</v>
      </c>
      <c r="I7" s="2"/>
      <c r="J7" s="2"/>
    </row>
    <row r="8" spans="2:10" ht="12.75">
      <c r="B8" s="8" t="s">
        <v>89</v>
      </c>
      <c r="C8" s="2">
        <v>148589105.21325362</v>
      </c>
      <c r="D8" s="9">
        <v>0.176</v>
      </c>
      <c r="E8" s="12">
        <f>D8*C8</f>
        <v>26151682.517532635</v>
      </c>
      <c r="F8" s="9">
        <v>0.183</v>
      </c>
      <c r="G8" s="12">
        <f>F8*C8</f>
        <v>27191806.25402541</v>
      </c>
      <c r="H8" s="42">
        <f>(F8/D8)-1</f>
        <v>0.03977272727272729</v>
      </c>
      <c r="I8" s="2"/>
      <c r="J8" s="2"/>
    </row>
    <row r="9" spans="1:6" ht="12.75">
      <c r="A9" t="s">
        <v>100</v>
      </c>
      <c r="B9" s="8"/>
      <c r="C9" s="2"/>
      <c r="D9" s="9"/>
      <c r="F9" s="9"/>
    </row>
    <row r="10" spans="2:10" ht="12.75">
      <c r="B10" s="8" t="s">
        <v>90</v>
      </c>
      <c r="C10" s="2">
        <v>16122964.914044451</v>
      </c>
      <c r="D10" s="9">
        <v>0.125</v>
      </c>
      <c r="E10" s="12">
        <f aca="true" t="shared" si="0" ref="E10:E22">D10*C10</f>
        <v>2015370.6142555564</v>
      </c>
      <c r="F10" s="9">
        <v>0.13</v>
      </c>
      <c r="G10" s="12">
        <f aca="true" t="shared" si="1" ref="G10:G22">F10*C10</f>
        <v>2095985.4388257787</v>
      </c>
      <c r="H10" s="42">
        <f aca="true" t="shared" si="2" ref="H10:H22">(F10/D10)-1</f>
        <v>0.040000000000000036</v>
      </c>
      <c r="I10" s="2"/>
      <c r="J10" s="2"/>
    </row>
    <row r="11" spans="2:10" ht="12.75">
      <c r="B11" s="8" t="s">
        <v>74</v>
      </c>
      <c r="C11" s="2">
        <v>690719.2282559664</v>
      </c>
      <c r="D11" s="9">
        <v>0.056</v>
      </c>
      <c r="E11" s="12">
        <f t="shared" si="0"/>
        <v>38680.27678233412</v>
      </c>
      <c r="F11" s="9">
        <v>0.058</v>
      </c>
      <c r="G11" s="12">
        <f t="shared" si="1"/>
        <v>40061.71523884605</v>
      </c>
      <c r="H11" s="42">
        <f t="shared" si="2"/>
        <v>0.03571428571428581</v>
      </c>
      <c r="I11" s="2"/>
      <c r="J11" s="2"/>
    </row>
    <row r="12" spans="2:10" ht="12.75">
      <c r="B12" s="8" t="s">
        <v>91</v>
      </c>
      <c r="C12" s="2">
        <v>972596.7225735515</v>
      </c>
      <c r="D12" s="9">
        <v>0.11</v>
      </c>
      <c r="E12" s="12">
        <f t="shared" si="0"/>
        <v>106985.63948309066</v>
      </c>
      <c r="F12" s="9">
        <v>0.114</v>
      </c>
      <c r="G12" s="12">
        <f t="shared" si="1"/>
        <v>110876.02637338487</v>
      </c>
      <c r="H12" s="42">
        <f t="shared" si="2"/>
        <v>0.036363636363636376</v>
      </c>
      <c r="I12" s="2"/>
      <c r="J12" s="2"/>
    </row>
    <row r="13" spans="2:10" ht="12.75">
      <c r="B13" s="8" t="s">
        <v>92</v>
      </c>
      <c r="C13" s="2">
        <v>21380551.146726035</v>
      </c>
      <c r="D13" s="9">
        <v>0.113</v>
      </c>
      <c r="E13" s="12">
        <f t="shared" si="0"/>
        <v>2416002.2795800418</v>
      </c>
      <c r="F13" s="9">
        <v>0.118</v>
      </c>
      <c r="G13" s="12">
        <f t="shared" si="1"/>
        <v>2522905.035313672</v>
      </c>
      <c r="H13" s="42">
        <f t="shared" si="2"/>
        <v>0.044247787610619316</v>
      </c>
      <c r="I13" s="2"/>
      <c r="J13" s="2"/>
    </row>
    <row r="14" spans="2:10" ht="12.75">
      <c r="B14" s="8" t="s">
        <v>75</v>
      </c>
      <c r="C14" s="2">
        <v>6612697.621003127</v>
      </c>
      <c r="D14" s="9">
        <v>0.047</v>
      </c>
      <c r="E14" s="12">
        <f t="shared" si="0"/>
        <v>310796.78818714694</v>
      </c>
      <c r="F14" s="9">
        <v>0.049</v>
      </c>
      <c r="G14" s="12">
        <f t="shared" si="1"/>
        <v>324022.1834291532</v>
      </c>
      <c r="H14" s="42">
        <f t="shared" si="2"/>
        <v>0.042553191489361764</v>
      </c>
      <c r="I14" s="2"/>
      <c r="J14" s="2"/>
    </row>
    <row r="15" spans="2:10" ht="12.75">
      <c r="B15" s="8" t="s">
        <v>93</v>
      </c>
      <c r="C15" s="2">
        <v>6211308.263602564</v>
      </c>
      <c r="D15" s="9">
        <v>0.102</v>
      </c>
      <c r="E15" s="12">
        <f t="shared" si="0"/>
        <v>633553.4428874615</v>
      </c>
      <c r="F15" s="9">
        <v>0.106</v>
      </c>
      <c r="G15" s="12">
        <f t="shared" si="1"/>
        <v>658398.6759418718</v>
      </c>
      <c r="H15" s="42">
        <f t="shared" si="2"/>
        <v>0.03921568627450989</v>
      </c>
      <c r="I15" s="2"/>
      <c r="J15" s="2"/>
    </row>
    <row r="16" spans="2:10" ht="12.75">
      <c r="B16" s="8" t="s">
        <v>94</v>
      </c>
      <c r="C16" s="2">
        <v>76296117.72640035</v>
      </c>
      <c r="D16" s="9">
        <v>0.101</v>
      </c>
      <c r="E16" s="12">
        <f t="shared" si="0"/>
        <v>7705907.890366435</v>
      </c>
      <c r="F16" s="9">
        <v>0.105</v>
      </c>
      <c r="G16" s="12">
        <f t="shared" si="1"/>
        <v>8011092.361272036</v>
      </c>
      <c r="H16" s="42">
        <f t="shared" si="2"/>
        <v>0.03960396039603942</v>
      </c>
      <c r="I16" s="2"/>
      <c r="J16" s="2"/>
    </row>
    <row r="17" spans="2:10" ht="12.75">
      <c r="B17" s="8" t="s">
        <v>76</v>
      </c>
      <c r="C17" s="2">
        <v>8524256.41684438</v>
      </c>
      <c r="D17" s="9">
        <v>0.045</v>
      </c>
      <c r="E17" s="12">
        <f t="shared" si="0"/>
        <v>383591.53875799704</v>
      </c>
      <c r="F17" s="9">
        <v>0.047</v>
      </c>
      <c r="G17" s="12">
        <f t="shared" si="1"/>
        <v>400640.0515916858</v>
      </c>
      <c r="H17" s="42">
        <f t="shared" si="2"/>
        <v>0.04444444444444451</v>
      </c>
      <c r="I17" s="2"/>
      <c r="J17" s="2"/>
    </row>
    <row r="18" spans="2:10" ht="12.75">
      <c r="B18" s="8" t="s">
        <v>95</v>
      </c>
      <c r="C18" s="2">
        <v>53012077.04814025</v>
      </c>
      <c r="D18" s="9">
        <v>0.095</v>
      </c>
      <c r="E18" s="12">
        <f t="shared" si="0"/>
        <v>5036147.319573324</v>
      </c>
      <c r="F18" s="9">
        <v>0.099</v>
      </c>
      <c r="G18" s="12">
        <f t="shared" si="1"/>
        <v>5248195.627765885</v>
      </c>
      <c r="H18" s="42">
        <f t="shared" si="2"/>
        <v>0.04210526315789487</v>
      </c>
      <c r="I18" s="2"/>
      <c r="J18" s="2"/>
    </row>
    <row r="19" spans="2:10" ht="12.75">
      <c r="B19" s="8" t="s">
        <v>96</v>
      </c>
      <c r="C19" s="2">
        <v>438209280.7901451</v>
      </c>
      <c r="D19" s="9">
        <v>0.057</v>
      </c>
      <c r="E19" s="12">
        <f t="shared" si="0"/>
        <v>24977929.005038273</v>
      </c>
      <c r="F19" s="9">
        <v>0.059</v>
      </c>
      <c r="G19" s="12">
        <f t="shared" si="1"/>
        <v>25854347.566618558</v>
      </c>
      <c r="H19" s="42">
        <f t="shared" si="2"/>
        <v>0.0350877192982455</v>
      </c>
      <c r="I19" s="2"/>
      <c r="J19" s="2"/>
    </row>
    <row r="20" spans="2:10" ht="12.75">
      <c r="B20" s="8" t="s">
        <v>97</v>
      </c>
      <c r="C20" s="2">
        <v>118904152.37748976</v>
      </c>
      <c r="D20" s="9">
        <v>0.042</v>
      </c>
      <c r="E20" s="12">
        <f t="shared" si="0"/>
        <v>4993974.399854571</v>
      </c>
      <c r="F20" s="9">
        <v>0.044</v>
      </c>
      <c r="G20" s="12">
        <f t="shared" si="1"/>
        <v>5231782.70460955</v>
      </c>
      <c r="H20" s="42">
        <f t="shared" si="2"/>
        <v>0.04761904761904745</v>
      </c>
      <c r="I20" s="2"/>
      <c r="J20" s="2"/>
    </row>
    <row r="21" spans="2:10" ht="12.75">
      <c r="B21" s="8" t="s">
        <v>98</v>
      </c>
      <c r="C21" s="2">
        <v>83950537.74477442</v>
      </c>
      <c r="D21" s="9">
        <v>0.029</v>
      </c>
      <c r="E21" s="12">
        <f t="shared" si="0"/>
        <v>2434565.594598458</v>
      </c>
      <c r="F21" s="9">
        <v>0.03</v>
      </c>
      <c r="G21" s="12">
        <f t="shared" si="1"/>
        <v>2518516.132343232</v>
      </c>
      <c r="H21" s="42">
        <f t="shared" si="2"/>
        <v>0.0344827586206895</v>
      </c>
      <c r="I21" s="2"/>
      <c r="J21" s="2"/>
    </row>
    <row r="22" spans="2:10" ht="12.75">
      <c r="B22" s="8" t="s">
        <v>99</v>
      </c>
      <c r="C22" s="2">
        <v>286458515.89116883</v>
      </c>
      <c r="D22" s="9">
        <v>-0.008</v>
      </c>
      <c r="E22" s="12">
        <f t="shared" si="0"/>
        <v>-2291668.127129351</v>
      </c>
      <c r="F22" s="9">
        <v>-0.008</v>
      </c>
      <c r="G22" s="12">
        <f t="shared" si="1"/>
        <v>-2291668.127129351</v>
      </c>
      <c r="H22" s="42">
        <f t="shared" si="2"/>
        <v>0</v>
      </c>
      <c r="I22" s="2"/>
      <c r="J22" s="2"/>
    </row>
    <row r="23" spans="1:9" ht="12.75">
      <c r="A23" s="8"/>
      <c r="B23" t="s">
        <v>243</v>
      </c>
      <c r="C23" s="2"/>
      <c r="D23" s="41"/>
      <c r="F23" s="41"/>
      <c r="G23" s="12">
        <f>-'IM FS Incentive '!H41</f>
        <v>-126869.34925303902</v>
      </c>
      <c r="I23" s="13"/>
    </row>
    <row r="24" spans="1:6" ht="12.75">
      <c r="A24" s="8" t="s">
        <v>100</v>
      </c>
      <c r="C24" s="2">
        <f>SUM(C10:C21)</f>
        <v>830887260</v>
      </c>
      <c r="F24" s="9"/>
    </row>
    <row r="25" spans="1:6" ht="12.75">
      <c r="A25" s="8" t="s">
        <v>101</v>
      </c>
      <c r="C25" s="2">
        <f>SUM(C7:C8)</f>
        <v>279193069</v>
      </c>
      <c r="F25" s="9"/>
    </row>
    <row r="26" spans="1:7" ht="12.75">
      <c r="A26" s="8" t="s">
        <v>102</v>
      </c>
      <c r="E26" s="13">
        <f>SUM(E7:E8,E10:E22)</f>
        <v>92675658.2547655</v>
      </c>
      <c r="F26" s="9"/>
      <c r="G26" s="13">
        <f>SUM(G7:G8,G10:G23)</f>
        <v>96205251.1908979</v>
      </c>
    </row>
    <row r="27" spans="1:7" ht="12.75">
      <c r="A27" t="s">
        <v>103</v>
      </c>
      <c r="C27" s="2">
        <v>1560623.4363194364</v>
      </c>
      <c r="D27" s="9">
        <v>0.159</v>
      </c>
      <c r="E27" s="12">
        <f>D27*C27</f>
        <v>248139.1263747904</v>
      </c>
      <c r="F27" s="9">
        <f>'Outside County'!H133</f>
        <v>0.165</v>
      </c>
      <c r="G27" s="12">
        <f>F27*C27</f>
        <v>257502.86699270702</v>
      </c>
    </row>
    <row r="28" spans="1:7" ht="13.5" thickBot="1">
      <c r="A28" t="s">
        <v>104</v>
      </c>
      <c r="C28" s="2">
        <v>540308</v>
      </c>
      <c r="D28" s="9">
        <v>0.015</v>
      </c>
      <c r="E28" s="12">
        <f>D28*C28</f>
        <v>8104.62</v>
      </c>
      <c r="F28" s="9">
        <v>0.005</v>
      </c>
      <c r="G28" s="12">
        <f>F28*C28</f>
        <v>2701.54</v>
      </c>
    </row>
    <row r="29" spans="1:8" ht="13.5" thickTop="1">
      <c r="A29" t="s">
        <v>105</v>
      </c>
      <c r="E29" s="13">
        <f>E26+E27+E28</f>
        <v>92931902.0011403</v>
      </c>
      <c r="G29" s="13">
        <f>G26+G27+G28</f>
        <v>96465455.59789062</v>
      </c>
      <c r="H29" s="25" t="s">
        <v>117</v>
      </c>
    </row>
    <row r="30" spans="1:8" ht="13.5" thickBot="1">
      <c r="A30" s="24" t="s">
        <v>116</v>
      </c>
      <c r="E30" s="28">
        <f>E29/$C$24</f>
        <v>0.11184658433821731</v>
      </c>
      <c r="F30" s="24"/>
      <c r="G30" s="28">
        <f>G29/$C$24</f>
        <v>0.11609933169259402</v>
      </c>
      <c r="H30" s="26">
        <f>(G30/E30)-1</f>
        <v>0.038023041825905546</v>
      </c>
    </row>
    <row r="31" ht="13.5" thickTop="1">
      <c r="A31" s="19"/>
    </row>
    <row r="32" spans="1:6" ht="12.75">
      <c r="A32" s="8" t="s">
        <v>228</v>
      </c>
      <c r="C32" s="2"/>
      <c r="F32" s="39"/>
    </row>
    <row r="33" spans="1:6" ht="12.75">
      <c r="A33" s="8" t="s">
        <v>227</v>
      </c>
      <c r="C33" s="2"/>
      <c r="F33" s="39"/>
    </row>
    <row r="34" spans="1:7" ht="12.75">
      <c r="A34" s="8" t="s">
        <v>231</v>
      </c>
      <c r="E34" s="13"/>
      <c r="F34" s="39"/>
      <c r="G34" s="13"/>
    </row>
    <row r="35" spans="3:7" ht="12.75">
      <c r="C35" s="2"/>
      <c r="D35" s="39"/>
      <c r="E35" s="13"/>
      <c r="F35" s="39"/>
      <c r="G35" s="13"/>
    </row>
    <row r="36" spans="3:7" ht="12.75">
      <c r="C36" s="2"/>
      <c r="D36" s="39"/>
      <c r="E36" s="13"/>
      <c r="F36" s="39"/>
      <c r="G36" s="13"/>
    </row>
    <row r="37" spans="5:7" ht="12.75">
      <c r="E37" s="13"/>
      <c r="G37" s="13"/>
    </row>
    <row r="38" spans="1:8" ht="12.75">
      <c r="A38" s="39"/>
      <c r="E38" s="74"/>
      <c r="F38" s="39"/>
      <c r="G38" s="74"/>
      <c r="H38" s="23"/>
    </row>
  </sheetData>
  <printOptions/>
  <pageMargins left="0.17" right="0.16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2">
      <selection activeCell="F4" sqref="F4"/>
    </sheetView>
  </sheetViews>
  <sheetFormatPr defaultColWidth="9.140625" defaultRowHeight="12.75"/>
  <cols>
    <col min="1" max="2" width="3.57421875" style="0" customWidth="1"/>
    <col min="3" max="3" width="35.7109375" style="0" customWidth="1"/>
    <col min="4" max="4" width="36.57421875" style="0" customWidth="1"/>
    <col min="5" max="5" width="14.7109375" style="0" customWidth="1"/>
    <col min="6" max="6" width="12.28125" style="0" customWidth="1"/>
    <col min="7" max="7" width="12.8515625" style="0" customWidth="1"/>
  </cols>
  <sheetData>
    <row r="1" spans="1:4" ht="12.75">
      <c r="A1" s="22" t="s">
        <v>133</v>
      </c>
      <c r="B1" s="22"/>
      <c r="C1" s="22"/>
      <c r="D1" s="22"/>
    </row>
    <row r="2" spans="1:4" ht="12.75">
      <c r="A2" s="22"/>
      <c r="B2" s="22"/>
      <c r="C2" s="22"/>
      <c r="D2" s="47"/>
    </row>
    <row r="3" spans="1:4" ht="12.75">
      <c r="A3" s="22"/>
      <c r="B3" s="22"/>
      <c r="C3" s="22"/>
      <c r="D3" s="22"/>
    </row>
    <row r="4" spans="1:7" ht="25.5">
      <c r="A4" s="22"/>
      <c r="B4" s="22"/>
      <c r="C4" s="22" t="s">
        <v>134</v>
      </c>
      <c r="D4" s="22" t="s">
        <v>135</v>
      </c>
      <c r="E4" s="52" t="s">
        <v>160</v>
      </c>
      <c r="F4" s="21" t="s">
        <v>163</v>
      </c>
      <c r="G4" s="53" t="s">
        <v>161</v>
      </c>
    </row>
    <row r="5" spans="1:4" ht="12.75">
      <c r="A5" s="22"/>
      <c r="B5" s="22"/>
      <c r="C5" s="22"/>
      <c r="D5" s="22"/>
    </row>
    <row r="6" spans="1:4" ht="12.75">
      <c r="A6" s="22" t="s">
        <v>136</v>
      </c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 t="s">
        <v>137</v>
      </c>
      <c r="C8" s="22"/>
      <c r="D8" s="22"/>
    </row>
    <row r="9" spans="3:7" ht="12.75">
      <c r="C9" t="s">
        <v>138</v>
      </c>
      <c r="D9" t="s">
        <v>139</v>
      </c>
      <c r="E9" s="39">
        <f>'Outside County'!H30-'Outside County'!H36</f>
        <v>0.034999999999999976</v>
      </c>
      <c r="F9" s="49">
        <f>ROUND(0.0349900579786329,3)</f>
        <v>0.035</v>
      </c>
      <c r="G9" s="7">
        <f aca="true" t="shared" si="0" ref="G9:G14">+E9/F9</f>
        <v>0.9999999999999992</v>
      </c>
    </row>
    <row r="10" spans="3:7" ht="12.75">
      <c r="C10" t="s">
        <v>140</v>
      </c>
      <c r="D10" t="s">
        <v>138</v>
      </c>
      <c r="E10" s="39">
        <f>'Outside County'!H36-'Outside County'!H42</f>
        <v>0.017000000000000015</v>
      </c>
      <c r="F10" s="49">
        <f>ROUND(0.016824365210643,3)</f>
        <v>0.017</v>
      </c>
      <c r="G10" s="7">
        <f t="shared" si="0"/>
        <v>1.0000000000000009</v>
      </c>
    </row>
    <row r="11" spans="3:7" ht="12.75">
      <c r="C11" t="s">
        <v>141</v>
      </c>
      <c r="D11" t="s">
        <v>140</v>
      </c>
      <c r="E11" s="39">
        <f>'Outside County'!H42-'Outside County'!H48</f>
        <v>0.09700000000000003</v>
      </c>
      <c r="F11" s="49">
        <f>ROUND(0.0971155528538347,3)</f>
        <v>0.097</v>
      </c>
      <c r="G11" s="7">
        <f t="shared" si="0"/>
        <v>1.0000000000000002</v>
      </c>
    </row>
    <row r="12" spans="3:7" ht="12.75">
      <c r="C12" t="s">
        <v>130</v>
      </c>
      <c r="D12" t="s">
        <v>141</v>
      </c>
      <c r="E12" s="39">
        <f>'Outside County'!H48-'Outside County'!H53</f>
        <v>0.10799999999999998</v>
      </c>
      <c r="F12" s="49">
        <f>ROUND(0.133863186117475,3)</f>
        <v>0.134</v>
      </c>
      <c r="G12" s="7">
        <f t="shared" si="0"/>
        <v>0.8059701492537312</v>
      </c>
    </row>
    <row r="13" spans="3:7" ht="12.75">
      <c r="C13" t="s">
        <v>30</v>
      </c>
      <c r="D13" t="s">
        <v>130</v>
      </c>
      <c r="E13" s="39">
        <f>'Outside County'!H53-'Outside County'!H54</f>
        <v>0.026999999999999996</v>
      </c>
      <c r="F13" s="49">
        <f>ROUND(0.0271084056402783,3)</f>
        <v>0.027</v>
      </c>
      <c r="G13" s="7">
        <f t="shared" si="0"/>
        <v>0.9999999999999999</v>
      </c>
    </row>
    <row r="14" spans="3:7" ht="12.75">
      <c r="C14" t="s">
        <v>142</v>
      </c>
      <c r="D14" t="s">
        <v>30</v>
      </c>
      <c r="E14" s="39">
        <f>'Outside County'!H54-'Outside County'!H55</f>
        <v>0.01899999999999999</v>
      </c>
      <c r="F14" s="49">
        <f>ROUND(0.0186630453069844,3)</f>
        <v>0.019</v>
      </c>
      <c r="G14" s="7">
        <f t="shared" si="0"/>
        <v>0.9999999999999994</v>
      </c>
    </row>
    <row r="15" spans="5:7" ht="12.75">
      <c r="E15" s="39"/>
      <c r="F15" s="50"/>
      <c r="G15" s="7"/>
    </row>
    <row r="16" spans="3:7" ht="12.75">
      <c r="C16" t="s">
        <v>143</v>
      </c>
      <c r="D16" t="s">
        <v>144</v>
      </c>
      <c r="E16" s="39">
        <f>'Outside County'!H32-'Outside County'!H38</f>
        <v>0.026000000000000023</v>
      </c>
      <c r="F16" s="49">
        <f>ROUND(0.0261033949546707,3)</f>
        <v>0.026</v>
      </c>
      <c r="G16" s="7">
        <f>+E16/F16</f>
        <v>1.0000000000000009</v>
      </c>
    </row>
    <row r="17" spans="3:7" ht="12.75">
      <c r="C17" t="s">
        <v>145</v>
      </c>
      <c r="D17" t="s">
        <v>143</v>
      </c>
      <c r="E17" s="39">
        <f>'Outside County'!H38-'Outside County'!H44</f>
        <v>0.015000000000000013</v>
      </c>
      <c r="F17" s="49">
        <f>ROUND(0.0153292924451325,3)</f>
        <v>0.015</v>
      </c>
      <c r="G17" s="7">
        <f>+E17/F17</f>
        <v>1.0000000000000009</v>
      </c>
    </row>
    <row r="18" spans="3:7" ht="12.75">
      <c r="C18" t="s">
        <v>146</v>
      </c>
      <c r="D18" t="s">
        <v>145</v>
      </c>
      <c r="E18" s="39">
        <f>'Outside County'!H44-'Outside County'!H50</f>
        <v>0.08599999999999997</v>
      </c>
      <c r="F18" s="49">
        <f>ROUND(0.0858490751475576,3)</f>
        <v>0.086</v>
      </c>
      <c r="G18" s="7">
        <f>+E18/F18</f>
        <v>0.9999999999999997</v>
      </c>
    </row>
    <row r="19" spans="5:7" ht="12.75">
      <c r="E19" s="39"/>
      <c r="F19" s="50"/>
      <c r="G19" s="7"/>
    </row>
    <row r="20" spans="3:7" ht="12.75">
      <c r="C20" t="s">
        <v>147</v>
      </c>
      <c r="D20" t="s">
        <v>148</v>
      </c>
      <c r="E20" s="39">
        <f>'Outside County'!H29-'Outside County'!H35</f>
        <v>0.11499999999999999</v>
      </c>
      <c r="F20" s="49">
        <f>ROUND(0.111365753928681,3)</f>
        <v>0.111</v>
      </c>
      <c r="G20" s="7">
        <f>+E20/F20</f>
        <v>1.036036036036036</v>
      </c>
    </row>
    <row r="21" spans="3:7" ht="12.75">
      <c r="C21" t="s">
        <v>149</v>
      </c>
      <c r="D21" t="s">
        <v>147</v>
      </c>
      <c r="E21" s="39">
        <f>'Outside County'!H35-'Outside County'!H41</f>
        <v>0.07400000000000001</v>
      </c>
      <c r="F21" s="49">
        <f>ROUND(0.0948480325946632,3)</f>
        <v>0.095</v>
      </c>
      <c r="G21" s="7">
        <f>+E21/F21</f>
        <v>0.7789473684210527</v>
      </c>
    </row>
    <row r="22" spans="3:7" ht="12.75">
      <c r="C22" t="s">
        <v>150</v>
      </c>
      <c r="D22" t="s">
        <v>149</v>
      </c>
      <c r="E22" s="39">
        <f>'Outside County'!H41-'Outside County'!H47</f>
        <v>0.11599999999999999</v>
      </c>
      <c r="F22" s="49">
        <f>ROUND(0.19368647369626,3)</f>
        <v>0.194</v>
      </c>
      <c r="G22" s="7">
        <f>+E22/F22</f>
        <v>0.5979381443298969</v>
      </c>
    </row>
    <row r="23" spans="5:7" ht="12.75">
      <c r="E23" s="39"/>
      <c r="F23" s="50"/>
      <c r="G23" s="7"/>
    </row>
    <row r="24" spans="3:7" ht="12.75">
      <c r="C24" t="s">
        <v>151</v>
      </c>
      <c r="D24" t="s">
        <v>152</v>
      </c>
      <c r="E24" s="39">
        <f>'Outside County'!H31-'Outside County'!H37</f>
        <v>0.09400000000000008</v>
      </c>
      <c r="F24" s="49">
        <f>ROUND(0.0894653279490555,3)</f>
        <v>0.089</v>
      </c>
      <c r="G24" s="7">
        <f>+E24/F24</f>
        <v>1.0561797752809</v>
      </c>
    </row>
    <row r="25" spans="3:7" ht="12.75">
      <c r="C25" t="s">
        <v>153</v>
      </c>
      <c r="D25" t="s">
        <v>151</v>
      </c>
      <c r="E25" s="39">
        <f>'Outside County'!H37-'Outside County'!H43</f>
        <v>0.06</v>
      </c>
      <c r="F25" s="49">
        <f>ROUND(0.0654103534431509,3)</f>
        <v>0.065</v>
      </c>
      <c r="G25" s="7">
        <f>+E25/F25</f>
        <v>0.923076923076923</v>
      </c>
    </row>
    <row r="26" spans="3:7" ht="12.75">
      <c r="C26" t="s">
        <v>154</v>
      </c>
      <c r="D26" t="s">
        <v>153</v>
      </c>
      <c r="E26">
        <f>'Outside County'!H43-'Outside County'!H49</f>
        <v>0.10699999999999998</v>
      </c>
      <c r="F26" s="49">
        <f>ROUND(0.148250090522904,3)</f>
        <v>0.148</v>
      </c>
      <c r="G26" s="7">
        <f>+E26/F26</f>
        <v>0.7229729729729729</v>
      </c>
    </row>
    <row r="27" spans="6:7" ht="12.75">
      <c r="F27" s="50"/>
      <c r="G27" s="7"/>
    </row>
    <row r="28" spans="2:7" ht="12.75">
      <c r="B28" t="s">
        <v>155</v>
      </c>
      <c r="F28" s="50"/>
      <c r="G28" s="7"/>
    </row>
    <row r="29" spans="3:7" ht="12.75">
      <c r="C29" t="s">
        <v>144</v>
      </c>
      <c r="D29" t="s">
        <v>139</v>
      </c>
      <c r="E29" s="39">
        <f>'Outside County'!H30-'Outside County'!H32</f>
        <v>0.03199999999999997</v>
      </c>
      <c r="F29" s="49">
        <f>ROUND(0.0321085067987118,3)</f>
        <v>0.032</v>
      </c>
      <c r="G29" s="7">
        <f>+E29/F29</f>
        <v>0.9999999999999991</v>
      </c>
    </row>
    <row r="30" spans="5:7" ht="12.75">
      <c r="E30" s="39"/>
      <c r="F30" s="50"/>
      <c r="G30" s="7"/>
    </row>
    <row r="31" spans="3:7" ht="12.75">
      <c r="C31" t="s">
        <v>152</v>
      </c>
      <c r="D31" t="s">
        <v>148</v>
      </c>
      <c r="E31" s="39">
        <f>'Outside County'!H29-'Outside County'!H31</f>
        <v>0.04499999999999993</v>
      </c>
      <c r="F31" s="49">
        <f>ROUND(0.103637449788719,3)</f>
        <v>0.104</v>
      </c>
      <c r="G31" s="7">
        <f>+E31/F31</f>
        <v>0.43269230769230704</v>
      </c>
    </row>
    <row r="32" ht="12.75">
      <c r="G32" s="7"/>
    </row>
    <row r="33" ht="12.75">
      <c r="B33" t="s">
        <v>162</v>
      </c>
    </row>
    <row r="34" spans="3:7" ht="12.75">
      <c r="C34" t="s">
        <v>156</v>
      </c>
      <c r="D34" t="s">
        <v>157</v>
      </c>
      <c r="E34" s="39">
        <f>'Outside County'!H33-'Outside County'!H39</f>
        <v>0.03999999999999998</v>
      </c>
      <c r="F34" s="49">
        <f>ROUND(0.01746,3)</f>
        <v>0.017</v>
      </c>
      <c r="G34" s="7">
        <f>+E34/F34</f>
        <v>2.352941176470587</v>
      </c>
    </row>
    <row r="35" spans="3:7" ht="12.75">
      <c r="C35" t="s">
        <v>158</v>
      </c>
      <c r="D35" t="s">
        <v>156</v>
      </c>
      <c r="E35" s="39">
        <f>'Outside County'!H39-'Outside County'!H45</f>
        <v>0.020000000000000018</v>
      </c>
      <c r="F35" s="49">
        <f>ROUND(0.00231000000000001,3)</f>
        <v>0.002</v>
      </c>
      <c r="G35" s="7">
        <f>+E35/F35</f>
        <v>10.000000000000009</v>
      </c>
    </row>
    <row r="36" spans="3:7" ht="12.75">
      <c r="C36" t="s">
        <v>159</v>
      </c>
      <c r="D36" t="s">
        <v>158</v>
      </c>
      <c r="E36" s="39">
        <f>'Outside County'!H45-'Outside County'!H51</f>
        <v>0.06</v>
      </c>
      <c r="F36" s="49">
        <f>ROUND(0.01799,3)</f>
        <v>0.018</v>
      </c>
      <c r="G36" s="7">
        <f>+E36/F36</f>
        <v>3.3333333333333335</v>
      </c>
    </row>
    <row r="38" ht="12.75">
      <c r="A38" t="s">
        <v>190</v>
      </c>
    </row>
    <row r="39" ht="12.75">
      <c r="A39" t="s">
        <v>217</v>
      </c>
    </row>
    <row r="40" ht="12.75">
      <c r="B40" t="s">
        <v>204</v>
      </c>
    </row>
  </sheetData>
  <printOptions horizontalCentered="1" verticalCentered="1"/>
  <pageMargins left="0.75" right="0.75" top="0.25" bottom="0.4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taufiqah</dc:creator>
  <cp:keywords/>
  <dc:description/>
  <cp:lastModifiedBy>rubindh</cp:lastModifiedBy>
  <cp:lastPrinted>2009-02-09T19:24:10Z</cp:lastPrinted>
  <dcterms:created xsi:type="dcterms:W3CDTF">2007-12-12T20:48:44Z</dcterms:created>
  <dcterms:modified xsi:type="dcterms:W3CDTF">2009-02-10T18:05:24Z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