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165" windowWidth="12015" windowHeight="6405" tabRatio="628" activeTab="6"/>
  </bookViews>
  <sheets>
    <sheet name="list" sheetId="1" r:id="rId1"/>
    <sheet name="source" sheetId="2" r:id="rId2"/>
    <sheet name="cond" sheetId="3" r:id="rId3"/>
    <sheet name="emiss 1" sheetId="4" r:id="rId4"/>
    <sheet name="emiss 2" sheetId="5" r:id="rId5"/>
    <sheet name="feed 1" sheetId="6" r:id="rId6"/>
    <sheet name="feed 2" sheetId="7" r:id="rId7"/>
    <sheet name="process 1" sheetId="8" r:id="rId8"/>
    <sheet name="process 2" sheetId="9" r:id="rId9"/>
    <sheet name="df c10" sheetId="10" r:id="rId10"/>
    <sheet name="df c11" sheetId="11" r:id="rId11"/>
    <sheet name="df c1" sheetId="12" r:id="rId12"/>
    <sheet name="df c3" sheetId="13" r:id="rId13"/>
  </sheets>
  <definedNames>
    <definedName name="_xlnm.Print_Titles" localSheetId="5">'feed 1'!$B:$B</definedName>
    <definedName name="_xlnm.Print_Titles" localSheetId="6">'feed 2'!$B:$B</definedName>
  </definedNames>
  <calcPr fullCalcOnLoad="1"/>
</workbook>
</file>

<file path=xl/sharedStrings.xml><?xml version="1.0" encoding="utf-8"?>
<sst xmlns="http://schemas.openxmlformats.org/spreadsheetml/2006/main" count="2837" uniqueCount="304">
  <si>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</si>
  <si>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</si>
  <si>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</si>
  <si>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</si>
  <si>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</si>
  <si>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</si>
  <si>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</si>
  <si>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</si>
  <si>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</si>
  <si>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</si>
  <si>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</si>
  <si>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</si>
  <si>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Units</t>
  </si>
  <si>
    <t>nd</t>
  </si>
  <si>
    <t>%</t>
  </si>
  <si>
    <t>y</t>
  </si>
  <si>
    <t>dscfm</t>
  </si>
  <si>
    <t>°F</t>
  </si>
  <si>
    <t>PM</t>
  </si>
  <si>
    <t>gr/dscf</t>
  </si>
  <si>
    <t>HCl</t>
  </si>
  <si>
    <t>Chlorine</t>
  </si>
  <si>
    <t>Facility Name and ID:</t>
  </si>
  <si>
    <t>Condition ID:</t>
  </si>
  <si>
    <t>Condition/Test Date:</t>
  </si>
  <si>
    <t>I-TEF</t>
  </si>
  <si>
    <t>Run 1</t>
  </si>
  <si>
    <t>Run 2</t>
  </si>
  <si>
    <t>Run 3</t>
  </si>
  <si>
    <t>Wght Fact</t>
  </si>
  <si>
    <t>Total</t>
  </si>
  <si>
    <t xml:space="preserve"> TEQ</t>
  </si>
  <si>
    <t>TEQ</t>
  </si>
  <si>
    <t>2,3,7,8-TCDD</t>
  </si>
  <si>
    <t>TCDD Total</t>
  </si>
  <si>
    <t>1,2,3,7,8-PCDD</t>
  </si>
  <si>
    <t>PCDD Total</t>
  </si>
  <si>
    <t>1,2,3,4,7,8-HxCDD</t>
  </si>
  <si>
    <t>1,2,3,6,7,8-HxCDD</t>
  </si>
  <si>
    <t>1,2,3,7,8,9-HxCDD</t>
  </si>
  <si>
    <t>HxCDD Total</t>
  </si>
  <si>
    <t>1,2,3,4,6,7,8-HpCDD</t>
  </si>
  <si>
    <t>HpCDD Total</t>
  </si>
  <si>
    <t>OCDD</t>
  </si>
  <si>
    <t>2,3,7,8-TCDF</t>
  </si>
  <si>
    <t>TCDF Total</t>
  </si>
  <si>
    <t>1,2,3,7,8-PCDF</t>
  </si>
  <si>
    <t>2,3,4,7,8-PCDF</t>
  </si>
  <si>
    <t>PCDF Total</t>
  </si>
  <si>
    <t>1,2,3,4,7,8-HxCDF</t>
  </si>
  <si>
    <t>1,2,3,6,7,8-HxCDF</t>
  </si>
  <si>
    <t>2,3,4,6,7,8-HxCDF</t>
  </si>
  <si>
    <t>1,2,3,7,8,9-HxCDF</t>
  </si>
  <si>
    <t>HxCDF Total</t>
  </si>
  <si>
    <t>1,2,3,4,6,7,8-HpCDF</t>
  </si>
  <si>
    <t>1,2,3,4,7,8,9-HpCDF</t>
  </si>
  <si>
    <t>HpCDF Total</t>
  </si>
  <si>
    <t>OCDF</t>
  </si>
  <si>
    <t>Gas sample volume (dscf)</t>
  </si>
  <si>
    <t>O2 (%)</t>
  </si>
  <si>
    <t>PCDD/PCDF (ng/dscm @ 7% O2)</t>
  </si>
  <si>
    <t>O2</t>
  </si>
  <si>
    <t>Combustor Characteristics</t>
  </si>
  <si>
    <t>ppmv</t>
  </si>
  <si>
    <t>Spike</t>
  </si>
  <si>
    <t>Cl2</t>
  </si>
  <si>
    <t>ug/dscm</t>
  </si>
  <si>
    <t>Cond Avg</t>
  </si>
  <si>
    <t>Stack Gas Flowrate</t>
  </si>
  <si>
    <t>Oxygen</t>
  </si>
  <si>
    <t>MMBtu/hr</t>
  </si>
  <si>
    <t>7% O2</t>
  </si>
  <si>
    <t>1/2 ND</t>
  </si>
  <si>
    <t>TEQ Cond Avg</t>
  </si>
  <si>
    <t>Total Cond Avg</t>
  </si>
  <si>
    <t>SVM</t>
  </si>
  <si>
    <t>LVM</t>
  </si>
  <si>
    <t>HW</t>
  </si>
  <si>
    <t>DRE</t>
  </si>
  <si>
    <t>ng/dscm</t>
  </si>
  <si>
    <t>RA</t>
  </si>
  <si>
    <t>Other</t>
  </si>
  <si>
    <t>Capacity (MMBtu/hr)</t>
  </si>
  <si>
    <t>PCDD/PCDF</t>
  </si>
  <si>
    <t>Supplemental Fuel</t>
  </si>
  <si>
    <t>Haz Waste Description</t>
  </si>
  <si>
    <t xml:space="preserve">    Gas Velocity (ft/sec)</t>
  </si>
  <si>
    <t xml:space="preserve">    Gas Temperature (°F)</t>
  </si>
  <si>
    <t>Feedrate MTEC Calculations</t>
  </si>
  <si>
    <t>Source Description</t>
  </si>
  <si>
    <t>Hazardous Wastes</t>
  </si>
  <si>
    <t xml:space="preserve">   Temperature</t>
  </si>
  <si>
    <t xml:space="preserve">   Stack Gas Flowrate</t>
  </si>
  <si>
    <t>Comments</t>
  </si>
  <si>
    <t>PM, HCl/Cl2</t>
  </si>
  <si>
    <t xml:space="preserve">   O2</t>
  </si>
  <si>
    <t xml:space="preserve">   Moisture</t>
  </si>
  <si>
    <t>Sampling Train</t>
  </si>
  <si>
    <t>Arsenic</t>
  </si>
  <si>
    <t>Barium</t>
  </si>
  <si>
    <t>Beryllium</t>
  </si>
  <si>
    <t>Thallium</t>
  </si>
  <si>
    <t>Antimony</t>
  </si>
  <si>
    <t>Lead</t>
  </si>
  <si>
    <t>Nickel</t>
  </si>
  <si>
    <t>Cadmium</t>
  </si>
  <si>
    <t>Silver</t>
  </si>
  <si>
    <t>Chromium</t>
  </si>
  <si>
    <t>Feedstream Description</t>
  </si>
  <si>
    <t>*</t>
  </si>
  <si>
    <t>Mercury</t>
  </si>
  <si>
    <t>Feed Rate</t>
  </si>
  <si>
    <t>HWC Burn Status (Date if Terminated)</t>
  </si>
  <si>
    <t>Phase I ID No.</t>
  </si>
  <si>
    <t>Wet, long</t>
  </si>
  <si>
    <t>ESP</t>
  </si>
  <si>
    <t>Y</t>
  </si>
  <si>
    <t>Max comb temp, max metals, chlorine</t>
  </si>
  <si>
    <t>Metals</t>
  </si>
  <si>
    <t>CO (MHRA)</t>
  </si>
  <si>
    <t>HC (RA)</t>
  </si>
  <si>
    <t>g/hr</t>
  </si>
  <si>
    <t>Raw Matl</t>
  </si>
  <si>
    <t>Coal</t>
  </si>
  <si>
    <t>R1</t>
  </si>
  <si>
    <t>R2</t>
  </si>
  <si>
    <t>R3</t>
  </si>
  <si>
    <t>ESP Inlet Temp</t>
  </si>
  <si>
    <t>F</t>
  </si>
  <si>
    <t>ESP Power</t>
  </si>
  <si>
    <t>kVA</t>
  </si>
  <si>
    <t>min HRA</t>
  </si>
  <si>
    <t>max HRA</t>
  </si>
  <si>
    <t>max op cond</t>
  </si>
  <si>
    <t>POHC DRE</t>
  </si>
  <si>
    <t>POHC Feedrate</t>
  </si>
  <si>
    <t>Emission Rate</t>
  </si>
  <si>
    <t>Liq Waste</t>
  </si>
  <si>
    <t>Selenium</t>
  </si>
  <si>
    <t>Combustion Temp</t>
  </si>
  <si>
    <t>D/F, DRE test</t>
  </si>
  <si>
    <t>Thermal Feedrate</t>
  </si>
  <si>
    <t>&gt;</t>
  </si>
  <si>
    <t>Keystone</t>
  </si>
  <si>
    <t>Bath</t>
  </si>
  <si>
    <t>PA</t>
  </si>
  <si>
    <t>Roy F Weston</t>
  </si>
  <si>
    <t>Tier I for Hg, Ag, Tl, Sb, and Ba; Tier III for Pb, As, Be, Cd, and Cr</t>
  </si>
  <si>
    <t>Liq, sludge</t>
  </si>
  <si>
    <t>CoC; max metals, chlorine, waste, slurry, min ESP power</t>
  </si>
  <si>
    <t>Kiln No. 2</t>
  </si>
  <si>
    <t>BIF Recertification of Compliance, Number 2 Kiln, Keystone Cement Company, Bath, Pennsylvania, November 6, 1998</t>
  </si>
  <si>
    <t>208C10</t>
  </si>
  <si>
    <t>208C11</t>
  </si>
  <si>
    <t>PCE (perchloroethylene)</t>
  </si>
  <si>
    <t>lb/hr</t>
  </si>
  <si>
    <t>1,2 DCB (Dichlorobenzene)</t>
  </si>
  <si>
    <t>TCB (trichlorobenzene)</t>
  </si>
  <si>
    <t>RCRA Trial Burn Test Report, Keystone Cement Company, Kilns No. 1 and No. 2, Bath, PA, Test Dates: 7-10 December 1999, April 2000</t>
  </si>
  <si>
    <t>TB, low temp, POHC DRE</t>
  </si>
  <si>
    <t>g/s</t>
  </si>
  <si>
    <t>PCDD/PCDF, POHC</t>
  </si>
  <si>
    <t>not available</t>
  </si>
  <si>
    <t>Stack Gas Catch (pg)</t>
  </si>
  <si>
    <t>Run 4</t>
  </si>
  <si>
    <t>208, Keystone Cement, Bath, PA, Kiln No. 2</t>
  </si>
  <si>
    <t>Dec 7-8, 1999</t>
  </si>
  <si>
    <t>PCDD/PCDF (ng sample)</t>
  </si>
  <si>
    <t>PAD003368891</t>
  </si>
  <si>
    <t>Report Name/Date</t>
  </si>
  <si>
    <t>Report Prepare</t>
  </si>
  <si>
    <t>Testing Firm</t>
  </si>
  <si>
    <t>Testing Dates</t>
  </si>
  <si>
    <t>Condition Descr</t>
  </si>
  <si>
    <t>Content</t>
  </si>
  <si>
    <t>208C1</t>
  </si>
  <si>
    <t>BIF Compliance Certification, Cement Kiln Number Two, Keystone Cement, Bath PA, August 1992,  Amendments submitted January 1993</t>
  </si>
  <si>
    <t>Cond Descr</t>
  </si>
  <si>
    <t>CoC, MAX PROD, MAX TIER III SPIKE, MAX SLURRY FEED</t>
  </si>
  <si>
    <t>208C2</t>
  </si>
  <si>
    <t>CoC, MAX PROD, &gt;25% TIER III SPIKE, MAX SLURRY FEED</t>
  </si>
  <si>
    <t>208C3</t>
  </si>
  <si>
    <t>Keystone Cement Company, Bath, Pennsylvania, Source Emissions Compliance Test Report, Test Dates October 28 - November 1, 1996, January 1997, Work Order No. 0239-019-001</t>
  </si>
  <si>
    <t>Roy F. Weston</t>
  </si>
  <si>
    <t>purpose of test not clear</t>
  </si>
  <si>
    <t>October 28-29, 1996</t>
  </si>
  <si>
    <t>R4</t>
  </si>
  <si>
    <t>R5</t>
  </si>
  <si>
    <t>R6</t>
  </si>
  <si>
    <t/>
  </si>
  <si>
    <t>CO (RA)</t>
  </si>
  <si>
    <t>Chromium (Hex)</t>
  </si>
  <si>
    <t>Cr Hex</t>
  </si>
  <si>
    <t>Dioxin &amp; Furan</t>
  </si>
  <si>
    <t>Halogens</t>
  </si>
  <si>
    <t>Particulate</t>
  </si>
  <si>
    <t>Metal Cr spike</t>
  </si>
  <si>
    <t>Metal Pb spike</t>
  </si>
  <si>
    <t>Metal As/Cd spike</t>
  </si>
  <si>
    <t>Metal Be spike</t>
  </si>
  <si>
    <t>Btu/lb</t>
  </si>
  <si>
    <t>Full ND</t>
  </si>
  <si>
    <t>4D 2378</t>
  </si>
  <si>
    <t>4D Other</t>
  </si>
  <si>
    <t>4D Total</t>
  </si>
  <si>
    <t>5D 12378</t>
  </si>
  <si>
    <t>5D Other</t>
  </si>
  <si>
    <t>5D Total</t>
  </si>
  <si>
    <t>6D 123478</t>
  </si>
  <si>
    <t>6D 123678</t>
  </si>
  <si>
    <t>6D 123789</t>
  </si>
  <si>
    <t>6D Other</t>
  </si>
  <si>
    <t>6D Total</t>
  </si>
  <si>
    <t>7D 1234678</t>
  </si>
  <si>
    <t>7D Other</t>
  </si>
  <si>
    <t>7D Total</t>
  </si>
  <si>
    <t>8D</t>
  </si>
  <si>
    <t>4F 2378</t>
  </si>
  <si>
    <t>4F Other</t>
  </si>
  <si>
    <t>4F Total</t>
  </si>
  <si>
    <t>5F 12378</t>
  </si>
  <si>
    <t>5F 23478</t>
  </si>
  <si>
    <t>5F Other</t>
  </si>
  <si>
    <t>5F Total</t>
  </si>
  <si>
    <t>6F 123478</t>
  </si>
  <si>
    <t>6F 123678</t>
  </si>
  <si>
    <t>6F 123789</t>
  </si>
  <si>
    <t>6F 234678</t>
  </si>
  <si>
    <t>6F Other</t>
  </si>
  <si>
    <t>6F Total</t>
  </si>
  <si>
    <t>7F 1234678</t>
  </si>
  <si>
    <t>7F 1234789</t>
  </si>
  <si>
    <t>7F Other</t>
  </si>
  <si>
    <t>7F Total</t>
  </si>
  <si>
    <t>8F</t>
  </si>
  <si>
    <t>Total PCDD/PCDF</t>
  </si>
  <si>
    <t>Cond Description</t>
  </si>
  <si>
    <t>R.F. Weston</t>
  </si>
  <si>
    <t>July 17-19, 2002</t>
  </si>
  <si>
    <t>July 19-22, 1992</t>
  </si>
  <si>
    <t>Combustor Type</t>
  </si>
  <si>
    <t>Combustor Class</t>
  </si>
  <si>
    <t>Stack Gas Emissions 1</t>
  </si>
  <si>
    <t>Stack Gas Emissions 2</t>
  </si>
  <si>
    <t xml:space="preserve">2 field, 2 in parallel?, SCA = 430, </t>
  </si>
  <si>
    <t>20810</t>
  </si>
  <si>
    <t>Combustion Temperature</t>
  </si>
  <si>
    <t>ESP Temperature</t>
  </si>
  <si>
    <t>Process Information 2</t>
  </si>
  <si>
    <t>Process Information 1</t>
  </si>
  <si>
    <t>Feedstream 2</t>
  </si>
  <si>
    <t>Feedstream 1</t>
  </si>
  <si>
    <t>E1</t>
  </si>
  <si>
    <t>Total Chlorine</t>
  </si>
  <si>
    <t>E2</t>
  </si>
  <si>
    <t>E3</t>
  </si>
  <si>
    <t>E4</t>
  </si>
  <si>
    <t>E5</t>
  </si>
  <si>
    <t xml:space="preserve">LVM </t>
  </si>
  <si>
    <t>Cond Dates</t>
  </si>
  <si>
    <t>December 7-10, 1999</t>
  </si>
  <si>
    <t>Number of Sister Facilities</t>
  </si>
  <si>
    <t>APCS Detailed Acronym</t>
  </si>
  <si>
    <t>APCS General Class</t>
  </si>
  <si>
    <t>source</t>
  </si>
  <si>
    <t>cond</t>
  </si>
  <si>
    <t>emiss 1</t>
  </si>
  <si>
    <t>emiss 2</t>
  </si>
  <si>
    <t>feed 1</t>
  </si>
  <si>
    <t>feed 2</t>
  </si>
  <si>
    <t>process 1</t>
  </si>
  <si>
    <t>process 2</t>
  </si>
  <si>
    <t>df c11</t>
  </si>
  <si>
    <t>df c3</t>
  </si>
  <si>
    <t>df c1</t>
  </si>
  <si>
    <t>Cement Kiln (CK)</t>
  </si>
  <si>
    <t>Feedstream Number</t>
  </si>
  <si>
    <t>Feed Class</t>
  </si>
  <si>
    <t>Heating Value</t>
  </si>
  <si>
    <t>F1</t>
  </si>
  <si>
    <t>Raw Material</t>
  </si>
  <si>
    <t>F2</t>
  </si>
  <si>
    <t>Liq HW</t>
  </si>
  <si>
    <t>F3</t>
  </si>
  <si>
    <t>F4</t>
  </si>
  <si>
    <t>F5</t>
  </si>
  <si>
    <t>F6</t>
  </si>
  <si>
    <t>F7</t>
  </si>
  <si>
    <t>F8</t>
  </si>
  <si>
    <t>F9</t>
  </si>
  <si>
    <t>Feed Class 2</t>
  </si>
  <si>
    <t>RM</t>
  </si>
  <si>
    <t>Note: R1 removed (not representative of process conditions)</t>
  </si>
  <si>
    <t>Flame Temperature</t>
  </si>
  <si>
    <t>Note: Run 1 removed (Not representative of process conditions)</t>
  </si>
  <si>
    <t>df c10</t>
  </si>
  <si>
    <t>9/23/1999, CoC</t>
  </si>
  <si>
    <t>PM, metals, HCl/Cl2, CO, PCDD/PCDF</t>
  </si>
  <si>
    <t>POHC DRE, PM, HCl/Cl2, HC, metals (no spiking)</t>
  </si>
  <si>
    <t>metals</t>
  </si>
  <si>
    <t>N</t>
  </si>
  <si>
    <t>Raw material</t>
  </si>
  <si>
    <t>Liquid waste</t>
  </si>
  <si>
    <t>Liquid waste 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</si>
</sst>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0.00000"/>
    <numFmt numFmtId="169" formatCode="0.0E+00"/>
    <numFmt numFmtId="170" formatCode="0.000000"/>
    <numFmt numFmtId="171" formatCode="0.000E+00"/>
    <numFmt numFmtId="172" formatCode="mm/dd/yy"/>
    <numFmt numFmtId="173" formatCode="0.000000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11" fontId="0" fillId="0" borderId="0" xfId="0" applyNumberFormat="1" applyFont="1" applyFill="1" applyBorder="1" applyAlignment="1">
      <alignment horizontal="right"/>
    </xf>
    <xf numFmtId="11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vertical="top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172" fontId="0" fillId="0" borderId="0" xfId="0" applyNumberFormat="1" applyAlignment="1">
      <alignment horizontal="left"/>
    </xf>
    <xf numFmtId="168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15" fontId="0" fillId="0" borderId="0" xfId="0" applyNumberFormat="1" applyFont="1" applyBorder="1" applyAlignment="1">
      <alignment horizontal="left"/>
    </xf>
    <xf numFmtId="165" fontId="0" fillId="0" borderId="0" xfId="0" applyNumberFormat="1" applyFill="1" applyBorder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Font="1" applyFill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0" fontId="3" fillId="0" borderId="0" xfId="0" applyFont="1" applyAlignment="1">
      <alignment/>
    </xf>
    <xf numFmtId="16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B7" sqref="B7"/>
    </sheetView>
  </sheetViews>
  <sheetFormatPr defaultColWidth="9.140625" defaultRowHeight="12.75"/>
  <sheetData>
    <row r="1" ht="12.75">
      <c r="A1" t="s">
        <v>264</v>
      </c>
    </row>
    <row r="2" ht="12.75">
      <c r="A2" t="s">
        <v>265</v>
      </c>
    </row>
    <row r="3" ht="12.75">
      <c r="A3" t="s">
        <v>266</v>
      </c>
    </row>
    <row r="4" ht="12.75">
      <c r="A4" t="s">
        <v>267</v>
      </c>
    </row>
    <row r="5" ht="12.75">
      <c r="A5" t="s">
        <v>268</v>
      </c>
    </row>
    <row r="6" ht="12.75">
      <c r="A6" t="s">
        <v>269</v>
      </c>
    </row>
    <row r="7" ht="12.75">
      <c r="A7" t="s">
        <v>270</v>
      </c>
    </row>
    <row r="8" ht="12.75">
      <c r="A8" t="s">
        <v>271</v>
      </c>
    </row>
    <row r="9" ht="12.75">
      <c r="A9" t="s">
        <v>295</v>
      </c>
    </row>
    <row r="10" ht="12.75">
      <c r="A10" t="s">
        <v>272</v>
      </c>
    </row>
    <row r="11" ht="12.75">
      <c r="A11" t="s">
        <v>274</v>
      </c>
    </row>
    <row r="12" ht="12.75">
      <c r="A12" t="s">
        <v>273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38"/>
  <sheetViews>
    <sheetView workbookViewId="0" topLeftCell="A1">
      <selection activeCell="C1" sqref="C1"/>
    </sheetView>
  </sheetViews>
  <sheetFormatPr defaultColWidth="9.140625" defaultRowHeight="12.75"/>
  <cols>
    <col min="1" max="1" width="2.28125" style="4" customWidth="1"/>
    <col min="2" max="2" width="25.8515625" style="4" customWidth="1"/>
    <col min="3" max="3" width="7.8515625" style="4" customWidth="1"/>
    <col min="4" max="4" width="4.57421875" style="5" customWidth="1"/>
    <col min="5" max="5" width="8.7109375" style="6" customWidth="1"/>
    <col min="6" max="6" width="7.7109375" style="7" customWidth="1"/>
    <col min="7" max="7" width="8.57421875" style="6" customWidth="1"/>
    <col min="8" max="8" width="7.7109375" style="7" customWidth="1"/>
    <col min="9" max="9" width="3.57421875" style="8" customWidth="1"/>
    <col min="10" max="10" width="7.00390625" style="6" customWidth="1"/>
    <col min="11" max="11" width="8.28125" style="6" customWidth="1"/>
    <col min="12" max="12" width="9.140625" style="6" customWidth="1"/>
    <col min="13" max="13" width="8.28125" style="6" customWidth="1"/>
    <col min="14" max="14" width="4.7109375" style="8" customWidth="1"/>
    <col min="15" max="15" width="7.8515625" style="6" customWidth="1"/>
    <col min="16" max="16" width="8.7109375" style="6" customWidth="1"/>
    <col min="17" max="17" width="9.421875" style="6" customWidth="1"/>
    <col min="18" max="18" width="8.7109375" style="6" customWidth="1"/>
    <col min="19" max="19" width="7.421875" style="0" customWidth="1"/>
    <col min="20" max="31" width="10.8515625" style="0" customWidth="1"/>
    <col min="32" max="16384" width="10.8515625" style="4" customWidth="1"/>
  </cols>
  <sheetData>
    <row r="1" ht="12.75">
      <c r="A1" s="42" t="s">
        <v>83</v>
      </c>
    </row>
    <row r="2" ht="12.75">
      <c r="A2" s="4" t="s">
        <v>300</v>
      </c>
    </row>
    <row r="3" spans="1:3" ht="12.75">
      <c r="A3" s="4" t="s">
        <v>22</v>
      </c>
      <c r="C3" s="9" t="s">
        <v>165</v>
      </c>
    </row>
    <row r="4" spans="1:18" ht="12.75">
      <c r="A4" s="4" t="s">
        <v>23</v>
      </c>
      <c r="C4" s="9" t="s">
        <v>152</v>
      </c>
      <c r="E4" s="10"/>
      <c r="F4" s="11"/>
      <c r="G4" s="10"/>
      <c r="H4" s="11"/>
      <c r="J4" s="10"/>
      <c r="K4" s="10"/>
      <c r="L4" s="10"/>
      <c r="M4" s="10"/>
      <c r="O4" s="10"/>
      <c r="P4" s="10"/>
      <c r="Q4" s="10"/>
      <c r="R4" s="10"/>
    </row>
    <row r="5" spans="1:3" ht="12.75">
      <c r="A5" s="4" t="s">
        <v>24</v>
      </c>
      <c r="C5" s="63" t="s">
        <v>296</v>
      </c>
    </row>
    <row r="6" spans="3:17" ht="12.75">
      <c r="C6" s="5"/>
      <c r="E6" s="8"/>
      <c r="G6" s="8"/>
      <c r="J6" s="8"/>
      <c r="L6" s="8"/>
      <c r="O6" s="8"/>
      <c r="Q6" s="8"/>
    </row>
    <row r="7" spans="3:31" ht="12.75">
      <c r="C7" s="5" t="s">
        <v>25</v>
      </c>
      <c r="E7" s="12" t="s">
        <v>26</v>
      </c>
      <c r="F7" s="12"/>
      <c r="G7" s="12"/>
      <c r="H7" s="12"/>
      <c r="I7" s="13"/>
      <c r="J7" s="12" t="s">
        <v>27</v>
      </c>
      <c r="K7" s="12"/>
      <c r="L7" s="12"/>
      <c r="M7" s="12"/>
      <c r="N7" s="13"/>
      <c r="O7" s="12" t="s">
        <v>28</v>
      </c>
      <c r="P7" s="12"/>
      <c r="Q7" s="12"/>
      <c r="R7" s="1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</row>
    <row r="8" spans="3:31" ht="12.75">
      <c r="C8" s="5" t="s">
        <v>29</v>
      </c>
      <c r="E8" s="8" t="s">
        <v>30</v>
      </c>
      <c r="F8" s="11" t="s">
        <v>31</v>
      </c>
      <c r="G8" s="8" t="s">
        <v>30</v>
      </c>
      <c r="H8" s="11" t="s">
        <v>31</v>
      </c>
      <c r="J8" s="8" t="s">
        <v>30</v>
      </c>
      <c r="K8" s="8" t="s">
        <v>32</v>
      </c>
      <c r="L8" s="8" t="s">
        <v>30</v>
      </c>
      <c r="M8" s="8" t="s">
        <v>32</v>
      </c>
      <c r="O8" s="8" t="s">
        <v>30</v>
      </c>
      <c r="P8" s="8" t="s">
        <v>32</v>
      </c>
      <c r="Q8" s="8" t="s">
        <v>30</v>
      </c>
      <c r="R8" s="8" t="s">
        <v>32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</row>
    <row r="9" spans="3:31" ht="12.75">
      <c r="C9" s="5"/>
      <c r="E9" s="8" t="s">
        <v>201</v>
      </c>
      <c r="F9" s="8" t="s">
        <v>201</v>
      </c>
      <c r="G9" s="8" t="s">
        <v>72</v>
      </c>
      <c r="H9" s="11" t="s">
        <v>72</v>
      </c>
      <c r="J9" s="8" t="s">
        <v>201</v>
      </c>
      <c r="K9" s="8" t="s">
        <v>201</v>
      </c>
      <c r="L9" s="8" t="s">
        <v>72</v>
      </c>
      <c r="M9" s="11" t="s">
        <v>72</v>
      </c>
      <c r="O9" s="8" t="s">
        <v>201</v>
      </c>
      <c r="P9" s="8" t="s">
        <v>201</v>
      </c>
      <c r="Q9" s="8" t="s">
        <v>72</v>
      </c>
      <c r="R9" s="11" t="s">
        <v>72</v>
      </c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</row>
    <row r="10" spans="1:15" ht="13.5" customHeight="1">
      <c r="A10" s="4" t="s">
        <v>163</v>
      </c>
      <c r="O10" s="14"/>
    </row>
    <row r="11" spans="2:18" ht="12.75">
      <c r="B11" s="4" t="s">
        <v>33</v>
      </c>
      <c r="C11" s="5">
        <v>1</v>
      </c>
      <c r="D11" s="3" t="s">
        <v>13</v>
      </c>
      <c r="E11">
        <v>5</v>
      </c>
      <c r="F11" s="7">
        <f aca="true" t="shared" si="0" ref="F11:H35">IF(E11="","",E11*$C11)</f>
        <v>5</v>
      </c>
      <c r="G11" s="15">
        <f aca="true" t="shared" si="1" ref="G11:G35">IF(E11=0,"",IF(D11="nd",E11/2,E11))</f>
        <v>2.5</v>
      </c>
      <c r="H11" s="7">
        <f t="shared" si="0"/>
        <v>2.5</v>
      </c>
      <c r="I11" s="3"/>
      <c r="J11">
        <v>30</v>
      </c>
      <c r="K11" s="7">
        <f aca="true" t="shared" si="2" ref="K11:M35">IF(J11="","",J11*$C11)</f>
        <v>30</v>
      </c>
      <c r="L11" s="15">
        <f>IF(J11=0,"",IF(I11="nd",J11/2,J11))</f>
        <v>30</v>
      </c>
      <c r="M11" s="7">
        <f t="shared" si="2"/>
        <v>30</v>
      </c>
      <c r="N11" s="3"/>
      <c r="O11">
        <v>5</v>
      </c>
      <c r="P11" s="7">
        <f aca="true" t="shared" si="3" ref="P11:R35">IF(O11="","",O11*$C11)</f>
        <v>5</v>
      </c>
      <c r="Q11" s="15">
        <f>IF(O11=0,"",IF(N11="nd",O11/2,O11))</f>
        <v>5</v>
      </c>
      <c r="R11" s="7">
        <f t="shared" si="3"/>
        <v>5</v>
      </c>
    </row>
    <row r="12" spans="2:18" ht="12.75">
      <c r="B12" s="4" t="s">
        <v>34</v>
      </c>
      <c r="C12" s="5">
        <v>0</v>
      </c>
      <c r="D12" s="3"/>
      <c r="E12">
        <v>50</v>
      </c>
      <c r="F12" s="7">
        <f t="shared" si="0"/>
        <v>0</v>
      </c>
      <c r="G12" s="15">
        <f t="shared" si="1"/>
        <v>50</v>
      </c>
      <c r="H12" s="7">
        <f t="shared" si="0"/>
        <v>0</v>
      </c>
      <c r="I12" s="3"/>
      <c r="J12">
        <v>880</v>
      </c>
      <c r="K12" s="7">
        <f t="shared" si="2"/>
        <v>0</v>
      </c>
      <c r="L12" s="15">
        <f aca="true" t="shared" si="4" ref="L12:L35">IF(J12=0,"",IF(I12="nd",J12/2,J12))</f>
        <v>880</v>
      </c>
      <c r="M12" s="7">
        <f t="shared" si="2"/>
        <v>0</v>
      </c>
      <c r="N12" s="3"/>
      <c r="O12">
        <v>80</v>
      </c>
      <c r="P12" s="7">
        <f t="shared" si="3"/>
        <v>0</v>
      </c>
      <c r="Q12" s="15">
        <f aca="true" t="shared" si="5" ref="Q12:Q35">IF(O12=0,"",IF(N12="nd",O12/2,O12))</f>
        <v>80</v>
      </c>
      <c r="R12" s="7">
        <f t="shared" si="3"/>
        <v>0</v>
      </c>
    </row>
    <row r="13" spans="2:18" ht="12.75">
      <c r="B13" s="4" t="s">
        <v>35</v>
      </c>
      <c r="C13" s="5">
        <v>0.5</v>
      </c>
      <c r="D13" s="3" t="s">
        <v>13</v>
      </c>
      <c r="E13">
        <v>6</v>
      </c>
      <c r="F13" s="7">
        <f t="shared" si="0"/>
        <v>3</v>
      </c>
      <c r="G13" s="15">
        <f t="shared" si="1"/>
        <v>3</v>
      </c>
      <c r="H13" s="7">
        <f t="shared" si="0"/>
        <v>1.5</v>
      </c>
      <c r="I13" s="3"/>
      <c r="J13">
        <v>70</v>
      </c>
      <c r="K13" s="7">
        <f t="shared" si="2"/>
        <v>35</v>
      </c>
      <c r="L13" s="15">
        <f t="shared" si="4"/>
        <v>70</v>
      </c>
      <c r="M13" s="7">
        <f t="shared" si="2"/>
        <v>35</v>
      </c>
      <c r="N13" s="3" t="s">
        <v>13</v>
      </c>
      <c r="O13">
        <v>6</v>
      </c>
      <c r="P13" s="7">
        <f t="shared" si="3"/>
        <v>3</v>
      </c>
      <c r="Q13" s="15">
        <f t="shared" si="5"/>
        <v>3</v>
      </c>
      <c r="R13" s="7">
        <f t="shared" si="3"/>
        <v>1.5</v>
      </c>
    </row>
    <row r="14" spans="2:18" ht="12.75">
      <c r="B14" s="4" t="s">
        <v>36</v>
      </c>
      <c r="C14" s="5">
        <v>0</v>
      </c>
      <c r="D14" s="3"/>
      <c r="E14">
        <v>50</v>
      </c>
      <c r="F14" s="7">
        <f t="shared" si="0"/>
        <v>0</v>
      </c>
      <c r="G14" s="15">
        <f t="shared" si="1"/>
        <v>50</v>
      </c>
      <c r="H14" s="7">
        <f t="shared" si="0"/>
        <v>0</v>
      </c>
      <c r="I14" s="3"/>
      <c r="J14">
        <v>850</v>
      </c>
      <c r="K14" s="7">
        <f t="shared" si="2"/>
        <v>0</v>
      </c>
      <c r="L14" s="15">
        <f t="shared" si="4"/>
        <v>850</v>
      </c>
      <c r="M14" s="7">
        <f t="shared" si="2"/>
        <v>0</v>
      </c>
      <c r="N14" s="3"/>
      <c r="O14">
        <v>30</v>
      </c>
      <c r="P14" s="7">
        <f t="shared" si="3"/>
        <v>0</v>
      </c>
      <c r="Q14" s="15">
        <f t="shared" si="5"/>
        <v>30</v>
      </c>
      <c r="R14" s="7">
        <f t="shared" si="3"/>
        <v>0</v>
      </c>
    </row>
    <row r="15" spans="2:18" ht="12.75">
      <c r="B15" s="4" t="s">
        <v>37</v>
      </c>
      <c r="C15" s="5">
        <v>0.1</v>
      </c>
      <c r="D15" s="3" t="s">
        <v>13</v>
      </c>
      <c r="E15">
        <v>10</v>
      </c>
      <c r="F15" s="7">
        <f t="shared" si="0"/>
        <v>1</v>
      </c>
      <c r="G15" s="15">
        <f t="shared" si="1"/>
        <v>5</v>
      </c>
      <c r="H15" s="7">
        <f t="shared" si="0"/>
        <v>0.5</v>
      </c>
      <c r="I15" s="3"/>
      <c r="J15">
        <v>30</v>
      </c>
      <c r="K15" s="7">
        <f t="shared" si="2"/>
        <v>3</v>
      </c>
      <c r="L15" s="15">
        <f t="shared" si="4"/>
        <v>30</v>
      </c>
      <c r="M15" s="7">
        <f t="shared" si="2"/>
        <v>3</v>
      </c>
      <c r="N15" s="3" t="s">
        <v>13</v>
      </c>
      <c r="O15">
        <v>10</v>
      </c>
      <c r="P15" s="7">
        <f t="shared" si="3"/>
        <v>1</v>
      </c>
      <c r="Q15" s="15">
        <f t="shared" si="5"/>
        <v>5</v>
      </c>
      <c r="R15" s="7">
        <f t="shared" si="3"/>
        <v>0.5</v>
      </c>
    </row>
    <row r="16" spans="2:18" ht="12.75">
      <c r="B16" s="4" t="s">
        <v>38</v>
      </c>
      <c r="C16" s="5">
        <v>0.1</v>
      </c>
      <c r="D16" s="3" t="s">
        <v>13</v>
      </c>
      <c r="E16">
        <v>8</v>
      </c>
      <c r="F16" s="7">
        <f t="shared" si="0"/>
        <v>0.8</v>
      </c>
      <c r="G16" s="15">
        <f t="shared" si="1"/>
        <v>4</v>
      </c>
      <c r="H16" s="7">
        <f t="shared" si="0"/>
        <v>0.4</v>
      </c>
      <c r="I16" s="3"/>
      <c r="J16">
        <v>30</v>
      </c>
      <c r="K16" s="7">
        <f t="shared" si="2"/>
        <v>3</v>
      </c>
      <c r="L16" s="15">
        <f t="shared" si="4"/>
        <v>30</v>
      </c>
      <c r="M16" s="7">
        <f t="shared" si="2"/>
        <v>3</v>
      </c>
      <c r="N16" s="3" t="s">
        <v>13</v>
      </c>
      <c r="O16">
        <v>10</v>
      </c>
      <c r="P16" s="7">
        <f t="shared" si="3"/>
        <v>1</v>
      </c>
      <c r="Q16" s="15">
        <f t="shared" si="5"/>
        <v>5</v>
      </c>
      <c r="R16" s="7">
        <f t="shared" si="3"/>
        <v>0.5</v>
      </c>
    </row>
    <row r="17" spans="2:18" ht="12.75">
      <c r="B17" s="4" t="s">
        <v>39</v>
      </c>
      <c r="C17" s="5">
        <v>0.1</v>
      </c>
      <c r="D17" s="3" t="s">
        <v>13</v>
      </c>
      <c r="E17">
        <v>8</v>
      </c>
      <c r="F17" s="7">
        <f t="shared" si="0"/>
        <v>0.8</v>
      </c>
      <c r="G17" s="15">
        <f t="shared" si="1"/>
        <v>4</v>
      </c>
      <c r="H17" s="7">
        <f t="shared" si="0"/>
        <v>0.4</v>
      </c>
      <c r="I17" s="3"/>
      <c r="J17">
        <v>60</v>
      </c>
      <c r="K17" s="7">
        <f t="shared" si="2"/>
        <v>6</v>
      </c>
      <c r="L17" s="15">
        <f t="shared" si="4"/>
        <v>60</v>
      </c>
      <c r="M17" s="7">
        <f t="shared" si="2"/>
        <v>6</v>
      </c>
      <c r="N17" s="3" t="s">
        <v>13</v>
      </c>
      <c r="O17">
        <v>10</v>
      </c>
      <c r="P17" s="7">
        <f t="shared" si="3"/>
        <v>1</v>
      </c>
      <c r="Q17" s="15">
        <f t="shared" si="5"/>
        <v>5</v>
      </c>
      <c r="R17" s="7">
        <f t="shared" si="3"/>
        <v>0.5</v>
      </c>
    </row>
    <row r="18" spans="2:18" ht="12.75">
      <c r="B18" s="4" t="s">
        <v>40</v>
      </c>
      <c r="C18" s="5">
        <v>0</v>
      </c>
      <c r="D18" s="3" t="s">
        <v>13</v>
      </c>
      <c r="E18">
        <v>90</v>
      </c>
      <c r="F18" s="7">
        <f t="shared" si="0"/>
        <v>0</v>
      </c>
      <c r="G18" s="15">
        <f t="shared" si="1"/>
        <v>45</v>
      </c>
      <c r="H18" s="7">
        <f t="shared" si="0"/>
        <v>0</v>
      </c>
      <c r="I18" s="3"/>
      <c r="J18">
        <v>760</v>
      </c>
      <c r="K18" s="7">
        <f t="shared" si="2"/>
        <v>0</v>
      </c>
      <c r="L18" s="15">
        <f t="shared" si="4"/>
        <v>760</v>
      </c>
      <c r="M18" s="7">
        <f t="shared" si="2"/>
        <v>0</v>
      </c>
      <c r="N18" s="3"/>
      <c r="O18">
        <v>130</v>
      </c>
      <c r="P18" s="7">
        <f t="shared" si="3"/>
        <v>0</v>
      </c>
      <c r="Q18" s="15">
        <f t="shared" si="5"/>
        <v>130</v>
      </c>
      <c r="R18" s="7">
        <f t="shared" si="3"/>
        <v>0</v>
      </c>
    </row>
    <row r="19" spans="2:18" ht="12.75">
      <c r="B19" s="4" t="s">
        <v>41</v>
      </c>
      <c r="C19" s="5">
        <v>0.01</v>
      </c>
      <c r="D19" s="3" t="s">
        <v>13</v>
      </c>
      <c r="E19">
        <v>10</v>
      </c>
      <c r="F19" s="7">
        <f t="shared" si="0"/>
        <v>0.1</v>
      </c>
      <c r="G19" s="15">
        <f t="shared" si="1"/>
        <v>5</v>
      </c>
      <c r="H19" s="7">
        <f t="shared" si="0"/>
        <v>0.05</v>
      </c>
      <c r="I19" s="3"/>
      <c r="J19">
        <v>70</v>
      </c>
      <c r="K19" s="7">
        <f t="shared" si="2"/>
        <v>0.7000000000000001</v>
      </c>
      <c r="L19" s="15">
        <f t="shared" si="4"/>
        <v>70</v>
      </c>
      <c r="M19" s="7">
        <f t="shared" si="2"/>
        <v>0.7000000000000001</v>
      </c>
      <c r="N19" s="3"/>
      <c r="O19">
        <v>20</v>
      </c>
      <c r="P19" s="7">
        <f t="shared" si="3"/>
        <v>0.2</v>
      </c>
      <c r="Q19" s="15">
        <f t="shared" si="5"/>
        <v>20</v>
      </c>
      <c r="R19" s="7">
        <f t="shared" si="3"/>
        <v>0.2</v>
      </c>
    </row>
    <row r="20" spans="2:18" ht="12.75">
      <c r="B20" s="4" t="s">
        <v>42</v>
      </c>
      <c r="C20" s="5">
        <v>0</v>
      </c>
      <c r="D20" s="3" t="s">
        <v>13</v>
      </c>
      <c r="E20">
        <v>10</v>
      </c>
      <c r="F20" s="7">
        <f t="shared" si="0"/>
        <v>0</v>
      </c>
      <c r="G20" s="15">
        <f t="shared" si="1"/>
        <v>5</v>
      </c>
      <c r="H20" s="7">
        <f t="shared" si="0"/>
        <v>0</v>
      </c>
      <c r="I20" s="3"/>
      <c r="J20">
        <v>170</v>
      </c>
      <c r="K20" s="7">
        <f t="shared" si="2"/>
        <v>0</v>
      </c>
      <c r="L20" s="15">
        <f t="shared" si="4"/>
        <v>170</v>
      </c>
      <c r="M20" s="7">
        <f t="shared" si="2"/>
        <v>0</v>
      </c>
      <c r="N20" s="3"/>
      <c r="O20">
        <v>20</v>
      </c>
      <c r="P20" s="7">
        <f t="shared" si="3"/>
        <v>0</v>
      </c>
      <c r="Q20" s="15">
        <f t="shared" si="5"/>
        <v>20</v>
      </c>
      <c r="R20" s="7">
        <f t="shared" si="3"/>
        <v>0</v>
      </c>
    </row>
    <row r="21" spans="2:18" ht="12.75">
      <c r="B21" s="4" t="s">
        <v>43</v>
      </c>
      <c r="C21" s="5">
        <v>0.001</v>
      </c>
      <c r="D21" s="3"/>
      <c r="E21">
        <v>30</v>
      </c>
      <c r="F21" s="7">
        <f t="shared" si="0"/>
        <v>0.03</v>
      </c>
      <c r="G21" s="15">
        <f t="shared" si="1"/>
        <v>30</v>
      </c>
      <c r="H21" s="7">
        <f t="shared" si="0"/>
        <v>0.03</v>
      </c>
      <c r="I21" s="3"/>
      <c r="J21">
        <v>100</v>
      </c>
      <c r="K21" s="7">
        <f t="shared" si="2"/>
        <v>0.1</v>
      </c>
      <c r="L21" s="15">
        <f t="shared" si="4"/>
        <v>100</v>
      </c>
      <c r="M21" s="7">
        <f t="shared" si="2"/>
        <v>0.1</v>
      </c>
      <c r="N21" s="3"/>
      <c r="O21">
        <v>40</v>
      </c>
      <c r="P21" s="7">
        <f t="shared" si="3"/>
        <v>0.04</v>
      </c>
      <c r="Q21" s="15">
        <f t="shared" si="5"/>
        <v>40</v>
      </c>
      <c r="R21" s="7">
        <f t="shared" si="3"/>
        <v>0.04</v>
      </c>
    </row>
    <row r="22" spans="2:18" ht="12.75">
      <c r="B22" s="4" t="s">
        <v>44</v>
      </c>
      <c r="C22" s="5">
        <v>0.1</v>
      </c>
      <c r="D22" s="3" t="s">
        <v>13</v>
      </c>
      <c r="E22">
        <v>4</v>
      </c>
      <c r="F22" s="7">
        <f t="shared" si="0"/>
        <v>0.4</v>
      </c>
      <c r="G22" s="15">
        <f t="shared" si="1"/>
        <v>2</v>
      </c>
      <c r="H22" s="7">
        <f t="shared" si="0"/>
        <v>0.2</v>
      </c>
      <c r="I22" s="3" t="s">
        <v>13</v>
      </c>
      <c r="J22">
        <v>8</v>
      </c>
      <c r="K22" s="7">
        <f t="shared" si="2"/>
        <v>0.8</v>
      </c>
      <c r="L22" s="15">
        <f t="shared" si="4"/>
        <v>4</v>
      </c>
      <c r="M22" s="7">
        <f t="shared" si="2"/>
        <v>0.4</v>
      </c>
      <c r="N22" s="3" t="s">
        <v>13</v>
      </c>
      <c r="O22">
        <v>4</v>
      </c>
      <c r="P22" s="7">
        <f t="shared" si="3"/>
        <v>0.4</v>
      </c>
      <c r="Q22" s="15">
        <f t="shared" si="5"/>
        <v>2</v>
      </c>
      <c r="R22" s="7">
        <f t="shared" si="3"/>
        <v>0.2</v>
      </c>
    </row>
    <row r="23" spans="2:18" ht="12.75">
      <c r="B23" s="4" t="s">
        <v>45</v>
      </c>
      <c r="C23" s="5">
        <v>0</v>
      </c>
      <c r="D23" s="3" t="s">
        <v>13</v>
      </c>
      <c r="E23">
        <v>4</v>
      </c>
      <c r="F23" s="7">
        <f t="shared" si="0"/>
        <v>0</v>
      </c>
      <c r="G23" s="15">
        <f t="shared" si="1"/>
        <v>2</v>
      </c>
      <c r="H23" s="7">
        <f t="shared" si="0"/>
        <v>0</v>
      </c>
      <c r="I23" s="3"/>
      <c r="J23">
        <v>70</v>
      </c>
      <c r="K23" s="7">
        <f t="shared" si="2"/>
        <v>0</v>
      </c>
      <c r="L23" s="15">
        <f t="shared" si="4"/>
        <v>70</v>
      </c>
      <c r="M23" s="7">
        <f t="shared" si="2"/>
        <v>0</v>
      </c>
      <c r="N23" s="3"/>
      <c r="O23">
        <v>8</v>
      </c>
      <c r="P23" s="7">
        <f t="shared" si="3"/>
        <v>0</v>
      </c>
      <c r="Q23" s="15">
        <f t="shared" si="5"/>
        <v>8</v>
      </c>
      <c r="R23" s="7">
        <f t="shared" si="3"/>
        <v>0</v>
      </c>
    </row>
    <row r="24" spans="2:18" ht="12.75">
      <c r="B24" s="4" t="s">
        <v>46</v>
      </c>
      <c r="C24" s="5">
        <v>0.05</v>
      </c>
      <c r="D24" s="3" t="s">
        <v>13</v>
      </c>
      <c r="E24">
        <v>4</v>
      </c>
      <c r="F24" s="7">
        <f t="shared" si="0"/>
        <v>0.2</v>
      </c>
      <c r="G24" s="15">
        <f t="shared" si="1"/>
        <v>2</v>
      </c>
      <c r="H24" s="7">
        <f t="shared" si="0"/>
        <v>0.1</v>
      </c>
      <c r="I24" s="3" t="s">
        <v>13</v>
      </c>
      <c r="J24">
        <v>5</v>
      </c>
      <c r="K24" s="7">
        <f t="shared" si="2"/>
        <v>0.25</v>
      </c>
      <c r="L24" s="15">
        <f t="shared" si="4"/>
        <v>2.5</v>
      </c>
      <c r="M24" s="7">
        <f t="shared" si="2"/>
        <v>0.125</v>
      </c>
      <c r="N24" s="3" t="s">
        <v>13</v>
      </c>
      <c r="O24">
        <v>4</v>
      </c>
      <c r="P24" s="7">
        <f t="shared" si="3"/>
        <v>0.2</v>
      </c>
      <c r="Q24" s="15">
        <f t="shared" si="5"/>
        <v>2</v>
      </c>
      <c r="R24" s="7">
        <f t="shared" si="3"/>
        <v>0.1</v>
      </c>
    </row>
    <row r="25" spans="2:18" ht="12.75">
      <c r="B25" s="4" t="s">
        <v>47</v>
      </c>
      <c r="C25" s="5">
        <v>0.5</v>
      </c>
      <c r="D25" s="3" t="s">
        <v>13</v>
      </c>
      <c r="E25">
        <v>4</v>
      </c>
      <c r="F25" s="7">
        <f t="shared" si="0"/>
        <v>2</v>
      </c>
      <c r="G25" s="15">
        <f t="shared" si="1"/>
        <v>2</v>
      </c>
      <c r="H25" s="7">
        <f t="shared" si="0"/>
        <v>1</v>
      </c>
      <c r="I25" s="3"/>
      <c r="J25">
        <v>10</v>
      </c>
      <c r="K25" s="7">
        <f t="shared" si="2"/>
        <v>5</v>
      </c>
      <c r="L25" s="15">
        <f t="shared" si="4"/>
        <v>10</v>
      </c>
      <c r="M25" s="7">
        <f t="shared" si="2"/>
        <v>5</v>
      </c>
      <c r="N25" s="3" t="s">
        <v>13</v>
      </c>
      <c r="O25">
        <v>4</v>
      </c>
      <c r="P25" s="7">
        <f t="shared" si="3"/>
        <v>2</v>
      </c>
      <c r="Q25" s="15">
        <f t="shared" si="5"/>
        <v>2</v>
      </c>
      <c r="R25" s="7">
        <f t="shared" si="3"/>
        <v>1</v>
      </c>
    </row>
    <row r="26" spans="2:18" ht="12.75">
      <c r="B26" s="4" t="s">
        <v>48</v>
      </c>
      <c r="C26" s="5">
        <v>0</v>
      </c>
      <c r="D26" s="3" t="s">
        <v>13</v>
      </c>
      <c r="E26">
        <v>4</v>
      </c>
      <c r="F26" s="7">
        <f t="shared" si="0"/>
        <v>0</v>
      </c>
      <c r="G26" s="15">
        <f t="shared" si="1"/>
        <v>2</v>
      </c>
      <c r="H26" s="7">
        <f t="shared" si="0"/>
        <v>0</v>
      </c>
      <c r="I26" s="3"/>
      <c r="J26">
        <v>60</v>
      </c>
      <c r="K26" s="7">
        <f t="shared" si="2"/>
        <v>0</v>
      </c>
      <c r="L26" s="15">
        <f t="shared" si="4"/>
        <v>60</v>
      </c>
      <c r="M26" s="7">
        <f t="shared" si="2"/>
        <v>0</v>
      </c>
      <c r="N26" s="3" t="s">
        <v>13</v>
      </c>
      <c r="O26">
        <v>4</v>
      </c>
      <c r="P26" s="7">
        <f t="shared" si="3"/>
        <v>0</v>
      </c>
      <c r="Q26" s="15">
        <f t="shared" si="5"/>
        <v>2</v>
      </c>
      <c r="R26" s="7">
        <f t="shared" si="3"/>
        <v>0</v>
      </c>
    </row>
    <row r="27" spans="2:18" ht="12.75">
      <c r="B27" s="4" t="s">
        <v>49</v>
      </c>
      <c r="C27" s="5">
        <v>0.1</v>
      </c>
      <c r="D27" s="3" t="s">
        <v>13</v>
      </c>
      <c r="E27">
        <v>6</v>
      </c>
      <c r="F27" s="7">
        <f t="shared" si="0"/>
        <v>0.6000000000000001</v>
      </c>
      <c r="G27" s="15">
        <f t="shared" si="1"/>
        <v>3</v>
      </c>
      <c r="H27" s="7">
        <f t="shared" si="0"/>
        <v>0.30000000000000004</v>
      </c>
      <c r="I27" s="3"/>
      <c r="J27">
        <v>30</v>
      </c>
      <c r="K27" s="7">
        <f t="shared" si="2"/>
        <v>3</v>
      </c>
      <c r="L27" s="15">
        <f t="shared" si="4"/>
        <v>30</v>
      </c>
      <c r="M27" s="7">
        <f t="shared" si="2"/>
        <v>3</v>
      </c>
      <c r="N27" s="3" t="s">
        <v>13</v>
      </c>
      <c r="O27">
        <v>8</v>
      </c>
      <c r="P27" s="7">
        <f t="shared" si="3"/>
        <v>0.8</v>
      </c>
      <c r="Q27" s="15">
        <f t="shared" si="5"/>
        <v>4</v>
      </c>
      <c r="R27" s="7">
        <f t="shared" si="3"/>
        <v>0.4</v>
      </c>
    </row>
    <row r="28" spans="2:18" ht="12.75">
      <c r="B28" s="4" t="s">
        <v>50</v>
      </c>
      <c r="C28" s="5">
        <v>0.1</v>
      </c>
      <c r="D28" s="3" t="s">
        <v>13</v>
      </c>
      <c r="E28">
        <v>5</v>
      </c>
      <c r="F28" s="7">
        <f t="shared" si="0"/>
        <v>0.5</v>
      </c>
      <c r="G28" s="15">
        <f t="shared" si="1"/>
        <v>2.5</v>
      </c>
      <c r="H28" s="7">
        <f t="shared" si="0"/>
        <v>0.25</v>
      </c>
      <c r="I28" s="3" t="s">
        <v>13</v>
      </c>
      <c r="J28">
        <v>6</v>
      </c>
      <c r="K28" s="7">
        <f t="shared" si="2"/>
        <v>0.6000000000000001</v>
      </c>
      <c r="L28" s="15">
        <f t="shared" si="4"/>
        <v>3</v>
      </c>
      <c r="M28" s="7">
        <f t="shared" si="2"/>
        <v>0.30000000000000004</v>
      </c>
      <c r="N28" s="3" t="s">
        <v>13</v>
      </c>
      <c r="O28">
        <v>7</v>
      </c>
      <c r="P28" s="7">
        <f t="shared" si="3"/>
        <v>0.7000000000000001</v>
      </c>
      <c r="Q28" s="15">
        <f t="shared" si="5"/>
        <v>3.5</v>
      </c>
      <c r="R28" s="7">
        <f t="shared" si="3"/>
        <v>0.35000000000000003</v>
      </c>
    </row>
    <row r="29" spans="2:18" ht="12.75">
      <c r="B29" s="4" t="s">
        <v>51</v>
      </c>
      <c r="C29" s="5">
        <v>0.1</v>
      </c>
      <c r="D29" s="3" t="s">
        <v>13</v>
      </c>
      <c r="E29">
        <v>6</v>
      </c>
      <c r="F29" s="7">
        <f t="shared" si="0"/>
        <v>0.6000000000000001</v>
      </c>
      <c r="G29" s="15">
        <f t="shared" si="1"/>
        <v>3</v>
      </c>
      <c r="H29" s="7">
        <f t="shared" si="0"/>
        <v>0.30000000000000004</v>
      </c>
      <c r="I29" s="3"/>
      <c r="J29">
        <v>10</v>
      </c>
      <c r="K29" s="7">
        <f t="shared" si="2"/>
        <v>1</v>
      </c>
      <c r="L29" s="15">
        <f t="shared" si="4"/>
        <v>10</v>
      </c>
      <c r="M29" s="7">
        <f t="shared" si="2"/>
        <v>1</v>
      </c>
      <c r="N29" s="3" t="s">
        <v>13</v>
      </c>
      <c r="O29">
        <v>8</v>
      </c>
      <c r="P29" s="7">
        <f t="shared" si="3"/>
        <v>0.8</v>
      </c>
      <c r="Q29" s="15">
        <f t="shared" si="5"/>
        <v>4</v>
      </c>
      <c r="R29" s="7">
        <f t="shared" si="3"/>
        <v>0.4</v>
      </c>
    </row>
    <row r="30" spans="2:18" ht="12.75">
      <c r="B30" s="4" t="s">
        <v>52</v>
      </c>
      <c r="C30" s="5">
        <v>0.1</v>
      </c>
      <c r="D30" s="3" t="s">
        <v>13</v>
      </c>
      <c r="E30">
        <v>7</v>
      </c>
      <c r="F30" s="7">
        <f t="shared" si="0"/>
        <v>0.7000000000000001</v>
      </c>
      <c r="G30" s="15">
        <f t="shared" si="1"/>
        <v>3.5</v>
      </c>
      <c r="H30" s="7">
        <f t="shared" si="0"/>
        <v>0.35000000000000003</v>
      </c>
      <c r="I30" s="3" t="s">
        <v>13</v>
      </c>
      <c r="J30">
        <v>9</v>
      </c>
      <c r="K30" s="7">
        <f t="shared" si="2"/>
        <v>0.9</v>
      </c>
      <c r="L30" s="15">
        <f t="shared" si="4"/>
        <v>4.5</v>
      </c>
      <c r="M30" s="7">
        <f t="shared" si="2"/>
        <v>0.45</v>
      </c>
      <c r="N30" s="3" t="s">
        <v>13</v>
      </c>
      <c r="O30">
        <v>10</v>
      </c>
      <c r="P30" s="7">
        <f t="shared" si="3"/>
        <v>1</v>
      </c>
      <c r="Q30" s="15">
        <f t="shared" si="5"/>
        <v>5</v>
      </c>
      <c r="R30" s="7">
        <f t="shared" si="3"/>
        <v>0.5</v>
      </c>
    </row>
    <row r="31" spans="2:18" ht="12.75">
      <c r="B31" s="4" t="s">
        <v>53</v>
      </c>
      <c r="C31" s="5">
        <v>0</v>
      </c>
      <c r="D31" s="3" t="s">
        <v>13</v>
      </c>
      <c r="E31">
        <v>6</v>
      </c>
      <c r="F31" s="7">
        <f t="shared" si="0"/>
        <v>0</v>
      </c>
      <c r="G31" s="15">
        <f t="shared" si="1"/>
        <v>3</v>
      </c>
      <c r="H31" s="7">
        <f t="shared" si="0"/>
        <v>0</v>
      </c>
      <c r="I31" s="3"/>
      <c r="J31">
        <v>60</v>
      </c>
      <c r="K31" s="7">
        <f t="shared" si="2"/>
        <v>0</v>
      </c>
      <c r="L31" s="15">
        <f t="shared" si="4"/>
        <v>60</v>
      </c>
      <c r="M31" s="7">
        <f t="shared" si="2"/>
        <v>0</v>
      </c>
      <c r="N31" s="3" t="s">
        <v>13</v>
      </c>
      <c r="O31">
        <v>8</v>
      </c>
      <c r="P31" s="7">
        <f t="shared" si="3"/>
        <v>0</v>
      </c>
      <c r="Q31" s="15">
        <f t="shared" si="5"/>
        <v>4</v>
      </c>
      <c r="R31" s="7">
        <f t="shared" si="3"/>
        <v>0</v>
      </c>
    </row>
    <row r="32" spans="2:18" ht="12.75">
      <c r="B32" s="4" t="s">
        <v>54</v>
      </c>
      <c r="C32" s="5">
        <v>0.01</v>
      </c>
      <c r="D32" s="3" t="s">
        <v>13</v>
      </c>
      <c r="E32">
        <v>7</v>
      </c>
      <c r="F32" s="7">
        <f t="shared" si="0"/>
        <v>0.07</v>
      </c>
      <c r="G32" s="15">
        <f t="shared" si="1"/>
        <v>3.5</v>
      </c>
      <c r="H32" s="7">
        <f t="shared" si="0"/>
        <v>0.035</v>
      </c>
      <c r="I32" s="3"/>
      <c r="J32">
        <v>30</v>
      </c>
      <c r="K32" s="7">
        <f t="shared" si="2"/>
        <v>0.3</v>
      </c>
      <c r="L32" s="15">
        <f t="shared" si="4"/>
        <v>30</v>
      </c>
      <c r="M32" s="7">
        <f t="shared" si="2"/>
        <v>0.3</v>
      </c>
      <c r="N32" s="3" t="s">
        <v>13</v>
      </c>
      <c r="O32">
        <v>10</v>
      </c>
      <c r="P32" s="7">
        <f t="shared" si="3"/>
        <v>0.1</v>
      </c>
      <c r="Q32" s="15">
        <f t="shared" si="5"/>
        <v>5</v>
      </c>
      <c r="R32" s="7">
        <f t="shared" si="3"/>
        <v>0.05</v>
      </c>
    </row>
    <row r="33" spans="2:18" ht="12.75">
      <c r="B33" s="4" t="s">
        <v>55</v>
      </c>
      <c r="C33" s="5">
        <v>0.01</v>
      </c>
      <c r="D33" s="3" t="s">
        <v>13</v>
      </c>
      <c r="E33">
        <v>10</v>
      </c>
      <c r="F33" s="7">
        <f t="shared" si="0"/>
        <v>0.1</v>
      </c>
      <c r="G33" s="15">
        <f t="shared" si="1"/>
        <v>5</v>
      </c>
      <c r="H33" s="7">
        <f t="shared" si="0"/>
        <v>0.05</v>
      </c>
      <c r="I33" s="3" t="s">
        <v>13</v>
      </c>
      <c r="J33">
        <v>10</v>
      </c>
      <c r="K33" s="7">
        <f t="shared" si="2"/>
        <v>0.1</v>
      </c>
      <c r="L33" s="15">
        <f t="shared" si="4"/>
        <v>5</v>
      </c>
      <c r="M33" s="7">
        <f t="shared" si="2"/>
        <v>0.05</v>
      </c>
      <c r="N33" s="3" t="s">
        <v>13</v>
      </c>
      <c r="O33">
        <v>10</v>
      </c>
      <c r="P33" s="7">
        <f t="shared" si="3"/>
        <v>0.1</v>
      </c>
      <c r="Q33" s="15">
        <f t="shared" si="5"/>
        <v>5</v>
      </c>
      <c r="R33" s="7">
        <f t="shared" si="3"/>
        <v>0.05</v>
      </c>
    </row>
    <row r="34" spans="2:18" ht="12.75">
      <c r="B34" s="4" t="s">
        <v>56</v>
      </c>
      <c r="C34" s="5">
        <v>0</v>
      </c>
      <c r="D34" s="3" t="s">
        <v>13</v>
      </c>
      <c r="E34">
        <v>9</v>
      </c>
      <c r="F34" s="7">
        <f t="shared" si="0"/>
        <v>0</v>
      </c>
      <c r="G34" s="15">
        <f t="shared" si="1"/>
        <v>4.5</v>
      </c>
      <c r="H34" s="7">
        <f t="shared" si="0"/>
        <v>0</v>
      </c>
      <c r="I34" s="3"/>
      <c r="J34">
        <v>50</v>
      </c>
      <c r="K34" s="7">
        <f t="shared" si="2"/>
        <v>0</v>
      </c>
      <c r="L34" s="15">
        <f t="shared" si="4"/>
        <v>50</v>
      </c>
      <c r="M34" s="7">
        <f t="shared" si="2"/>
        <v>0</v>
      </c>
      <c r="N34" s="3" t="s">
        <v>13</v>
      </c>
      <c r="O34">
        <v>10</v>
      </c>
      <c r="P34" s="7">
        <f t="shared" si="3"/>
        <v>0</v>
      </c>
      <c r="Q34" s="15">
        <f t="shared" si="5"/>
        <v>5</v>
      </c>
      <c r="R34" s="7">
        <f t="shared" si="3"/>
        <v>0</v>
      </c>
    </row>
    <row r="35" spans="2:18" ht="12.75">
      <c r="B35" s="4" t="s">
        <v>57</v>
      </c>
      <c r="C35" s="5">
        <v>0.001</v>
      </c>
      <c r="D35" s="3" t="s">
        <v>13</v>
      </c>
      <c r="E35">
        <v>10</v>
      </c>
      <c r="F35" s="7">
        <f t="shared" si="0"/>
        <v>0.01</v>
      </c>
      <c r="G35" s="15">
        <f t="shared" si="1"/>
        <v>5</v>
      </c>
      <c r="H35" s="7">
        <f t="shared" si="0"/>
        <v>0.005</v>
      </c>
      <c r="I35" s="3" t="s">
        <v>13</v>
      </c>
      <c r="J35">
        <v>10</v>
      </c>
      <c r="K35" s="7">
        <f t="shared" si="2"/>
        <v>0.01</v>
      </c>
      <c r="L35" s="15">
        <f t="shared" si="4"/>
        <v>5</v>
      </c>
      <c r="M35" s="7">
        <f t="shared" si="2"/>
        <v>0.005</v>
      </c>
      <c r="N35" s="3" t="s">
        <v>13</v>
      </c>
      <c r="O35">
        <v>20</v>
      </c>
      <c r="P35" s="7">
        <f t="shared" si="3"/>
        <v>0.02</v>
      </c>
      <c r="Q35" s="15">
        <f t="shared" si="5"/>
        <v>10</v>
      </c>
      <c r="R35" s="7">
        <f t="shared" si="3"/>
        <v>0.01</v>
      </c>
    </row>
    <row r="36" spans="5:17" ht="12.75">
      <c r="E36" s="17"/>
      <c r="G36" s="17"/>
      <c r="I36" s="18"/>
      <c r="J36" s="16"/>
      <c r="K36" s="14"/>
      <c r="L36" s="14"/>
      <c r="M36" s="14"/>
      <c r="N36" s="18"/>
      <c r="O36" s="16"/>
      <c r="Q36" s="17"/>
    </row>
    <row r="37" spans="2:18" ht="12.75">
      <c r="B37" s="4" t="s">
        <v>58</v>
      </c>
      <c r="E37"/>
      <c r="F37">
        <v>110.651</v>
      </c>
      <c r="G37">
        <v>110.651</v>
      </c>
      <c r="H37">
        <v>110.651</v>
      </c>
      <c r="I37"/>
      <c r="J37"/>
      <c r="K37">
        <v>113.138</v>
      </c>
      <c r="L37">
        <v>113.138</v>
      </c>
      <c r="M37">
        <v>113.138</v>
      </c>
      <c r="N37"/>
      <c r="O37"/>
      <c r="P37">
        <v>111.934</v>
      </c>
      <c r="Q37">
        <v>111.934</v>
      </c>
      <c r="R37">
        <v>111.934</v>
      </c>
    </row>
    <row r="38" spans="2:18" ht="12.75">
      <c r="B38" s="4" t="s">
        <v>59</v>
      </c>
      <c r="E38"/>
      <c r="F38">
        <v>8.1</v>
      </c>
      <c r="G38">
        <v>8.1</v>
      </c>
      <c r="H38">
        <v>8.1</v>
      </c>
      <c r="I38"/>
      <c r="J38"/>
      <c r="K38">
        <v>8.1</v>
      </c>
      <c r="L38">
        <v>8.1</v>
      </c>
      <c r="M38">
        <v>8.1</v>
      </c>
      <c r="N38"/>
      <c r="O38"/>
      <c r="P38">
        <v>8.1</v>
      </c>
      <c r="Q38">
        <v>8.1</v>
      </c>
      <c r="R38">
        <v>8.1</v>
      </c>
    </row>
    <row r="39" spans="5:18" ht="12.75">
      <c r="E39" s="17"/>
      <c r="F39" s="19"/>
      <c r="G39" s="17"/>
      <c r="H39" s="19"/>
      <c r="I39" s="20"/>
      <c r="J39" s="17"/>
      <c r="K39" s="21"/>
      <c r="L39" s="14"/>
      <c r="M39" s="21"/>
      <c r="N39" s="18"/>
      <c r="O39" s="17"/>
      <c r="P39" s="17"/>
      <c r="Q39" s="17"/>
      <c r="R39" s="17"/>
    </row>
    <row r="40" spans="2:18" ht="12.75">
      <c r="B40" s="4" t="s">
        <v>167</v>
      </c>
      <c r="C40" s="7"/>
      <c r="D40" s="11"/>
      <c r="E40" s="14"/>
      <c r="F40" s="15">
        <f>SUM(F11:F35)/1000</f>
        <v>0.015909999999999997</v>
      </c>
      <c r="G40" s="15">
        <f>SUM(G35,G34,G31,G26,G23,G21,G20,G18,G14,G12)/1000</f>
        <v>0.1965</v>
      </c>
      <c r="H40" s="15">
        <f>SUM(H11:H35)/1000</f>
        <v>0.00797</v>
      </c>
      <c r="I40" s="11"/>
      <c r="J40" s="14"/>
      <c r="K40" s="15">
        <f>SUM(K11:K35)/1000</f>
        <v>0.08975999999999999</v>
      </c>
      <c r="L40" s="15">
        <f>SUM(L35,L34,L31,L26,L23,L21,L20,L18,L14,L12)/1000</f>
        <v>3.005</v>
      </c>
      <c r="M40" s="15">
        <f>SUM(M11:M35)/1000</f>
        <v>0.08843</v>
      </c>
      <c r="N40" s="11"/>
      <c r="O40" s="17"/>
      <c r="P40" s="15">
        <f>SUM(P11:P35)/1000</f>
        <v>0.01736</v>
      </c>
      <c r="Q40" s="15">
        <f>SUM(Q35,Q34,Q31,Q26,Q23,Q21,Q20,Q18,Q14,Q12)/1000</f>
        <v>0.329</v>
      </c>
      <c r="R40" s="15">
        <f>SUM(R11:R35)/1000</f>
        <v>0.0113</v>
      </c>
    </row>
    <row r="41" spans="2:18" ht="12.75">
      <c r="B41" s="4" t="s">
        <v>60</v>
      </c>
      <c r="C41" s="7"/>
      <c r="D41" s="14">
        <f>(F41-H41)*2/F41*100</f>
        <v>99.81143934632306</v>
      </c>
      <c r="E41" s="14"/>
      <c r="F41" s="15">
        <f>F40/F37/0.0283*14/(21-F38)</f>
        <v>0.0055139995498745455</v>
      </c>
      <c r="G41" s="15">
        <f>G40/G37/0.0283*14/(21-G38)</f>
        <v>0.06810188004716207</v>
      </c>
      <c r="H41" s="15">
        <f>H40/H37/0.0283*14/(21-H38)</f>
        <v>0.0027621983917347666</v>
      </c>
      <c r="I41" s="14">
        <f>(K41-M41)*2/K41*100</f>
        <v>2.963458110516893</v>
      </c>
      <c r="J41" s="14"/>
      <c r="K41" s="15">
        <f>K40/K37/0.0283*14/(21-K38)</f>
        <v>0.030424695232374857</v>
      </c>
      <c r="L41" s="15">
        <f>L40/L37/0.0283*14/(21-L38)</f>
        <v>1.0185629364225317</v>
      </c>
      <c r="M41" s="15">
        <f>M40/M37/0.0283*14/(21-M38)</f>
        <v>0.029973883683142927</v>
      </c>
      <c r="N41" s="14">
        <f>(P41-R41)*2/P41*100</f>
        <v>69.815668202765</v>
      </c>
      <c r="O41" s="17"/>
      <c r="P41" s="15">
        <f>P40/P37/0.0283*14/(21-P38)</f>
        <v>0.005947570339916796</v>
      </c>
      <c r="Q41" s="15">
        <f>Q40/Q37/0.0283*14/(21-Q38)</f>
        <v>0.11271605079681024</v>
      </c>
      <c r="R41" s="15">
        <f>R40/R37/0.0283*14/(21-R38)</f>
        <v>0.00387140235259561</v>
      </c>
    </row>
    <row r="42" spans="3:18" ht="12.75">
      <c r="C42" s="7"/>
      <c r="D42" s="11"/>
      <c r="E42" s="14"/>
      <c r="F42" s="15"/>
      <c r="G42" s="15"/>
      <c r="H42" s="15"/>
      <c r="I42" s="11"/>
      <c r="J42" s="14"/>
      <c r="K42" s="15"/>
      <c r="L42" s="15"/>
      <c r="M42" s="15"/>
      <c r="N42" s="11"/>
      <c r="O42" s="17"/>
      <c r="P42" s="15"/>
      <c r="Q42" s="15"/>
      <c r="R42" s="15"/>
    </row>
    <row r="43" spans="2:31" s="17" customFormat="1" ht="12.75">
      <c r="B43" s="17" t="s">
        <v>73</v>
      </c>
      <c r="C43" s="15">
        <f>AVERAGE(H41,M41,R41)</f>
        <v>0.012202494809157768</v>
      </c>
      <c r="D43" s="18"/>
      <c r="F43" s="7"/>
      <c r="H43" s="7"/>
      <c r="I43" s="18"/>
      <c r="N43" s="18"/>
      <c r="P43" s="6"/>
      <c r="R43" s="6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2:3" ht="12.75">
      <c r="B44" s="4" t="s">
        <v>74</v>
      </c>
      <c r="C44" s="15">
        <f>AVERAGE(G41,L41,Q41)</f>
        <v>0.39979362242216804</v>
      </c>
    </row>
    <row r="45" spans="5:18" ht="12.75">
      <c r="E45" s="4"/>
      <c r="G45" s="4"/>
      <c r="I45" s="5"/>
      <c r="J45" s="4"/>
      <c r="K45" s="4"/>
      <c r="L45" s="4"/>
      <c r="M45" s="4"/>
      <c r="N45" s="5"/>
      <c r="O45" s="4"/>
      <c r="P45" s="4"/>
      <c r="Q45" s="4"/>
      <c r="R45" s="4"/>
    </row>
    <row r="46" ht="12.75">
      <c r="B46" s="30"/>
    </row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spans="3:18" ht="12.75">
      <c r="C108" s="5"/>
      <c r="E108" s="14"/>
      <c r="F108" s="17"/>
      <c r="G108" s="14"/>
      <c r="H108" s="17"/>
      <c r="I108" s="11"/>
      <c r="J108" s="16"/>
      <c r="K108" s="14"/>
      <c r="L108" s="14"/>
      <c r="M108" s="14"/>
      <c r="N108" s="11"/>
      <c r="O108" s="14"/>
      <c r="P108" s="7"/>
      <c r="Q108" s="14"/>
      <c r="R108" s="7"/>
    </row>
    <row r="109" spans="3:18" ht="12.75">
      <c r="C109" s="5"/>
      <c r="E109" s="14"/>
      <c r="F109" s="17"/>
      <c r="G109" s="14"/>
      <c r="H109" s="17"/>
      <c r="I109" s="11"/>
      <c r="J109" s="16"/>
      <c r="K109" s="14"/>
      <c r="L109" s="14"/>
      <c r="M109" s="14"/>
      <c r="N109" s="11"/>
      <c r="O109" s="21"/>
      <c r="P109" s="7"/>
      <c r="Q109" s="14"/>
      <c r="R109" s="7"/>
    </row>
    <row r="110" spans="3:18" ht="12.75">
      <c r="C110" s="5"/>
      <c r="E110" s="14"/>
      <c r="F110" s="17"/>
      <c r="G110" s="14"/>
      <c r="H110" s="17"/>
      <c r="I110" s="11"/>
      <c r="J110" s="16"/>
      <c r="K110" s="14"/>
      <c r="L110" s="14"/>
      <c r="M110" s="14"/>
      <c r="N110" s="11"/>
      <c r="O110" s="21"/>
      <c r="P110" s="7"/>
      <c r="Q110" s="14"/>
      <c r="R110" s="7"/>
    </row>
    <row r="111" spans="3:18" ht="12.75">
      <c r="C111" s="5"/>
      <c r="E111" s="14"/>
      <c r="F111" s="17"/>
      <c r="G111" s="14"/>
      <c r="H111" s="17"/>
      <c r="I111" s="11"/>
      <c r="J111" s="16"/>
      <c r="K111" s="14"/>
      <c r="L111" s="14"/>
      <c r="M111" s="14"/>
      <c r="N111" s="11"/>
      <c r="O111" s="21"/>
      <c r="P111" s="7"/>
      <c r="Q111" s="14"/>
      <c r="R111" s="7"/>
    </row>
    <row r="112" spans="3:18" ht="12.75">
      <c r="C112" s="5"/>
      <c r="E112" s="14"/>
      <c r="F112" s="17"/>
      <c r="G112" s="14"/>
      <c r="H112" s="17"/>
      <c r="I112" s="11"/>
      <c r="J112" s="16"/>
      <c r="K112" s="14"/>
      <c r="L112" s="14"/>
      <c r="M112" s="14"/>
      <c r="N112" s="11"/>
      <c r="O112" s="21"/>
      <c r="P112" s="7"/>
      <c r="Q112" s="14"/>
      <c r="R112" s="7"/>
    </row>
    <row r="113" spans="3:18" ht="12.75">
      <c r="C113" s="5"/>
      <c r="E113" s="14"/>
      <c r="F113" s="17"/>
      <c r="G113" s="14"/>
      <c r="H113" s="17"/>
      <c r="I113" s="11"/>
      <c r="J113" s="16"/>
      <c r="K113" s="14"/>
      <c r="L113" s="14"/>
      <c r="M113" s="14"/>
      <c r="N113" s="11"/>
      <c r="O113" s="21"/>
      <c r="P113" s="7"/>
      <c r="Q113" s="14"/>
      <c r="R113" s="7"/>
    </row>
    <row r="114" spans="3:18" ht="12.75">
      <c r="C114" s="5"/>
      <c r="E114" s="14"/>
      <c r="F114" s="17"/>
      <c r="G114" s="14"/>
      <c r="H114" s="17"/>
      <c r="I114" s="11"/>
      <c r="J114" s="16"/>
      <c r="K114" s="14"/>
      <c r="L114" s="14"/>
      <c r="M114" s="14"/>
      <c r="N114" s="11"/>
      <c r="O114" s="21"/>
      <c r="P114" s="7"/>
      <c r="Q114" s="14"/>
      <c r="R114" s="7"/>
    </row>
    <row r="115" spans="3:18" ht="12.75">
      <c r="C115" s="5"/>
      <c r="E115" s="14"/>
      <c r="F115" s="17"/>
      <c r="G115" s="14"/>
      <c r="H115" s="17"/>
      <c r="I115" s="11"/>
      <c r="J115" s="16"/>
      <c r="K115" s="14"/>
      <c r="L115" s="14"/>
      <c r="M115" s="14"/>
      <c r="N115" s="11"/>
      <c r="O115" s="21"/>
      <c r="P115" s="7"/>
      <c r="Q115" s="14"/>
      <c r="R115" s="7"/>
    </row>
    <row r="116" spans="3:18" ht="12.75">
      <c r="C116" s="5"/>
      <c r="E116" s="14"/>
      <c r="F116" s="17"/>
      <c r="G116" s="14"/>
      <c r="H116" s="17"/>
      <c r="I116" s="11"/>
      <c r="J116" s="16"/>
      <c r="K116" s="14"/>
      <c r="L116" s="14"/>
      <c r="M116" s="14"/>
      <c r="N116" s="11"/>
      <c r="O116" s="21"/>
      <c r="P116" s="7"/>
      <c r="Q116" s="14"/>
      <c r="R116" s="7"/>
    </row>
    <row r="117" spans="3:18" ht="12.75">
      <c r="C117" s="5"/>
      <c r="E117" s="14"/>
      <c r="F117" s="17"/>
      <c r="G117" s="14"/>
      <c r="H117" s="17"/>
      <c r="I117" s="11"/>
      <c r="J117" s="16"/>
      <c r="K117" s="14"/>
      <c r="L117" s="14"/>
      <c r="M117" s="14"/>
      <c r="N117" s="11"/>
      <c r="O117" s="21"/>
      <c r="P117" s="7"/>
      <c r="Q117" s="14"/>
      <c r="R117" s="7"/>
    </row>
    <row r="118" spans="3:18" ht="12.75">
      <c r="C118" s="5"/>
      <c r="E118" s="14"/>
      <c r="F118" s="17"/>
      <c r="G118" s="14"/>
      <c r="H118" s="17"/>
      <c r="I118" s="11"/>
      <c r="J118" s="16"/>
      <c r="K118" s="14"/>
      <c r="L118" s="14"/>
      <c r="M118" s="14"/>
      <c r="N118" s="11"/>
      <c r="O118" s="21"/>
      <c r="P118" s="7"/>
      <c r="Q118" s="14"/>
      <c r="R118" s="7"/>
    </row>
    <row r="119" spans="3:18" ht="12.75">
      <c r="C119" s="5"/>
      <c r="E119" s="14"/>
      <c r="F119" s="17"/>
      <c r="G119" s="14"/>
      <c r="H119" s="17"/>
      <c r="I119" s="11"/>
      <c r="J119" s="16"/>
      <c r="K119" s="14"/>
      <c r="L119" s="14"/>
      <c r="M119" s="14"/>
      <c r="N119" s="11"/>
      <c r="O119" s="21"/>
      <c r="P119" s="7"/>
      <c r="Q119" s="14"/>
      <c r="R119" s="7"/>
    </row>
    <row r="120" spans="3:18" ht="12.75">
      <c r="C120" s="5"/>
      <c r="E120" s="14"/>
      <c r="F120" s="17"/>
      <c r="G120" s="14"/>
      <c r="H120" s="17"/>
      <c r="I120" s="11"/>
      <c r="J120" s="16"/>
      <c r="K120" s="14"/>
      <c r="L120" s="14"/>
      <c r="M120" s="14"/>
      <c r="N120" s="11"/>
      <c r="O120" s="21"/>
      <c r="P120" s="7"/>
      <c r="Q120" s="14"/>
      <c r="R120" s="7"/>
    </row>
    <row r="121" spans="3:18" ht="12.75">
      <c r="C121" s="5"/>
      <c r="E121" s="14"/>
      <c r="F121" s="17"/>
      <c r="G121" s="14"/>
      <c r="H121" s="17"/>
      <c r="I121" s="11"/>
      <c r="J121" s="16"/>
      <c r="K121" s="14"/>
      <c r="L121" s="14"/>
      <c r="M121" s="14"/>
      <c r="N121" s="11"/>
      <c r="O121" s="21"/>
      <c r="P121" s="7"/>
      <c r="Q121" s="14"/>
      <c r="R121" s="7"/>
    </row>
    <row r="122" spans="3:18" ht="12.75">
      <c r="C122" s="5"/>
      <c r="E122" s="14"/>
      <c r="F122" s="17"/>
      <c r="G122" s="14"/>
      <c r="H122" s="17"/>
      <c r="I122" s="11"/>
      <c r="J122" s="16"/>
      <c r="K122" s="14"/>
      <c r="L122" s="14"/>
      <c r="M122" s="14"/>
      <c r="N122" s="11"/>
      <c r="O122" s="21"/>
      <c r="P122" s="7"/>
      <c r="Q122" s="14"/>
      <c r="R122" s="7"/>
    </row>
    <row r="123" spans="3:18" ht="12.75">
      <c r="C123" s="5"/>
      <c r="E123" s="14"/>
      <c r="F123" s="17"/>
      <c r="G123" s="14"/>
      <c r="H123" s="17"/>
      <c r="I123" s="11"/>
      <c r="J123" s="16"/>
      <c r="K123" s="14"/>
      <c r="L123" s="14"/>
      <c r="M123" s="14"/>
      <c r="N123" s="11"/>
      <c r="O123" s="21"/>
      <c r="P123" s="7"/>
      <c r="Q123" s="14"/>
      <c r="R123" s="7"/>
    </row>
    <row r="124" spans="3:18" ht="12.75">
      <c r="C124" s="5"/>
      <c r="E124" s="14"/>
      <c r="F124" s="17"/>
      <c r="G124" s="14"/>
      <c r="H124" s="17"/>
      <c r="I124" s="11"/>
      <c r="J124" s="16"/>
      <c r="K124" s="14"/>
      <c r="L124" s="14"/>
      <c r="M124" s="14"/>
      <c r="N124" s="11"/>
      <c r="O124" s="21"/>
      <c r="P124" s="7"/>
      <c r="Q124" s="14"/>
      <c r="R124" s="7"/>
    </row>
    <row r="125" spans="3:18" ht="12.75">
      <c r="C125" s="5"/>
      <c r="E125" s="14"/>
      <c r="F125" s="17"/>
      <c r="G125" s="14"/>
      <c r="H125" s="17"/>
      <c r="I125" s="11"/>
      <c r="J125" s="16"/>
      <c r="K125" s="14"/>
      <c r="L125" s="14"/>
      <c r="M125" s="14"/>
      <c r="N125" s="11"/>
      <c r="O125" s="21"/>
      <c r="P125" s="7"/>
      <c r="Q125" s="14"/>
      <c r="R125" s="7"/>
    </row>
    <row r="126" spans="3:18" ht="12.75">
      <c r="C126" s="5"/>
      <c r="E126" s="14"/>
      <c r="F126" s="17"/>
      <c r="G126" s="14"/>
      <c r="H126" s="17"/>
      <c r="I126" s="11"/>
      <c r="J126" s="16"/>
      <c r="K126" s="14"/>
      <c r="L126" s="14"/>
      <c r="M126" s="14"/>
      <c r="N126" s="11"/>
      <c r="O126" s="21"/>
      <c r="P126" s="7"/>
      <c r="Q126" s="14"/>
      <c r="R126" s="7"/>
    </row>
    <row r="127" spans="3:18" ht="12.75">
      <c r="C127" s="5"/>
      <c r="E127" s="14"/>
      <c r="F127" s="17"/>
      <c r="G127" s="14"/>
      <c r="H127" s="17"/>
      <c r="I127" s="11"/>
      <c r="J127" s="16"/>
      <c r="K127" s="14"/>
      <c r="L127" s="14"/>
      <c r="M127" s="14"/>
      <c r="N127" s="11"/>
      <c r="O127" s="21"/>
      <c r="P127" s="7"/>
      <c r="Q127" s="14"/>
      <c r="R127" s="7"/>
    </row>
    <row r="128" spans="3:18" ht="12.75">
      <c r="C128" s="5"/>
      <c r="E128" s="14"/>
      <c r="F128" s="17"/>
      <c r="G128" s="14"/>
      <c r="H128" s="17"/>
      <c r="I128" s="11"/>
      <c r="J128" s="16"/>
      <c r="K128" s="14"/>
      <c r="L128" s="14"/>
      <c r="M128" s="14"/>
      <c r="N128" s="11"/>
      <c r="O128" s="21"/>
      <c r="P128" s="7"/>
      <c r="Q128" s="14"/>
      <c r="R128" s="7"/>
    </row>
    <row r="129" spans="3:18" ht="12.75">
      <c r="C129" s="5"/>
      <c r="E129" s="14"/>
      <c r="F129" s="17"/>
      <c r="G129" s="14"/>
      <c r="H129" s="17"/>
      <c r="I129" s="11"/>
      <c r="J129" s="16"/>
      <c r="K129" s="14"/>
      <c r="L129" s="14"/>
      <c r="M129" s="14"/>
      <c r="N129" s="11"/>
      <c r="O129" s="21"/>
      <c r="P129" s="7"/>
      <c r="Q129" s="14"/>
      <c r="R129" s="7"/>
    </row>
    <row r="130" spans="3:18" ht="12.75">
      <c r="C130" s="5"/>
      <c r="E130" s="14"/>
      <c r="F130" s="17"/>
      <c r="G130" s="14"/>
      <c r="H130" s="17"/>
      <c r="I130" s="11"/>
      <c r="J130" s="16"/>
      <c r="K130" s="14"/>
      <c r="L130" s="14"/>
      <c r="M130" s="14"/>
      <c r="N130" s="11"/>
      <c r="O130" s="21"/>
      <c r="P130" s="7"/>
      <c r="Q130" s="14"/>
      <c r="R130" s="7"/>
    </row>
    <row r="131" spans="3:18" ht="12.75">
      <c r="C131" s="5"/>
      <c r="E131" s="14"/>
      <c r="F131" s="17"/>
      <c r="G131" s="14"/>
      <c r="H131" s="17"/>
      <c r="I131" s="11"/>
      <c r="J131" s="16"/>
      <c r="K131" s="14"/>
      <c r="L131" s="14"/>
      <c r="M131" s="14"/>
      <c r="N131" s="11"/>
      <c r="O131" s="21"/>
      <c r="P131" s="7"/>
      <c r="Q131" s="14"/>
      <c r="R131" s="7"/>
    </row>
    <row r="132" spans="3:18" ht="12.75">
      <c r="C132" s="5"/>
      <c r="E132" s="14"/>
      <c r="F132" s="17"/>
      <c r="G132" s="14"/>
      <c r="H132" s="17"/>
      <c r="I132" s="11"/>
      <c r="J132" s="16"/>
      <c r="K132" s="14"/>
      <c r="L132" s="14"/>
      <c r="M132" s="14"/>
      <c r="N132" s="11"/>
      <c r="O132" s="21"/>
      <c r="P132" s="7"/>
      <c r="Q132" s="14"/>
      <c r="R132" s="7"/>
    </row>
    <row r="133" spans="5:17" ht="12.75">
      <c r="E133" s="17"/>
      <c r="G133" s="17"/>
      <c r="I133" s="18"/>
      <c r="J133" s="17"/>
      <c r="K133" s="14"/>
      <c r="L133" s="14"/>
      <c r="M133" s="14"/>
      <c r="N133" s="18"/>
      <c r="O133" s="16"/>
      <c r="Q133" s="17"/>
    </row>
    <row r="134" spans="5:18" ht="12.75">
      <c r="E134" s="17"/>
      <c r="F134" s="17"/>
      <c r="G134" s="17"/>
      <c r="H134" s="17"/>
      <c r="I134" s="18"/>
      <c r="J134" s="17"/>
      <c r="K134" s="14"/>
      <c r="L134" s="14"/>
      <c r="M134" s="14"/>
      <c r="N134" s="18"/>
      <c r="O134" s="17"/>
      <c r="P134" s="17"/>
      <c r="Q134" s="17"/>
      <c r="R134" s="17"/>
    </row>
    <row r="135" spans="5:18" ht="12.75">
      <c r="E135" s="17"/>
      <c r="F135" s="17"/>
      <c r="G135" s="17"/>
      <c r="H135" s="17"/>
      <c r="I135" s="18"/>
      <c r="J135" s="17"/>
      <c r="K135" s="14"/>
      <c r="L135" s="14"/>
      <c r="M135" s="14"/>
      <c r="N135" s="18"/>
      <c r="O135" s="17"/>
      <c r="P135" s="17"/>
      <c r="Q135" s="17"/>
      <c r="R135" s="17"/>
    </row>
    <row r="136" spans="5:18" ht="12.75">
      <c r="E136" s="17"/>
      <c r="F136" s="16"/>
      <c r="G136" s="17"/>
      <c r="H136" s="16"/>
      <c r="I136" s="20"/>
      <c r="J136" s="17"/>
      <c r="K136" s="21"/>
      <c r="L136" s="14"/>
      <c r="M136" s="21"/>
      <c r="N136" s="18"/>
      <c r="O136" s="17"/>
      <c r="P136" s="17"/>
      <c r="Q136" s="17"/>
      <c r="R136" s="17"/>
    </row>
    <row r="137" spans="3:18" ht="12.75">
      <c r="C137" s="7"/>
      <c r="D137" s="11"/>
      <c r="E137" s="14"/>
      <c r="F137" s="17"/>
      <c r="G137" s="14"/>
      <c r="H137" s="17"/>
      <c r="I137" s="11"/>
      <c r="J137" s="14"/>
      <c r="K137" s="14"/>
      <c r="L137" s="14"/>
      <c r="M137" s="14"/>
      <c r="N137" s="11"/>
      <c r="O137" s="17"/>
      <c r="P137" s="7"/>
      <c r="Q137" s="7"/>
      <c r="R137" s="7"/>
    </row>
    <row r="138" spans="3:18" ht="12.75">
      <c r="C138" s="7"/>
      <c r="D138" s="11"/>
      <c r="E138" s="17"/>
      <c r="G138" s="15"/>
      <c r="I138" s="11"/>
      <c r="J138" s="17"/>
      <c r="K138" s="7"/>
      <c r="L138" s="14"/>
      <c r="M138" s="7"/>
      <c r="N138" s="11"/>
      <c r="O138" s="17"/>
      <c r="P138" s="15"/>
      <c r="Q138" s="15"/>
      <c r="R138" s="15"/>
    </row>
  </sheetData>
  <printOptions headings="1" horizontalCentered="1"/>
  <pageMargins left="0.5" right="0.5" top="0.5" bottom="0.5" header="0.25" footer="0.25"/>
  <pageSetup horizontalDpi="1200" verticalDpi="1200" orientation="landscape" scale="80" r:id="rId1"/>
  <headerFooter alignWithMargins="0">
    <oddFooter>&amp;C&amp;P, &amp;A, 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38"/>
  <sheetViews>
    <sheetView workbookViewId="0" topLeftCell="A1">
      <selection activeCell="C1" sqref="C1"/>
    </sheetView>
  </sheetViews>
  <sheetFormatPr defaultColWidth="9.140625" defaultRowHeight="12.75"/>
  <cols>
    <col min="1" max="1" width="2.140625" style="4" customWidth="1"/>
    <col min="2" max="2" width="25.8515625" style="4" customWidth="1"/>
    <col min="3" max="3" width="7.8515625" style="4" customWidth="1"/>
    <col min="4" max="4" width="4.8515625" style="8" customWidth="1"/>
    <col min="5" max="5" width="7.00390625" style="6" customWidth="1"/>
    <col min="6" max="6" width="8.28125" style="6" customWidth="1"/>
    <col min="7" max="7" width="9.140625" style="6" customWidth="1"/>
    <col min="8" max="8" width="8.28125" style="6" customWidth="1"/>
    <col min="9" max="9" width="3.57421875" style="8" customWidth="1"/>
    <col min="10" max="10" width="7.8515625" style="6" customWidth="1"/>
    <col min="11" max="11" width="8.7109375" style="6" customWidth="1"/>
    <col min="12" max="12" width="9.421875" style="6" customWidth="1"/>
    <col min="13" max="13" width="8.7109375" style="6" customWidth="1"/>
    <col min="14" max="14" width="5.57421875" style="8" customWidth="1"/>
    <col min="15" max="15" width="7.8515625" style="6" customWidth="1"/>
    <col min="16" max="18" width="8.7109375" style="6" customWidth="1"/>
    <col min="19" max="19" width="7.421875" style="0" customWidth="1"/>
    <col min="20" max="31" width="10.8515625" style="0" customWidth="1"/>
    <col min="32" max="16384" width="10.8515625" style="4" customWidth="1"/>
  </cols>
  <sheetData>
    <row r="1" ht="12.75">
      <c r="A1" s="42" t="s">
        <v>83</v>
      </c>
    </row>
    <row r="2" ht="12.75">
      <c r="A2" s="4" t="s">
        <v>300</v>
      </c>
    </row>
    <row r="3" spans="1:3" ht="12.75">
      <c r="A3" s="4" t="s">
        <v>22</v>
      </c>
      <c r="C3" s="9" t="s">
        <v>165</v>
      </c>
    </row>
    <row r="4" spans="1:18" ht="12.75">
      <c r="A4" s="4" t="s">
        <v>23</v>
      </c>
      <c r="C4" s="9" t="s">
        <v>153</v>
      </c>
      <c r="E4" s="10"/>
      <c r="F4" s="10"/>
      <c r="G4" s="10"/>
      <c r="H4" s="10"/>
      <c r="J4" s="10"/>
      <c r="K4" s="10"/>
      <c r="L4" s="10"/>
      <c r="M4" s="10"/>
      <c r="O4" s="10"/>
      <c r="P4" s="10"/>
      <c r="Q4" s="10"/>
      <c r="R4" s="10"/>
    </row>
    <row r="5" spans="1:3" ht="12.75">
      <c r="A5" s="4" t="s">
        <v>24</v>
      </c>
      <c r="C5" s="9" t="s">
        <v>166</v>
      </c>
    </row>
    <row r="6" spans="3:17" ht="12.75">
      <c r="C6" s="5"/>
      <c r="E6" s="8"/>
      <c r="G6" s="8"/>
      <c r="J6" s="8"/>
      <c r="L6" s="8"/>
      <c r="O6" s="8"/>
      <c r="Q6" s="8"/>
    </row>
    <row r="7" spans="3:31" ht="12.75">
      <c r="C7" s="5" t="s">
        <v>25</v>
      </c>
      <c r="D7" s="13"/>
      <c r="E7" s="12" t="s">
        <v>27</v>
      </c>
      <c r="F7" s="12"/>
      <c r="G7" s="12"/>
      <c r="H7" s="12"/>
      <c r="I7" s="13"/>
      <c r="J7" s="12" t="s">
        <v>28</v>
      </c>
      <c r="K7" s="12"/>
      <c r="L7" s="12"/>
      <c r="M7" s="12"/>
      <c r="N7" s="13"/>
      <c r="O7" s="12" t="s">
        <v>164</v>
      </c>
      <c r="P7" s="12"/>
      <c r="Q7" s="12"/>
      <c r="R7" s="1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</row>
    <row r="8" spans="3:31" ht="12.75">
      <c r="C8" s="5" t="s">
        <v>29</v>
      </c>
      <c r="E8" s="8" t="s">
        <v>30</v>
      </c>
      <c r="F8" s="8" t="s">
        <v>32</v>
      </c>
      <c r="G8" s="8" t="s">
        <v>30</v>
      </c>
      <c r="H8" s="8" t="s">
        <v>32</v>
      </c>
      <c r="J8" s="8" t="s">
        <v>30</v>
      </c>
      <c r="K8" s="8" t="s">
        <v>32</v>
      </c>
      <c r="L8" s="8" t="s">
        <v>30</v>
      </c>
      <c r="M8" s="8" t="s">
        <v>32</v>
      </c>
      <c r="O8" s="8" t="s">
        <v>30</v>
      </c>
      <c r="P8" s="8" t="s">
        <v>32</v>
      </c>
      <c r="Q8" s="8" t="s">
        <v>30</v>
      </c>
      <c r="R8" s="8" t="s">
        <v>32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</row>
    <row r="9" spans="3:31" ht="12.75">
      <c r="C9" s="5"/>
      <c r="E9" s="8" t="s">
        <v>201</v>
      </c>
      <c r="F9" s="8" t="s">
        <v>201</v>
      </c>
      <c r="G9" s="8" t="s">
        <v>72</v>
      </c>
      <c r="H9" s="11" t="s">
        <v>72</v>
      </c>
      <c r="J9" s="8" t="s">
        <v>201</v>
      </c>
      <c r="K9" s="8" t="s">
        <v>201</v>
      </c>
      <c r="L9" s="8" t="s">
        <v>72</v>
      </c>
      <c r="M9" s="11" t="s">
        <v>72</v>
      </c>
      <c r="O9" s="8" t="s">
        <v>201</v>
      </c>
      <c r="P9" s="8" t="s">
        <v>201</v>
      </c>
      <c r="Q9" s="8" t="s">
        <v>72</v>
      </c>
      <c r="R9" s="11" t="s">
        <v>72</v>
      </c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</row>
    <row r="10" spans="1:15" ht="13.5" customHeight="1">
      <c r="A10" s="4" t="s">
        <v>163</v>
      </c>
      <c r="J10" s="14"/>
      <c r="O10" s="14"/>
    </row>
    <row r="11" spans="2:18" ht="12.75">
      <c r="B11" s="4" t="s">
        <v>33</v>
      </c>
      <c r="C11" s="5">
        <v>1</v>
      </c>
      <c r="D11" s="3" t="s">
        <v>13</v>
      </c>
      <c r="E11">
        <v>110</v>
      </c>
      <c r="F11" s="7">
        <f aca="true" t="shared" si="0" ref="F11:H35">IF(E11="","",E11*$C11)</f>
        <v>110</v>
      </c>
      <c r="G11" s="15">
        <f>IF(E11=0,"",IF(D11="nd",E11/2,E11))</f>
        <v>55</v>
      </c>
      <c r="H11" s="7">
        <f t="shared" si="0"/>
        <v>55</v>
      </c>
      <c r="I11" s="3"/>
      <c r="J11">
        <v>500</v>
      </c>
      <c r="K11" s="7">
        <f aca="true" t="shared" si="1" ref="K11:M35">IF(J11="","",J11*$C11)</f>
        <v>500</v>
      </c>
      <c r="L11" s="15">
        <f>IF(J11=0,"",IF(I11="nd",J11/2,J11))</f>
        <v>500</v>
      </c>
      <c r="M11" s="7">
        <f t="shared" si="1"/>
        <v>500</v>
      </c>
      <c r="N11" s="3" t="s">
        <v>13</v>
      </c>
      <c r="O11">
        <v>250</v>
      </c>
      <c r="P11" s="7">
        <f aca="true" t="shared" si="2" ref="P11:R35">IF(O11="","",O11*$C11)</f>
        <v>250</v>
      </c>
      <c r="Q11" s="15">
        <f>IF(O11=0,"",IF(N11="nd",O11/2,O11))</f>
        <v>125</v>
      </c>
      <c r="R11" s="7">
        <f t="shared" si="2"/>
        <v>125</v>
      </c>
    </row>
    <row r="12" spans="2:18" ht="12.75">
      <c r="B12" s="4" t="s">
        <v>34</v>
      </c>
      <c r="C12" s="5">
        <v>0</v>
      </c>
      <c r="D12" s="3"/>
      <c r="E12">
        <v>680</v>
      </c>
      <c r="F12" s="7">
        <f t="shared" si="0"/>
        <v>0</v>
      </c>
      <c r="G12" s="15">
        <f aca="true" t="shared" si="3" ref="G12:G35">IF(E12=0,"",IF(D12="nd",E12/2,E12))</f>
        <v>680</v>
      </c>
      <c r="H12" s="7">
        <f t="shared" si="0"/>
        <v>0</v>
      </c>
      <c r="I12" s="3"/>
      <c r="J12">
        <v>12000</v>
      </c>
      <c r="K12" s="7">
        <f t="shared" si="1"/>
        <v>0</v>
      </c>
      <c r="L12" s="15">
        <f aca="true" t="shared" si="4" ref="L12:L35">IF(J12=0,"",IF(I12="nd",J12/2,J12))</f>
        <v>12000</v>
      </c>
      <c r="M12" s="7">
        <f t="shared" si="1"/>
        <v>0</v>
      </c>
      <c r="N12" s="3"/>
      <c r="O12">
        <v>170</v>
      </c>
      <c r="P12" s="7">
        <f t="shared" si="2"/>
        <v>0</v>
      </c>
      <c r="Q12" s="15">
        <f aca="true" t="shared" si="5" ref="Q12:Q35">IF(O12=0,"",IF(N12="nd",O12/2,O12))</f>
        <v>170</v>
      </c>
      <c r="R12" s="7">
        <f t="shared" si="2"/>
        <v>0</v>
      </c>
    </row>
    <row r="13" spans="2:18" ht="12.75">
      <c r="B13" s="4" t="s">
        <v>35</v>
      </c>
      <c r="C13" s="5">
        <v>0.5</v>
      </c>
      <c r="D13" s="3"/>
      <c r="E13">
        <v>81</v>
      </c>
      <c r="F13" s="7">
        <f t="shared" si="0"/>
        <v>40.5</v>
      </c>
      <c r="G13" s="15">
        <f t="shared" si="3"/>
        <v>81</v>
      </c>
      <c r="H13" s="7">
        <f t="shared" si="0"/>
        <v>40.5</v>
      </c>
      <c r="I13" s="3"/>
      <c r="J13">
        <v>1900</v>
      </c>
      <c r="K13" s="7">
        <f t="shared" si="1"/>
        <v>950</v>
      </c>
      <c r="L13" s="15">
        <f t="shared" si="4"/>
        <v>1900</v>
      </c>
      <c r="M13" s="7">
        <f t="shared" si="1"/>
        <v>950</v>
      </c>
      <c r="N13" s="3" t="s">
        <v>13</v>
      </c>
      <c r="O13">
        <v>210</v>
      </c>
      <c r="P13" s="7">
        <f t="shared" si="2"/>
        <v>105</v>
      </c>
      <c r="Q13" s="15">
        <f t="shared" si="5"/>
        <v>105</v>
      </c>
      <c r="R13" s="7">
        <f t="shared" si="2"/>
        <v>52.5</v>
      </c>
    </row>
    <row r="14" spans="2:18" ht="12.75">
      <c r="B14" s="4" t="s">
        <v>36</v>
      </c>
      <c r="C14" s="5">
        <v>0</v>
      </c>
      <c r="D14" s="3"/>
      <c r="E14">
        <v>670</v>
      </c>
      <c r="F14" s="7">
        <f t="shared" si="0"/>
        <v>0</v>
      </c>
      <c r="G14" s="15">
        <f t="shared" si="3"/>
        <v>670</v>
      </c>
      <c r="H14" s="7">
        <f t="shared" si="0"/>
        <v>0</v>
      </c>
      <c r="I14" s="3"/>
      <c r="J14">
        <v>22000</v>
      </c>
      <c r="K14" s="7">
        <f t="shared" si="1"/>
        <v>0</v>
      </c>
      <c r="L14" s="15">
        <f t="shared" si="4"/>
        <v>22000</v>
      </c>
      <c r="M14" s="7">
        <f t="shared" si="1"/>
        <v>0</v>
      </c>
      <c r="N14" s="3" t="s">
        <v>13</v>
      </c>
      <c r="O14">
        <v>260</v>
      </c>
      <c r="P14" s="7">
        <f t="shared" si="2"/>
        <v>0</v>
      </c>
      <c r="Q14" s="15">
        <f t="shared" si="5"/>
        <v>130</v>
      </c>
      <c r="R14" s="7">
        <f t="shared" si="2"/>
        <v>0</v>
      </c>
    </row>
    <row r="15" spans="2:18" ht="12.75">
      <c r="B15" s="4" t="s">
        <v>37</v>
      </c>
      <c r="C15" s="5">
        <v>0.1</v>
      </c>
      <c r="D15" s="3"/>
      <c r="E15">
        <v>19</v>
      </c>
      <c r="F15" s="7">
        <f t="shared" si="0"/>
        <v>1.9000000000000001</v>
      </c>
      <c r="G15" s="15">
        <f t="shared" si="3"/>
        <v>19</v>
      </c>
      <c r="H15" s="7">
        <f t="shared" si="0"/>
        <v>1.9000000000000001</v>
      </c>
      <c r="I15" s="3"/>
      <c r="J15">
        <v>720</v>
      </c>
      <c r="K15" s="7">
        <f t="shared" si="1"/>
        <v>72</v>
      </c>
      <c r="L15" s="15">
        <f t="shared" si="4"/>
        <v>720</v>
      </c>
      <c r="M15" s="7">
        <f t="shared" si="1"/>
        <v>72</v>
      </c>
      <c r="N15" s="3" t="s">
        <v>13</v>
      </c>
      <c r="O15">
        <v>92</v>
      </c>
      <c r="P15" s="7">
        <f t="shared" si="2"/>
        <v>9.200000000000001</v>
      </c>
      <c r="Q15" s="15">
        <f t="shared" si="5"/>
        <v>46</v>
      </c>
      <c r="R15" s="7">
        <f t="shared" si="2"/>
        <v>4.6000000000000005</v>
      </c>
    </row>
    <row r="16" spans="2:18" ht="12.75">
      <c r="B16" s="4" t="s">
        <v>38</v>
      </c>
      <c r="C16" s="5">
        <v>0.1</v>
      </c>
      <c r="D16" s="3"/>
      <c r="E16">
        <v>27</v>
      </c>
      <c r="F16" s="7">
        <f t="shared" si="0"/>
        <v>2.7</v>
      </c>
      <c r="G16" s="15">
        <f t="shared" si="3"/>
        <v>27</v>
      </c>
      <c r="H16" s="7">
        <f t="shared" si="0"/>
        <v>2.7</v>
      </c>
      <c r="I16" s="3"/>
      <c r="J16">
        <v>1000</v>
      </c>
      <c r="K16" s="7">
        <f t="shared" si="1"/>
        <v>100</v>
      </c>
      <c r="L16" s="15">
        <f t="shared" si="4"/>
        <v>1000</v>
      </c>
      <c r="M16" s="7">
        <f t="shared" si="1"/>
        <v>100</v>
      </c>
      <c r="N16" s="3" t="s">
        <v>13</v>
      </c>
      <c r="O16">
        <v>100</v>
      </c>
      <c r="P16" s="7">
        <f t="shared" si="2"/>
        <v>10</v>
      </c>
      <c r="Q16" s="15">
        <f t="shared" si="5"/>
        <v>50</v>
      </c>
      <c r="R16" s="7">
        <f t="shared" si="2"/>
        <v>5</v>
      </c>
    </row>
    <row r="17" spans="2:18" ht="12.75">
      <c r="B17" s="4" t="s">
        <v>39</v>
      </c>
      <c r="C17" s="5">
        <v>0.1</v>
      </c>
      <c r="D17" s="3"/>
      <c r="E17">
        <v>44</v>
      </c>
      <c r="F17" s="7">
        <f t="shared" si="0"/>
        <v>4.4</v>
      </c>
      <c r="G17" s="15">
        <f t="shared" si="3"/>
        <v>44</v>
      </c>
      <c r="H17" s="7">
        <f t="shared" si="0"/>
        <v>4.4</v>
      </c>
      <c r="I17" s="3"/>
      <c r="J17">
        <v>1900</v>
      </c>
      <c r="K17" s="7">
        <f t="shared" si="1"/>
        <v>190</v>
      </c>
      <c r="L17" s="15">
        <f t="shared" si="4"/>
        <v>1900</v>
      </c>
      <c r="M17" s="7">
        <f t="shared" si="1"/>
        <v>190</v>
      </c>
      <c r="N17" s="3" t="s">
        <v>13</v>
      </c>
      <c r="O17">
        <v>87</v>
      </c>
      <c r="P17" s="7">
        <f t="shared" si="2"/>
        <v>8.700000000000001</v>
      </c>
      <c r="Q17" s="15">
        <f t="shared" si="5"/>
        <v>43.5</v>
      </c>
      <c r="R17" s="7">
        <f t="shared" si="2"/>
        <v>4.3500000000000005</v>
      </c>
    </row>
    <row r="18" spans="2:18" ht="12.75">
      <c r="B18" s="4" t="s">
        <v>40</v>
      </c>
      <c r="C18" s="5">
        <v>0</v>
      </c>
      <c r="D18" s="3"/>
      <c r="E18">
        <v>330</v>
      </c>
      <c r="F18" s="7">
        <f t="shared" si="0"/>
        <v>0</v>
      </c>
      <c r="G18" s="15">
        <f t="shared" si="3"/>
        <v>330</v>
      </c>
      <c r="H18" s="7">
        <f t="shared" si="0"/>
        <v>0</v>
      </c>
      <c r="I18" s="3"/>
      <c r="J18">
        <v>15000</v>
      </c>
      <c r="K18" s="7">
        <f t="shared" si="1"/>
        <v>0</v>
      </c>
      <c r="L18" s="15">
        <f t="shared" si="4"/>
        <v>15000</v>
      </c>
      <c r="M18" s="7">
        <f t="shared" si="1"/>
        <v>0</v>
      </c>
      <c r="N18" s="3"/>
      <c r="O18">
        <v>61</v>
      </c>
      <c r="P18" s="7">
        <f t="shared" si="2"/>
        <v>0</v>
      </c>
      <c r="Q18" s="15">
        <f t="shared" si="5"/>
        <v>61</v>
      </c>
      <c r="R18" s="7">
        <f t="shared" si="2"/>
        <v>0</v>
      </c>
    </row>
    <row r="19" spans="2:18" ht="12.75">
      <c r="B19" s="4" t="s">
        <v>41</v>
      </c>
      <c r="C19" s="5">
        <v>0.01</v>
      </c>
      <c r="D19" s="3"/>
      <c r="E19">
        <v>81</v>
      </c>
      <c r="F19" s="7">
        <f t="shared" si="0"/>
        <v>0.81</v>
      </c>
      <c r="G19" s="15">
        <f t="shared" si="3"/>
        <v>81</v>
      </c>
      <c r="H19" s="7">
        <f t="shared" si="0"/>
        <v>0.81</v>
      </c>
      <c r="I19" s="3"/>
      <c r="J19">
        <v>3500</v>
      </c>
      <c r="K19" s="7">
        <f t="shared" si="1"/>
        <v>35</v>
      </c>
      <c r="L19" s="15">
        <f t="shared" si="4"/>
        <v>3500</v>
      </c>
      <c r="M19" s="7">
        <f t="shared" si="1"/>
        <v>35</v>
      </c>
      <c r="N19" s="3" t="s">
        <v>13</v>
      </c>
      <c r="O19">
        <v>200</v>
      </c>
      <c r="P19" s="7">
        <f t="shared" si="2"/>
        <v>2</v>
      </c>
      <c r="Q19" s="15">
        <f t="shared" si="5"/>
        <v>100</v>
      </c>
      <c r="R19" s="7">
        <f t="shared" si="2"/>
        <v>1</v>
      </c>
    </row>
    <row r="20" spans="2:18" ht="12.75">
      <c r="B20" s="4" t="s">
        <v>42</v>
      </c>
      <c r="C20" s="5">
        <v>0</v>
      </c>
      <c r="D20" s="3"/>
      <c r="E20">
        <v>160</v>
      </c>
      <c r="F20" s="7">
        <f t="shared" si="0"/>
        <v>0</v>
      </c>
      <c r="G20" s="15">
        <f t="shared" si="3"/>
        <v>160</v>
      </c>
      <c r="H20" s="7">
        <f t="shared" si="0"/>
        <v>0</v>
      </c>
      <c r="I20" s="3"/>
      <c r="J20">
        <v>8700</v>
      </c>
      <c r="K20" s="7">
        <f t="shared" si="1"/>
        <v>0</v>
      </c>
      <c r="L20" s="15">
        <f t="shared" si="4"/>
        <v>8700</v>
      </c>
      <c r="M20" s="7">
        <f t="shared" si="1"/>
        <v>0</v>
      </c>
      <c r="N20" s="3" t="s">
        <v>13</v>
      </c>
      <c r="O20">
        <v>200</v>
      </c>
      <c r="P20" s="7">
        <f t="shared" si="2"/>
        <v>0</v>
      </c>
      <c r="Q20" s="15">
        <f t="shared" si="5"/>
        <v>100</v>
      </c>
      <c r="R20" s="7">
        <f t="shared" si="2"/>
        <v>0</v>
      </c>
    </row>
    <row r="21" spans="2:18" ht="12.75">
      <c r="B21" s="4" t="s">
        <v>43</v>
      </c>
      <c r="C21" s="5">
        <v>0.001</v>
      </c>
      <c r="D21" s="3"/>
      <c r="E21">
        <v>110</v>
      </c>
      <c r="F21" s="7">
        <f t="shared" si="0"/>
        <v>0.11</v>
      </c>
      <c r="G21" s="15">
        <f t="shared" si="3"/>
        <v>110</v>
      </c>
      <c r="H21" s="7">
        <f t="shared" si="0"/>
        <v>0.11</v>
      </c>
      <c r="I21" s="3"/>
      <c r="J21">
        <v>2200</v>
      </c>
      <c r="K21" s="7">
        <f t="shared" si="1"/>
        <v>2.2</v>
      </c>
      <c r="L21" s="15">
        <f t="shared" si="4"/>
        <v>2200</v>
      </c>
      <c r="M21" s="7">
        <f t="shared" si="1"/>
        <v>2.2</v>
      </c>
      <c r="N21" s="3"/>
      <c r="O21">
        <v>52</v>
      </c>
      <c r="P21" s="7">
        <f t="shared" si="2"/>
        <v>0.052000000000000005</v>
      </c>
      <c r="Q21" s="15">
        <f t="shared" si="5"/>
        <v>52</v>
      </c>
      <c r="R21" s="7">
        <f t="shared" si="2"/>
        <v>0.052000000000000005</v>
      </c>
    </row>
    <row r="22" spans="2:18" ht="12.75">
      <c r="B22" s="4" t="s">
        <v>44</v>
      </c>
      <c r="C22" s="5">
        <v>0.1</v>
      </c>
      <c r="D22" s="3" t="s">
        <v>13</v>
      </c>
      <c r="E22">
        <v>130</v>
      </c>
      <c r="F22" s="7">
        <f t="shared" si="0"/>
        <v>13</v>
      </c>
      <c r="G22" s="15">
        <f t="shared" si="3"/>
        <v>65</v>
      </c>
      <c r="H22" s="7">
        <f t="shared" si="0"/>
        <v>6.5</v>
      </c>
      <c r="I22" s="3"/>
      <c r="J22">
        <v>180</v>
      </c>
      <c r="K22" s="7">
        <f t="shared" si="1"/>
        <v>18</v>
      </c>
      <c r="L22" s="15">
        <f t="shared" si="4"/>
        <v>180</v>
      </c>
      <c r="M22" s="7">
        <f t="shared" si="1"/>
        <v>18</v>
      </c>
      <c r="N22" s="3"/>
      <c r="O22">
        <v>82</v>
      </c>
      <c r="P22" s="7">
        <f t="shared" si="2"/>
        <v>8.200000000000001</v>
      </c>
      <c r="Q22" s="15">
        <f t="shared" si="5"/>
        <v>82</v>
      </c>
      <c r="R22" s="7">
        <f t="shared" si="2"/>
        <v>8.200000000000001</v>
      </c>
    </row>
    <row r="23" spans="2:18" ht="12.75">
      <c r="B23" s="4" t="s">
        <v>45</v>
      </c>
      <c r="C23" s="5">
        <v>0</v>
      </c>
      <c r="D23" s="3"/>
      <c r="E23">
        <v>580</v>
      </c>
      <c r="F23" s="7">
        <f t="shared" si="0"/>
        <v>0</v>
      </c>
      <c r="G23" s="15">
        <f t="shared" si="3"/>
        <v>580</v>
      </c>
      <c r="H23" s="7">
        <f t="shared" si="0"/>
        <v>0</v>
      </c>
      <c r="I23" s="3"/>
      <c r="J23">
        <v>1400</v>
      </c>
      <c r="K23" s="7">
        <f t="shared" si="1"/>
        <v>0</v>
      </c>
      <c r="L23" s="15">
        <f t="shared" si="4"/>
        <v>1400</v>
      </c>
      <c r="M23" s="7">
        <f t="shared" si="1"/>
        <v>0</v>
      </c>
      <c r="N23" s="3"/>
      <c r="O23">
        <v>82</v>
      </c>
      <c r="P23" s="7">
        <f t="shared" si="2"/>
        <v>0</v>
      </c>
      <c r="Q23" s="15">
        <f t="shared" si="5"/>
        <v>82</v>
      </c>
      <c r="R23" s="7">
        <f t="shared" si="2"/>
        <v>0</v>
      </c>
    </row>
    <row r="24" spans="2:18" ht="12.75">
      <c r="B24" s="4" t="s">
        <v>46</v>
      </c>
      <c r="C24" s="5">
        <v>0.05</v>
      </c>
      <c r="D24" s="3"/>
      <c r="E24">
        <v>47</v>
      </c>
      <c r="F24" s="7">
        <f t="shared" si="0"/>
        <v>2.35</v>
      </c>
      <c r="G24" s="15">
        <f t="shared" si="3"/>
        <v>47</v>
      </c>
      <c r="H24" s="7">
        <f t="shared" si="0"/>
        <v>2.35</v>
      </c>
      <c r="I24" s="3"/>
      <c r="J24">
        <v>61</v>
      </c>
      <c r="K24" s="7">
        <f t="shared" si="1"/>
        <v>3.0500000000000003</v>
      </c>
      <c r="L24" s="15">
        <f t="shared" si="4"/>
        <v>61</v>
      </c>
      <c r="M24" s="7">
        <f t="shared" si="1"/>
        <v>3.0500000000000003</v>
      </c>
      <c r="N24" s="3" t="s">
        <v>13</v>
      </c>
      <c r="O24">
        <v>140</v>
      </c>
      <c r="P24" s="7">
        <f t="shared" si="2"/>
        <v>7</v>
      </c>
      <c r="Q24" s="15">
        <f t="shared" si="5"/>
        <v>70</v>
      </c>
      <c r="R24" s="7">
        <f t="shared" si="2"/>
        <v>3.5</v>
      </c>
    </row>
    <row r="25" spans="2:18" ht="12.75">
      <c r="B25" s="4" t="s">
        <v>47</v>
      </c>
      <c r="C25" s="5">
        <v>0.5</v>
      </c>
      <c r="D25" s="3"/>
      <c r="E25">
        <v>88</v>
      </c>
      <c r="F25" s="7">
        <f t="shared" si="0"/>
        <v>44</v>
      </c>
      <c r="G25" s="15">
        <f t="shared" si="3"/>
        <v>88</v>
      </c>
      <c r="H25" s="7">
        <f t="shared" si="0"/>
        <v>44</v>
      </c>
      <c r="I25" s="3"/>
      <c r="J25">
        <v>74</v>
      </c>
      <c r="K25" s="7">
        <f t="shared" si="1"/>
        <v>37</v>
      </c>
      <c r="L25" s="15">
        <f t="shared" si="4"/>
        <v>74</v>
      </c>
      <c r="M25" s="7">
        <f t="shared" si="1"/>
        <v>37</v>
      </c>
      <c r="N25" s="3" t="s">
        <v>13</v>
      </c>
      <c r="O25">
        <v>140</v>
      </c>
      <c r="P25" s="7">
        <f t="shared" si="2"/>
        <v>70</v>
      </c>
      <c r="Q25" s="15">
        <f t="shared" si="5"/>
        <v>70</v>
      </c>
      <c r="R25" s="7">
        <f t="shared" si="2"/>
        <v>35</v>
      </c>
    </row>
    <row r="26" spans="2:18" ht="12.75">
      <c r="B26" s="4" t="s">
        <v>48</v>
      </c>
      <c r="C26" s="5">
        <v>0</v>
      </c>
      <c r="D26" s="3"/>
      <c r="E26">
        <v>720</v>
      </c>
      <c r="F26" s="7">
        <f t="shared" si="0"/>
        <v>0</v>
      </c>
      <c r="G26" s="15">
        <f t="shared" si="3"/>
        <v>720</v>
      </c>
      <c r="H26" s="7">
        <f t="shared" si="0"/>
        <v>0</v>
      </c>
      <c r="I26" s="3"/>
      <c r="J26">
        <v>1900</v>
      </c>
      <c r="K26" s="7">
        <f t="shared" si="1"/>
        <v>0</v>
      </c>
      <c r="L26" s="15">
        <f t="shared" si="4"/>
        <v>1900</v>
      </c>
      <c r="M26" s="7">
        <f t="shared" si="1"/>
        <v>0</v>
      </c>
      <c r="N26" s="3" t="s">
        <v>13</v>
      </c>
      <c r="O26">
        <v>180</v>
      </c>
      <c r="P26" s="7">
        <f t="shared" si="2"/>
        <v>0</v>
      </c>
      <c r="Q26" s="15">
        <f t="shared" si="5"/>
        <v>90</v>
      </c>
      <c r="R26" s="7">
        <f t="shared" si="2"/>
        <v>0</v>
      </c>
    </row>
    <row r="27" spans="2:18" ht="12.75">
      <c r="B27" s="4" t="s">
        <v>49</v>
      </c>
      <c r="C27" s="5">
        <v>0.1</v>
      </c>
      <c r="D27" s="3"/>
      <c r="E27">
        <v>110</v>
      </c>
      <c r="F27" s="7">
        <f t="shared" si="0"/>
        <v>11</v>
      </c>
      <c r="G27" s="15">
        <f t="shared" si="3"/>
        <v>110</v>
      </c>
      <c r="H27" s="7">
        <f t="shared" si="0"/>
        <v>11</v>
      </c>
      <c r="I27" s="3"/>
      <c r="J27">
        <v>140</v>
      </c>
      <c r="K27" s="7">
        <f t="shared" si="1"/>
        <v>14</v>
      </c>
      <c r="L27" s="15">
        <f t="shared" si="4"/>
        <v>140</v>
      </c>
      <c r="M27" s="7">
        <f t="shared" si="1"/>
        <v>14</v>
      </c>
      <c r="N27" s="3"/>
      <c r="O27">
        <v>44</v>
      </c>
      <c r="P27" s="7">
        <f t="shared" si="2"/>
        <v>4.4</v>
      </c>
      <c r="Q27" s="15">
        <f t="shared" si="5"/>
        <v>44</v>
      </c>
      <c r="R27" s="7">
        <f t="shared" si="2"/>
        <v>4.4</v>
      </c>
    </row>
    <row r="28" spans="2:18" ht="12.75">
      <c r="B28" s="4" t="s">
        <v>50</v>
      </c>
      <c r="C28" s="5">
        <v>0.1</v>
      </c>
      <c r="D28" s="3"/>
      <c r="E28">
        <v>59</v>
      </c>
      <c r="F28" s="7">
        <f t="shared" si="0"/>
        <v>5.9</v>
      </c>
      <c r="G28" s="15">
        <f t="shared" si="3"/>
        <v>59</v>
      </c>
      <c r="H28" s="7">
        <f t="shared" si="0"/>
        <v>5.9</v>
      </c>
      <c r="I28" s="3"/>
      <c r="J28">
        <v>120</v>
      </c>
      <c r="K28" s="7">
        <f t="shared" si="1"/>
        <v>12</v>
      </c>
      <c r="L28" s="15">
        <f t="shared" si="4"/>
        <v>120</v>
      </c>
      <c r="M28" s="7">
        <f t="shared" si="1"/>
        <v>12</v>
      </c>
      <c r="N28" s="3" t="s">
        <v>13</v>
      </c>
      <c r="O28">
        <v>86</v>
      </c>
      <c r="P28" s="7">
        <f t="shared" si="2"/>
        <v>8.6</v>
      </c>
      <c r="Q28" s="15">
        <f t="shared" si="5"/>
        <v>43</v>
      </c>
      <c r="R28" s="7">
        <f t="shared" si="2"/>
        <v>4.3</v>
      </c>
    </row>
    <row r="29" spans="2:18" ht="12.75">
      <c r="B29" s="4" t="s">
        <v>51</v>
      </c>
      <c r="C29" s="5">
        <v>0.1</v>
      </c>
      <c r="D29" s="3"/>
      <c r="E29">
        <v>47</v>
      </c>
      <c r="F29" s="7">
        <f t="shared" si="0"/>
        <v>4.7</v>
      </c>
      <c r="G29" s="15">
        <f t="shared" si="3"/>
        <v>47</v>
      </c>
      <c r="H29" s="7">
        <f t="shared" si="0"/>
        <v>4.7</v>
      </c>
      <c r="I29" s="3"/>
      <c r="J29">
        <v>32</v>
      </c>
      <c r="K29" s="7">
        <f t="shared" si="1"/>
        <v>3.2</v>
      </c>
      <c r="L29" s="15">
        <f t="shared" si="4"/>
        <v>32</v>
      </c>
      <c r="M29" s="7">
        <f t="shared" si="1"/>
        <v>3.2</v>
      </c>
      <c r="N29" s="3" t="s">
        <v>13</v>
      </c>
      <c r="O29">
        <v>110</v>
      </c>
      <c r="P29" s="7">
        <f t="shared" si="2"/>
        <v>11</v>
      </c>
      <c r="Q29" s="15">
        <f t="shared" si="5"/>
        <v>55</v>
      </c>
      <c r="R29" s="7">
        <f t="shared" si="2"/>
        <v>5.5</v>
      </c>
    </row>
    <row r="30" spans="2:18" ht="12.75">
      <c r="B30" s="4" t="s">
        <v>52</v>
      </c>
      <c r="C30" s="5">
        <v>0.1</v>
      </c>
      <c r="D30" s="3" t="s">
        <v>13</v>
      </c>
      <c r="E30">
        <v>22</v>
      </c>
      <c r="F30" s="7">
        <f t="shared" si="0"/>
        <v>2.2</v>
      </c>
      <c r="G30" s="15">
        <f t="shared" si="3"/>
        <v>11</v>
      </c>
      <c r="H30" s="7">
        <f t="shared" si="0"/>
        <v>1.1</v>
      </c>
      <c r="I30" s="3" t="s">
        <v>13</v>
      </c>
      <c r="J30">
        <v>23</v>
      </c>
      <c r="K30" s="7">
        <f t="shared" si="1"/>
        <v>2.3000000000000003</v>
      </c>
      <c r="L30" s="15">
        <f t="shared" si="4"/>
        <v>11.5</v>
      </c>
      <c r="M30" s="7">
        <f t="shared" si="1"/>
        <v>1.1500000000000001</v>
      </c>
      <c r="N30" s="3" t="s">
        <v>13</v>
      </c>
      <c r="O30">
        <v>120</v>
      </c>
      <c r="P30" s="7">
        <f t="shared" si="2"/>
        <v>12</v>
      </c>
      <c r="Q30" s="15">
        <f t="shared" si="5"/>
        <v>60</v>
      </c>
      <c r="R30" s="7">
        <f t="shared" si="2"/>
        <v>6</v>
      </c>
    </row>
    <row r="31" spans="2:18" ht="12.75">
      <c r="B31" s="4" t="s">
        <v>53</v>
      </c>
      <c r="C31" s="5">
        <v>0</v>
      </c>
      <c r="D31" s="3"/>
      <c r="E31">
        <v>480</v>
      </c>
      <c r="F31" s="7">
        <f t="shared" si="0"/>
        <v>0</v>
      </c>
      <c r="G31" s="15">
        <f t="shared" si="3"/>
        <v>480</v>
      </c>
      <c r="H31" s="7">
        <f t="shared" si="0"/>
        <v>0</v>
      </c>
      <c r="I31" s="3"/>
      <c r="J31">
        <v>1600</v>
      </c>
      <c r="K31" s="7">
        <f t="shared" si="1"/>
        <v>0</v>
      </c>
      <c r="L31" s="15">
        <f t="shared" si="4"/>
        <v>1600</v>
      </c>
      <c r="M31" s="7">
        <f t="shared" si="1"/>
        <v>0</v>
      </c>
      <c r="N31" s="3"/>
      <c r="O31">
        <v>110</v>
      </c>
      <c r="P31" s="7">
        <f t="shared" si="2"/>
        <v>0</v>
      </c>
      <c r="Q31" s="15">
        <f t="shared" si="5"/>
        <v>110</v>
      </c>
      <c r="R31" s="7">
        <f t="shared" si="2"/>
        <v>0</v>
      </c>
    </row>
    <row r="32" spans="2:18" ht="12.75">
      <c r="B32" s="4" t="s">
        <v>54</v>
      </c>
      <c r="C32" s="5">
        <v>0.01</v>
      </c>
      <c r="D32" s="3"/>
      <c r="E32">
        <v>120</v>
      </c>
      <c r="F32" s="7">
        <f t="shared" si="0"/>
        <v>1.2</v>
      </c>
      <c r="G32" s="15">
        <f t="shared" si="3"/>
        <v>120</v>
      </c>
      <c r="H32" s="7">
        <f t="shared" si="0"/>
        <v>1.2</v>
      </c>
      <c r="I32" s="3"/>
      <c r="J32">
        <v>180</v>
      </c>
      <c r="K32" s="7">
        <f t="shared" si="1"/>
        <v>1.8</v>
      </c>
      <c r="L32" s="15">
        <f t="shared" si="4"/>
        <v>180</v>
      </c>
      <c r="M32" s="7">
        <f t="shared" si="1"/>
        <v>1.8</v>
      </c>
      <c r="N32" s="3"/>
      <c r="O32">
        <v>54</v>
      </c>
      <c r="P32" s="7">
        <f t="shared" si="2"/>
        <v>0.54</v>
      </c>
      <c r="Q32" s="15">
        <f t="shared" si="5"/>
        <v>54</v>
      </c>
      <c r="R32" s="7">
        <f t="shared" si="2"/>
        <v>0.54</v>
      </c>
    </row>
    <row r="33" spans="2:18" ht="12.75">
      <c r="B33" s="4" t="s">
        <v>55</v>
      </c>
      <c r="C33" s="5">
        <v>0.01</v>
      </c>
      <c r="D33" s="3" t="s">
        <v>13</v>
      </c>
      <c r="E33">
        <v>28</v>
      </c>
      <c r="F33" s="7">
        <f t="shared" si="0"/>
        <v>0.28</v>
      </c>
      <c r="G33" s="15">
        <f t="shared" si="3"/>
        <v>14</v>
      </c>
      <c r="H33" s="7">
        <f t="shared" si="0"/>
        <v>0.14</v>
      </c>
      <c r="I33" s="3" t="s">
        <v>13</v>
      </c>
      <c r="J33">
        <v>85</v>
      </c>
      <c r="K33" s="7">
        <f t="shared" si="1"/>
        <v>0.85</v>
      </c>
      <c r="L33" s="15">
        <f t="shared" si="4"/>
        <v>42.5</v>
      </c>
      <c r="M33" s="7">
        <f t="shared" si="1"/>
        <v>0.425</v>
      </c>
      <c r="N33" s="3" t="s">
        <v>13</v>
      </c>
      <c r="O33">
        <v>78</v>
      </c>
      <c r="P33" s="7">
        <f t="shared" si="2"/>
        <v>0.78</v>
      </c>
      <c r="Q33" s="15">
        <f t="shared" si="5"/>
        <v>39</v>
      </c>
      <c r="R33" s="7">
        <f t="shared" si="2"/>
        <v>0.39</v>
      </c>
    </row>
    <row r="34" spans="2:18" ht="12.75">
      <c r="B34" s="4" t="s">
        <v>56</v>
      </c>
      <c r="C34" s="5">
        <v>0</v>
      </c>
      <c r="D34"/>
      <c r="E34">
        <v>180</v>
      </c>
      <c r="F34" s="7">
        <f t="shared" si="0"/>
        <v>0</v>
      </c>
      <c r="G34" s="15">
        <f t="shared" si="3"/>
        <v>180</v>
      </c>
      <c r="H34" s="7">
        <f t="shared" si="0"/>
        <v>0</v>
      </c>
      <c r="I34" s="3"/>
      <c r="J34">
        <v>360</v>
      </c>
      <c r="K34" s="7">
        <f t="shared" si="1"/>
        <v>0</v>
      </c>
      <c r="L34" s="15">
        <f t="shared" si="4"/>
        <v>360</v>
      </c>
      <c r="M34" s="7">
        <f t="shared" si="1"/>
        <v>0</v>
      </c>
      <c r="N34" s="3"/>
      <c r="O34">
        <v>54</v>
      </c>
      <c r="P34" s="7">
        <f t="shared" si="2"/>
        <v>0</v>
      </c>
      <c r="Q34" s="15">
        <f t="shared" si="5"/>
        <v>54</v>
      </c>
      <c r="R34" s="7">
        <f t="shared" si="2"/>
        <v>0</v>
      </c>
    </row>
    <row r="35" spans="2:18" ht="12.75">
      <c r="B35" s="4" t="s">
        <v>57</v>
      </c>
      <c r="C35" s="5">
        <v>0.001</v>
      </c>
      <c r="D35"/>
      <c r="E35">
        <v>70</v>
      </c>
      <c r="F35" s="7">
        <f t="shared" si="0"/>
        <v>0.07</v>
      </c>
      <c r="G35" s="15">
        <f t="shared" si="3"/>
        <v>70</v>
      </c>
      <c r="H35" s="7">
        <f t="shared" si="0"/>
        <v>0.07</v>
      </c>
      <c r="I35" s="3"/>
      <c r="J35">
        <v>160</v>
      </c>
      <c r="K35" s="7">
        <f t="shared" si="1"/>
        <v>0.16</v>
      </c>
      <c r="L35" s="15">
        <f t="shared" si="4"/>
        <v>160</v>
      </c>
      <c r="M35" s="7">
        <f t="shared" si="1"/>
        <v>0.16</v>
      </c>
      <c r="N35" s="3" t="s">
        <v>13</v>
      </c>
      <c r="O35">
        <v>180</v>
      </c>
      <c r="P35" s="7">
        <f t="shared" si="2"/>
        <v>0.18</v>
      </c>
      <c r="Q35" s="15">
        <f t="shared" si="5"/>
        <v>90</v>
      </c>
      <c r="R35" s="7">
        <f t="shared" si="2"/>
        <v>0.09</v>
      </c>
    </row>
    <row r="36" spans="4:17" ht="9" customHeight="1">
      <c r="D36" s="18"/>
      <c r="E36" s="16"/>
      <c r="F36" s="14"/>
      <c r="G36" s="14"/>
      <c r="H36" s="14"/>
      <c r="I36" s="18"/>
      <c r="J36" s="16"/>
      <c r="L36" s="17"/>
      <c r="N36" s="18"/>
      <c r="O36" s="16"/>
      <c r="Q36" s="17"/>
    </row>
    <row r="37" spans="2:18" ht="12.75">
      <c r="B37" s="4" t="s">
        <v>58</v>
      </c>
      <c r="D37"/>
      <c r="E37"/>
      <c r="F37">
        <v>141.004</v>
      </c>
      <c r="G37">
        <v>141.004</v>
      </c>
      <c r="H37">
        <v>141.004</v>
      </c>
      <c r="I37"/>
      <c r="J37"/>
      <c r="K37">
        <v>122.855</v>
      </c>
      <c r="L37">
        <v>122.855</v>
      </c>
      <c r="M37">
        <v>122.855</v>
      </c>
      <c r="N37"/>
      <c r="O37"/>
      <c r="P37">
        <v>123.014</v>
      </c>
      <c r="Q37">
        <v>123.014</v>
      </c>
      <c r="R37">
        <v>123.014</v>
      </c>
    </row>
    <row r="38" spans="2:18" ht="12.75">
      <c r="B38" s="4" t="s">
        <v>59</v>
      </c>
      <c r="D38"/>
      <c r="E38"/>
      <c r="F38">
        <v>9.6</v>
      </c>
      <c r="G38">
        <v>9.6</v>
      </c>
      <c r="H38">
        <v>9.6</v>
      </c>
      <c r="I38"/>
      <c r="J38"/>
      <c r="K38">
        <v>10</v>
      </c>
      <c r="L38">
        <v>10</v>
      </c>
      <c r="M38">
        <v>10</v>
      </c>
      <c r="N38"/>
      <c r="O38"/>
      <c r="P38">
        <v>10</v>
      </c>
      <c r="Q38">
        <v>10</v>
      </c>
      <c r="R38">
        <v>10</v>
      </c>
    </row>
    <row r="39" spans="4:18" ht="9.75" customHeight="1">
      <c r="D39" s="20"/>
      <c r="E39" s="17"/>
      <c r="F39" s="21"/>
      <c r="G39" s="14"/>
      <c r="H39" s="21"/>
      <c r="I39" s="18"/>
      <c r="J39" s="17"/>
      <c r="K39" s="17"/>
      <c r="L39" s="17"/>
      <c r="M39" s="17"/>
      <c r="N39" s="18"/>
      <c r="O39" s="17"/>
      <c r="P39" s="17"/>
      <c r="Q39" s="17"/>
      <c r="R39" s="17"/>
    </row>
    <row r="40" spans="2:18" ht="12" customHeight="1">
      <c r="B40" s="4" t="s">
        <v>167</v>
      </c>
      <c r="C40" s="7"/>
      <c r="D40" s="11"/>
      <c r="E40" s="14"/>
      <c r="F40" s="15">
        <f>SUM(F11:F35)/1000</f>
        <v>0.24511999999999998</v>
      </c>
      <c r="G40" s="15">
        <f>SUM(G35,G34,G31,G26,G23,G21,G20,G18,G14,G12)/1000</f>
        <v>3.98</v>
      </c>
      <c r="H40" s="15">
        <f>SUM(H11:H35)/1000</f>
        <v>0.18237999999999996</v>
      </c>
      <c r="I40" s="11"/>
      <c r="J40" s="17"/>
      <c r="K40" s="15">
        <f>SUM(K11:K35)/1000</f>
        <v>1.94156</v>
      </c>
      <c r="L40" s="15">
        <f>SUM(L35,L34,L31,L26,L23,L21,L20,L18,L14,L12)/1000</f>
        <v>65.32</v>
      </c>
      <c r="M40" s="15">
        <f>SUM(M11:M35)/1000</f>
        <v>1.939985</v>
      </c>
      <c r="N40" s="11"/>
      <c r="O40" s="17"/>
      <c r="P40" s="15">
        <f>SUM(P11:P35)/1000</f>
        <v>0.507652</v>
      </c>
      <c r="Q40" s="15">
        <f>SUM(Q35,Q34,Q31,Q26,Q23,Q21,Q20,Q18,Q14,Q12)/1000</f>
        <v>0.939</v>
      </c>
      <c r="R40" s="15">
        <f>SUM(R11:R35)/1000</f>
        <v>0.260422</v>
      </c>
    </row>
    <row r="41" spans="2:18" ht="12" customHeight="1">
      <c r="B41" s="4" t="s">
        <v>60</v>
      </c>
      <c r="C41" s="7"/>
      <c r="D41" s="14">
        <f>(F41-H41)*2/F41*100</f>
        <v>51.1912532637076</v>
      </c>
      <c r="E41" s="14"/>
      <c r="F41" s="15">
        <f>F40/F37/0.0283*14/(21-F38)</f>
        <v>0.0754369400651313</v>
      </c>
      <c r="G41" s="15">
        <f>G40/G37/0.0283*14/(21-G38)</f>
        <v>1.2248654596084472</v>
      </c>
      <c r="H41" s="15">
        <f>H40/H37/0.0283*14/(21-H38)</f>
        <v>0.05612838254356496</v>
      </c>
      <c r="I41" s="14">
        <f>(K41-M41)*2/K41*100</f>
        <v>0.1622406724488933</v>
      </c>
      <c r="J41" s="17"/>
      <c r="K41" s="15">
        <f>K40/K37/0.0283*14/(21-K38)</f>
        <v>0.7107336778659215</v>
      </c>
      <c r="L41" s="15">
        <f>L40/L37/0.0283*14/(21-L38)</f>
        <v>23.911248603289106</v>
      </c>
      <c r="M41" s="15">
        <f>M40/M37/0.0283*14/(21-M38)</f>
        <v>0.7101571283167762</v>
      </c>
      <c r="N41" s="14">
        <f>(P41-R41)*2/P41*100</f>
        <v>97.40136944205874</v>
      </c>
      <c r="O41" s="17"/>
      <c r="P41" s="15">
        <f>P40/P37/0.0283*14/(21-P38)</f>
        <v>0.18559252311094515</v>
      </c>
      <c r="Q41" s="15">
        <f>Q40/Q37/0.0283*14/(21-Q38)</f>
        <v>0.3432890625885005</v>
      </c>
      <c r="R41" s="15">
        <f>R40/R37/0.0283*14/(21-R38)</f>
        <v>0.09520769356488018</v>
      </c>
    </row>
    <row r="42" spans="3:18" ht="12" customHeight="1">
      <c r="C42" s="7"/>
      <c r="D42" s="11"/>
      <c r="E42" s="14"/>
      <c r="F42" s="15"/>
      <c r="G42" s="15"/>
      <c r="H42" s="15"/>
      <c r="I42" s="11"/>
      <c r="J42" s="17"/>
      <c r="K42" s="15"/>
      <c r="L42" s="15"/>
      <c r="M42" s="15"/>
      <c r="N42" s="11"/>
      <c r="O42" s="17"/>
      <c r="P42" s="15"/>
      <c r="Q42" s="15"/>
      <c r="R42" s="15"/>
    </row>
    <row r="43" spans="2:31" s="17" customFormat="1" ht="12.75">
      <c r="B43" s="17" t="s">
        <v>73</v>
      </c>
      <c r="C43" s="15">
        <f>AVERAGE(,H41,M41,R41)</f>
        <v>0.21537330110630537</v>
      </c>
      <c r="D43" s="18"/>
      <c r="I43" s="18"/>
      <c r="K43" s="6"/>
      <c r="M43" s="6"/>
      <c r="N43" s="18"/>
      <c r="P43" s="6"/>
      <c r="R43" s="6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2:3" ht="12.75">
      <c r="B44" s="4" t="s">
        <v>74</v>
      </c>
      <c r="C44" s="15">
        <f>AVERAGE(,G41,L41,R41)</f>
        <v>6.307830439115609</v>
      </c>
    </row>
    <row r="45" spans="4:18" ht="12.75">
      <c r="D45" s="5"/>
      <c r="E45" s="4"/>
      <c r="F45" s="4"/>
      <c r="G45" s="4"/>
      <c r="H45" s="4"/>
      <c r="I45" s="5"/>
      <c r="J45" s="4"/>
      <c r="K45" s="4"/>
      <c r="L45" s="4"/>
      <c r="M45" s="4"/>
      <c r="N45" s="5"/>
      <c r="O45" s="4"/>
      <c r="P45" s="4"/>
      <c r="Q45" s="4"/>
      <c r="R45" s="4"/>
    </row>
    <row r="46" ht="12.75">
      <c r="B46" s="30" t="s">
        <v>294</v>
      </c>
    </row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spans="3:18" ht="12.75">
      <c r="C108" s="5"/>
      <c r="D108" s="11"/>
      <c r="E108" s="16"/>
      <c r="F108" s="14"/>
      <c r="G108" s="14"/>
      <c r="H108" s="14"/>
      <c r="I108" s="11"/>
      <c r="J108" s="14"/>
      <c r="K108" s="7"/>
      <c r="L108" s="14"/>
      <c r="M108" s="7"/>
      <c r="N108" s="11"/>
      <c r="O108" s="14"/>
      <c r="P108" s="7"/>
      <c r="Q108" s="14"/>
      <c r="R108" s="7"/>
    </row>
    <row r="109" spans="3:18" ht="12.75">
      <c r="C109" s="5"/>
      <c r="D109" s="11"/>
      <c r="E109" s="16"/>
      <c r="F109" s="14"/>
      <c r="G109" s="14"/>
      <c r="H109" s="14"/>
      <c r="I109" s="11"/>
      <c r="J109" s="21"/>
      <c r="K109" s="7"/>
      <c r="L109" s="14"/>
      <c r="M109" s="7"/>
      <c r="N109" s="11"/>
      <c r="O109" s="21"/>
      <c r="P109" s="7"/>
      <c r="Q109" s="14"/>
      <c r="R109" s="7"/>
    </row>
    <row r="110" spans="3:18" ht="12.75">
      <c r="C110" s="5"/>
      <c r="D110" s="11"/>
      <c r="E110" s="16"/>
      <c r="F110" s="14"/>
      <c r="G110" s="14"/>
      <c r="H110" s="14"/>
      <c r="I110" s="11"/>
      <c r="J110" s="21"/>
      <c r="K110" s="7"/>
      <c r="L110" s="14"/>
      <c r="M110" s="7"/>
      <c r="N110" s="11"/>
      <c r="O110" s="21"/>
      <c r="P110" s="7"/>
      <c r="Q110" s="14"/>
      <c r="R110" s="7"/>
    </row>
    <row r="111" spans="3:18" ht="12.75">
      <c r="C111" s="5"/>
      <c r="D111" s="11"/>
      <c r="E111" s="16"/>
      <c r="F111" s="14"/>
      <c r="G111" s="14"/>
      <c r="H111" s="14"/>
      <c r="I111" s="11"/>
      <c r="J111" s="21"/>
      <c r="K111" s="7"/>
      <c r="L111" s="14"/>
      <c r="M111" s="7"/>
      <c r="N111" s="11"/>
      <c r="O111" s="21"/>
      <c r="P111" s="7"/>
      <c r="Q111" s="14"/>
      <c r="R111" s="7"/>
    </row>
    <row r="112" spans="3:18" ht="12.75">
      <c r="C112" s="5"/>
      <c r="D112" s="11"/>
      <c r="E112" s="16"/>
      <c r="F112" s="14"/>
      <c r="G112" s="14"/>
      <c r="H112" s="14"/>
      <c r="I112" s="11"/>
      <c r="J112" s="21"/>
      <c r="K112" s="7"/>
      <c r="L112" s="14"/>
      <c r="M112" s="7"/>
      <c r="N112" s="11"/>
      <c r="O112" s="21"/>
      <c r="P112" s="7"/>
      <c r="Q112" s="14"/>
      <c r="R112" s="7"/>
    </row>
    <row r="113" spans="3:18" ht="12.75">
      <c r="C113" s="5"/>
      <c r="D113" s="11"/>
      <c r="E113" s="16"/>
      <c r="F113" s="14"/>
      <c r="G113" s="14"/>
      <c r="H113" s="14"/>
      <c r="I113" s="11"/>
      <c r="J113" s="21"/>
      <c r="K113" s="7"/>
      <c r="L113" s="14"/>
      <c r="M113" s="7"/>
      <c r="N113" s="11"/>
      <c r="O113" s="21"/>
      <c r="P113" s="7"/>
      <c r="Q113" s="14"/>
      <c r="R113" s="7"/>
    </row>
    <row r="114" spans="3:18" ht="12.75">
      <c r="C114" s="5"/>
      <c r="D114" s="11"/>
      <c r="E114" s="16"/>
      <c r="F114" s="14"/>
      <c r="G114" s="14"/>
      <c r="H114" s="14"/>
      <c r="I114" s="11"/>
      <c r="J114" s="21"/>
      <c r="K114" s="7"/>
      <c r="L114" s="14"/>
      <c r="M114" s="7"/>
      <c r="N114" s="11"/>
      <c r="O114" s="21"/>
      <c r="P114" s="7"/>
      <c r="Q114" s="14"/>
      <c r="R114" s="7"/>
    </row>
    <row r="115" spans="3:18" ht="12.75">
      <c r="C115" s="5"/>
      <c r="D115" s="11"/>
      <c r="E115" s="16"/>
      <c r="F115" s="14"/>
      <c r="G115" s="14"/>
      <c r="H115" s="14"/>
      <c r="I115" s="11"/>
      <c r="J115" s="21"/>
      <c r="K115" s="7"/>
      <c r="L115" s="14"/>
      <c r="M115" s="7"/>
      <c r="N115" s="11"/>
      <c r="O115" s="21"/>
      <c r="P115" s="7"/>
      <c r="Q115" s="14"/>
      <c r="R115" s="7"/>
    </row>
    <row r="116" spans="3:18" ht="12.75">
      <c r="C116" s="5"/>
      <c r="D116" s="11"/>
      <c r="E116" s="16"/>
      <c r="F116" s="14"/>
      <c r="G116" s="14"/>
      <c r="H116" s="14"/>
      <c r="I116" s="11"/>
      <c r="J116" s="21"/>
      <c r="K116" s="7"/>
      <c r="L116" s="14"/>
      <c r="M116" s="7"/>
      <c r="N116" s="11"/>
      <c r="O116" s="21"/>
      <c r="P116" s="7"/>
      <c r="Q116" s="14"/>
      <c r="R116" s="7"/>
    </row>
    <row r="117" spans="3:18" ht="12.75">
      <c r="C117" s="5"/>
      <c r="D117" s="11"/>
      <c r="E117" s="16"/>
      <c r="F117" s="14"/>
      <c r="G117" s="14"/>
      <c r="H117" s="14"/>
      <c r="I117" s="11"/>
      <c r="J117" s="21"/>
      <c r="K117" s="7"/>
      <c r="L117" s="14"/>
      <c r="M117" s="7"/>
      <c r="N117" s="11"/>
      <c r="O117" s="21"/>
      <c r="P117" s="7"/>
      <c r="Q117" s="14"/>
      <c r="R117" s="7"/>
    </row>
    <row r="118" spans="3:18" ht="12.75">
      <c r="C118" s="5"/>
      <c r="D118" s="11"/>
      <c r="E118" s="16"/>
      <c r="F118" s="14"/>
      <c r="G118" s="14"/>
      <c r="H118" s="14"/>
      <c r="I118" s="11"/>
      <c r="J118" s="21"/>
      <c r="K118" s="7"/>
      <c r="L118" s="14"/>
      <c r="M118" s="7"/>
      <c r="N118" s="11"/>
      <c r="O118" s="21"/>
      <c r="P118" s="7"/>
      <c r="Q118" s="14"/>
      <c r="R118" s="7"/>
    </row>
    <row r="119" spans="3:18" ht="12.75">
      <c r="C119" s="5"/>
      <c r="D119" s="11"/>
      <c r="E119" s="16"/>
      <c r="F119" s="14"/>
      <c r="G119" s="14"/>
      <c r="H119" s="14"/>
      <c r="I119" s="11"/>
      <c r="J119" s="21"/>
      <c r="K119" s="7"/>
      <c r="L119" s="14"/>
      <c r="M119" s="7"/>
      <c r="N119" s="11"/>
      <c r="O119" s="21"/>
      <c r="P119" s="7"/>
      <c r="Q119" s="14"/>
      <c r="R119" s="7"/>
    </row>
    <row r="120" spans="3:18" ht="12.75">
      <c r="C120" s="5"/>
      <c r="D120" s="11"/>
      <c r="E120" s="16"/>
      <c r="F120" s="14"/>
      <c r="G120" s="14"/>
      <c r="H120" s="14"/>
      <c r="I120" s="11"/>
      <c r="J120" s="21"/>
      <c r="K120" s="7"/>
      <c r="L120" s="14"/>
      <c r="M120" s="7"/>
      <c r="N120" s="11"/>
      <c r="O120" s="21"/>
      <c r="P120" s="7"/>
      <c r="Q120" s="14"/>
      <c r="R120" s="7"/>
    </row>
    <row r="121" spans="3:18" ht="12.75">
      <c r="C121" s="5"/>
      <c r="D121" s="11"/>
      <c r="E121" s="16"/>
      <c r="F121" s="14"/>
      <c r="G121" s="14"/>
      <c r="H121" s="14"/>
      <c r="I121" s="11"/>
      <c r="J121" s="21"/>
      <c r="K121" s="7"/>
      <c r="L121" s="14"/>
      <c r="M121" s="7"/>
      <c r="N121" s="11"/>
      <c r="O121" s="21"/>
      <c r="P121" s="7"/>
      <c r="Q121" s="14"/>
      <c r="R121" s="7"/>
    </row>
    <row r="122" spans="3:18" ht="12.75">
      <c r="C122" s="5"/>
      <c r="D122" s="11"/>
      <c r="E122" s="16"/>
      <c r="F122" s="14"/>
      <c r="G122" s="14"/>
      <c r="H122" s="14"/>
      <c r="I122" s="11"/>
      <c r="J122" s="21"/>
      <c r="K122" s="7"/>
      <c r="L122" s="14"/>
      <c r="M122" s="7"/>
      <c r="N122" s="11"/>
      <c r="O122" s="21"/>
      <c r="P122" s="7"/>
      <c r="Q122" s="14"/>
      <c r="R122" s="7"/>
    </row>
    <row r="123" spans="3:18" ht="12.75">
      <c r="C123" s="5"/>
      <c r="D123" s="11"/>
      <c r="E123" s="16"/>
      <c r="F123" s="14"/>
      <c r="G123" s="14"/>
      <c r="H123" s="14"/>
      <c r="I123" s="11"/>
      <c r="J123" s="21"/>
      <c r="K123" s="7"/>
      <c r="L123" s="14"/>
      <c r="M123" s="7"/>
      <c r="N123" s="11"/>
      <c r="O123" s="21"/>
      <c r="P123" s="7"/>
      <c r="Q123" s="14"/>
      <c r="R123" s="7"/>
    </row>
    <row r="124" spans="3:18" ht="12.75">
      <c r="C124" s="5"/>
      <c r="D124" s="11"/>
      <c r="E124" s="16"/>
      <c r="F124" s="14"/>
      <c r="G124" s="14"/>
      <c r="H124" s="14"/>
      <c r="I124" s="11"/>
      <c r="J124" s="21"/>
      <c r="K124" s="7"/>
      <c r="L124" s="14"/>
      <c r="M124" s="7"/>
      <c r="N124" s="11"/>
      <c r="O124" s="21"/>
      <c r="P124" s="7"/>
      <c r="Q124" s="14"/>
      <c r="R124" s="7"/>
    </row>
    <row r="125" spans="3:18" ht="12.75">
      <c r="C125" s="5"/>
      <c r="D125" s="11"/>
      <c r="E125" s="16"/>
      <c r="F125" s="14"/>
      <c r="G125" s="14"/>
      <c r="H125" s="14"/>
      <c r="I125" s="11"/>
      <c r="J125" s="21"/>
      <c r="K125" s="7"/>
      <c r="L125" s="14"/>
      <c r="M125" s="7"/>
      <c r="N125" s="11"/>
      <c r="O125" s="21"/>
      <c r="P125" s="7"/>
      <c r="Q125" s="14"/>
      <c r="R125" s="7"/>
    </row>
    <row r="126" spans="3:18" ht="12.75">
      <c r="C126" s="5"/>
      <c r="D126" s="11"/>
      <c r="E126" s="16"/>
      <c r="F126" s="14"/>
      <c r="G126" s="14"/>
      <c r="H126" s="14"/>
      <c r="I126" s="11"/>
      <c r="J126" s="21"/>
      <c r="K126" s="7"/>
      <c r="L126" s="14"/>
      <c r="M126" s="7"/>
      <c r="N126" s="11"/>
      <c r="O126" s="21"/>
      <c r="P126" s="7"/>
      <c r="Q126" s="14"/>
      <c r="R126" s="7"/>
    </row>
    <row r="127" spans="3:18" ht="12.75">
      <c r="C127" s="5"/>
      <c r="D127" s="11"/>
      <c r="E127" s="16"/>
      <c r="F127" s="14"/>
      <c r="G127" s="14"/>
      <c r="H127" s="14"/>
      <c r="I127" s="11"/>
      <c r="J127" s="21"/>
      <c r="K127" s="7"/>
      <c r="L127" s="14"/>
      <c r="M127" s="7"/>
      <c r="N127" s="11"/>
      <c r="O127" s="21"/>
      <c r="P127" s="7"/>
      <c r="Q127" s="14"/>
      <c r="R127" s="7"/>
    </row>
    <row r="128" spans="3:18" ht="12.75">
      <c r="C128" s="5"/>
      <c r="D128" s="11"/>
      <c r="E128" s="16"/>
      <c r="F128" s="14"/>
      <c r="G128" s="14"/>
      <c r="H128" s="14"/>
      <c r="I128" s="11"/>
      <c r="J128" s="21"/>
      <c r="K128" s="7"/>
      <c r="L128" s="14"/>
      <c r="M128" s="7"/>
      <c r="N128" s="11"/>
      <c r="O128" s="21"/>
      <c r="P128" s="7"/>
      <c r="Q128" s="14"/>
      <c r="R128" s="7"/>
    </row>
    <row r="129" spans="3:18" ht="12.75">
      <c r="C129" s="5"/>
      <c r="D129" s="11"/>
      <c r="E129" s="16"/>
      <c r="F129" s="14"/>
      <c r="G129" s="14"/>
      <c r="H129" s="14"/>
      <c r="I129" s="11"/>
      <c r="J129" s="21"/>
      <c r="K129" s="7"/>
      <c r="L129" s="14"/>
      <c r="M129" s="7"/>
      <c r="N129" s="11"/>
      <c r="O129" s="21"/>
      <c r="P129" s="7"/>
      <c r="Q129" s="14"/>
      <c r="R129" s="7"/>
    </row>
    <row r="130" spans="3:18" ht="12.75">
      <c r="C130" s="5"/>
      <c r="D130" s="11"/>
      <c r="E130" s="16"/>
      <c r="F130" s="14"/>
      <c r="G130" s="14"/>
      <c r="H130" s="14"/>
      <c r="I130" s="11"/>
      <c r="J130" s="21"/>
      <c r="K130" s="7"/>
      <c r="L130" s="14"/>
      <c r="M130" s="7"/>
      <c r="N130" s="11"/>
      <c r="O130" s="21"/>
      <c r="P130" s="7"/>
      <c r="Q130" s="14"/>
      <c r="R130" s="7"/>
    </row>
    <row r="131" spans="3:18" ht="12.75">
      <c r="C131" s="5"/>
      <c r="D131" s="11"/>
      <c r="E131" s="16"/>
      <c r="F131" s="14"/>
      <c r="G131" s="14"/>
      <c r="H131" s="14"/>
      <c r="I131" s="11"/>
      <c r="J131" s="21"/>
      <c r="K131" s="7"/>
      <c r="L131" s="14"/>
      <c r="M131" s="7"/>
      <c r="N131" s="11"/>
      <c r="O131" s="21"/>
      <c r="P131" s="7"/>
      <c r="Q131" s="14"/>
      <c r="R131" s="7"/>
    </row>
    <row r="132" spans="3:18" ht="12.75">
      <c r="C132" s="5"/>
      <c r="D132" s="11"/>
      <c r="E132" s="16"/>
      <c r="F132" s="14"/>
      <c r="G132" s="14"/>
      <c r="H132" s="14"/>
      <c r="I132" s="11"/>
      <c r="J132" s="21"/>
      <c r="K132" s="7"/>
      <c r="L132" s="14"/>
      <c r="M132" s="7"/>
      <c r="N132" s="11"/>
      <c r="O132" s="21"/>
      <c r="P132" s="7"/>
      <c r="Q132" s="14"/>
      <c r="R132" s="7"/>
    </row>
    <row r="133" spans="4:17" ht="12.75">
      <c r="D133" s="18"/>
      <c r="E133" s="17"/>
      <c r="F133" s="14"/>
      <c r="G133" s="14"/>
      <c r="H133" s="14"/>
      <c r="I133" s="18"/>
      <c r="J133" s="16"/>
      <c r="L133" s="17"/>
      <c r="N133" s="18"/>
      <c r="O133" s="16"/>
      <c r="Q133" s="17"/>
    </row>
    <row r="134" spans="4:18" ht="12.75">
      <c r="D134" s="18"/>
      <c r="E134" s="17"/>
      <c r="F134" s="14"/>
      <c r="G134" s="14"/>
      <c r="H134" s="14"/>
      <c r="I134" s="18"/>
      <c r="J134" s="17"/>
      <c r="K134" s="17"/>
      <c r="L134" s="17"/>
      <c r="M134" s="17"/>
      <c r="N134" s="18"/>
      <c r="O134" s="17"/>
      <c r="P134" s="17"/>
      <c r="Q134" s="17"/>
      <c r="R134" s="17"/>
    </row>
    <row r="135" spans="4:18" ht="12.75">
      <c r="D135" s="18"/>
      <c r="E135" s="17"/>
      <c r="F135" s="14"/>
      <c r="G135" s="14"/>
      <c r="H135" s="14"/>
      <c r="I135" s="18"/>
      <c r="J135" s="17"/>
      <c r="K135" s="17"/>
      <c r="L135" s="17"/>
      <c r="M135" s="17"/>
      <c r="N135" s="18"/>
      <c r="O135" s="17"/>
      <c r="P135" s="17"/>
      <c r="Q135" s="17"/>
      <c r="R135" s="17"/>
    </row>
    <row r="136" spans="4:18" ht="12.75">
      <c r="D136" s="20"/>
      <c r="E136" s="17"/>
      <c r="F136" s="21"/>
      <c r="G136" s="14"/>
      <c r="H136" s="21"/>
      <c r="I136" s="18"/>
      <c r="J136" s="17"/>
      <c r="K136" s="17"/>
      <c r="L136" s="17"/>
      <c r="M136" s="17"/>
      <c r="N136" s="18"/>
      <c r="O136" s="17"/>
      <c r="P136" s="17"/>
      <c r="Q136" s="17"/>
      <c r="R136" s="17"/>
    </row>
    <row r="137" spans="3:18" ht="12.75">
      <c r="C137" s="7"/>
      <c r="D137" s="11"/>
      <c r="E137" s="14"/>
      <c r="F137" s="14"/>
      <c r="G137" s="14"/>
      <c r="H137" s="14"/>
      <c r="I137" s="11"/>
      <c r="J137" s="17"/>
      <c r="K137" s="7"/>
      <c r="L137" s="7"/>
      <c r="M137" s="7"/>
      <c r="N137" s="11"/>
      <c r="O137" s="17"/>
      <c r="P137" s="7"/>
      <c r="Q137" s="7"/>
      <c r="R137" s="7"/>
    </row>
    <row r="138" spans="3:18" ht="12.75">
      <c r="C138" s="7"/>
      <c r="D138" s="11"/>
      <c r="E138" s="17"/>
      <c r="F138" s="7"/>
      <c r="G138" s="14"/>
      <c r="H138" s="7"/>
      <c r="I138" s="11"/>
      <c r="J138" s="17"/>
      <c r="K138" s="15"/>
      <c r="L138" s="15"/>
      <c r="M138" s="15"/>
      <c r="N138" s="11"/>
      <c r="O138" s="17"/>
      <c r="P138" s="15"/>
      <c r="Q138" s="15"/>
      <c r="R138" s="15"/>
    </row>
  </sheetData>
  <printOptions headings="1" horizontalCentered="1"/>
  <pageMargins left="0.25" right="0.25" top="0.5" bottom="0.5" header="0.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L39"/>
  <sheetViews>
    <sheetView workbookViewId="0" topLeftCell="C22">
      <selection activeCell="C1" sqref="C1"/>
    </sheetView>
  </sheetViews>
  <sheetFormatPr defaultColWidth="9.140625" defaultRowHeight="12.75"/>
  <cols>
    <col min="1" max="1" width="9.140625" style="0" hidden="1" customWidth="1"/>
    <col min="2" max="2" width="3.00390625" style="0" hidden="1" customWidth="1"/>
    <col min="3" max="3" width="15.8515625" style="0" customWidth="1"/>
    <col min="5" max="5" width="5.57421875" style="0" customWidth="1"/>
    <col min="6" max="8" width="9.140625" style="84" customWidth="1"/>
    <col min="9" max="9" width="4.421875" style="0" customWidth="1"/>
    <col min="10" max="12" width="9.140625" style="84" customWidth="1"/>
    <col min="13" max="13" width="4.57421875" style="0" customWidth="1"/>
    <col min="14" max="16" width="9.140625" style="84" customWidth="1"/>
  </cols>
  <sheetData>
    <row r="1" spans="3:16" ht="12.75">
      <c r="C1" s="2" t="s">
        <v>175</v>
      </c>
      <c r="D1" s="5" t="s">
        <v>25</v>
      </c>
      <c r="F1" s="86" t="s">
        <v>124</v>
      </c>
      <c r="G1" s="86"/>
      <c r="H1" s="86"/>
      <c r="J1" s="86" t="s">
        <v>125</v>
      </c>
      <c r="K1" s="86"/>
      <c r="L1" s="86"/>
      <c r="N1" s="86" t="s">
        <v>126</v>
      </c>
      <c r="O1" s="86"/>
      <c r="P1" s="86"/>
    </row>
    <row r="2" spans="4:16" ht="12.75">
      <c r="D2" s="5" t="s">
        <v>29</v>
      </c>
      <c r="F2" s="83" t="s">
        <v>30</v>
      </c>
      <c r="G2" s="11" t="s">
        <v>30</v>
      </c>
      <c r="H2" s="11" t="s">
        <v>31</v>
      </c>
      <c r="J2" s="83" t="s">
        <v>30</v>
      </c>
      <c r="K2" s="11" t="s">
        <v>30</v>
      </c>
      <c r="L2" s="11" t="s">
        <v>31</v>
      </c>
      <c r="N2" s="83" t="s">
        <v>30</v>
      </c>
      <c r="O2" s="11" t="s">
        <v>30</v>
      </c>
      <c r="P2" s="11" t="s">
        <v>31</v>
      </c>
    </row>
    <row r="3" spans="3:16" ht="12.75">
      <c r="C3" t="s">
        <v>79</v>
      </c>
      <c r="D3" s="5"/>
      <c r="F3" s="83" t="s">
        <v>201</v>
      </c>
      <c r="G3" s="11" t="s">
        <v>72</v>
      </c>
      <c r="H3" s="11" t="s">
        <v>72</v>
      </c>
      <c r="J3" s="83" t="s">
        <v>201</v>
      </c>
      <c r="K3" s="11" t="s">
        <v>72</v>
      </c>
      <c r="L3" s="11" t="s">
        <v>72</v>
      </c>
      <c r="N3" s="83" t="s">
        <v>201</v>
      </c>
      <c r="O3" s="11" t="s">
        <v>72</v>
      </c>
      <c r="P3" s="11" t="s">
        <v>72</v>
      </c>
    </row>
    <row r="4" spans="4:16" ht="12.75">
      <c r="D4" s="4"/>
      <c r="G4" s="7"/>
      <c r="H4" s="7"/>
      <c r="K4" s="7"/>
      <c r="L4" s="7"/>
      <c r="O4" s="7"/>
      <c r="P4" s="7"/>
    </row>
    <row r="5" spans="1:38" s="55" customFormat="1" ht="12.75">
      <c r="A5" s="55" t="s">
        <v>175</v>
      </c>
      <c r="B5" s="55">
        <v>1</v>
      </c>
      <c r="C5" s="55" t="s">
        <v>202</v>
      </c>
      <c r="D5" s="5">
        <v>1</v>
      </c>
      <c r="E5" s="53">
        <v>1</v>
      </c>
      <c r="F5" s="58">
        <v>0.0003249369103448276</v>
      </c>
      <c r="G5" s="7">
        <f>IF(F5=0,"",IF(E5=1,F5/2,F5))</f>
        <v>0.0001624684551724138</v>
      </c>
      <c r="H5" s="7">
        <f>IF(G5="","",G5*$D5)</f>
        <v>0.0001624684551724138</v>
      </c>
      <c r="I5" s="53">
        <v>1</v>
      </c>
      <c r="J5" s="58">
        <v>0.00037846788282828276</v>
      </c>
      <c r="K5" s="7">
        <f>IF(J5=0,"",IF(I5=1,J5/2,J5))</f>
        <v>0.00018923394141414138</v>
      </c>
      <c r="L5" s="7">
        <f>IF(K5="","",K5*$D5)</f>
        <v>0.00018923394141414138</v>
      </c>
      <c r="M5" s="53">
        <v>1</v>
      </c>
      <c r="N5" s="58">
        <v>0.00015464035397849462</v>
      </c>
      <c r="O5" s="7">
        <f>IF(N5=0,"",IF(M5=1,N5/2,N5))</f>
        <v>7.732017698924731E-05</v>
      </c>
      <c r="P5" s="7">
        <f>IF(O5="","",O5*$D5)</f>
        <v>7.732017698924731E-05</v>
      </c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</row>
    <row r="6" spans="1:38" s="55" customFormat="1" ht="12.75">
      <c r="A6" s="55" t="s">
        <v>175</v>
      </c>
      <c r="B6" s="55">
        <v>2</v>
      </c>
      <c r="C6" s="55" t="s">
        <v>203</v>
      </c>
      <c r="D6" s="5">
        <v>0</v>
      </c>
      <c r="E6" s="53"/>
      <c r="F6" s="58">
        <v>0.09070897527356322</v>
      </c>
      <c r="G6" s="7">
        <f aca="true" t="shared" si="0" ref="G6:G37">IF(F6=0,"",IF(E6=1,F6/2,F6))</f>
        <v>0.09070897527356322</v>
      </c>
      <c r="H6" s="7">
        <f aca="true" t="shared" si="1" ref="H6:H37">IF(G6="","",G6*$D6)</f>
        <v>0</v>
      </c>
      <c r="I6" s="53"/>
      <c r="J6" s="58">
        <v>0.14126370383434345</v>
      </c>
      <c r="K6" s="7">
        <f aca="true" t="shared" si="2" ref="K6:K37">IF(J6=0,"",IF(I6=1,J6/2,J6))</f>
        <v>0.14126370383434345</v>
      </c>
      <c r="L6" s="7">
        <f aca="true" t="shared" si="3" ref="L6:L37">IF(K6="","",K6*$D6)</f>
        <v>0</v>
      </c>
      <c r="M6" s="53"/>
      <c r="N6" s="58">
        <v>0.11347345125892472</v>
      </c>
      <c r="O6" s="7">
        <f aca="true" t="shared" si="4" ref="O6:O37">IF(N6=0,"",IF(M6=1,N6/2,N6))</f>
        <v>0.11347345125892472</v>
      </c>
      <c r="P6" s="7">
        <f aca="true" t="shared" si="5" ref="P6:P37">IF(O6="","",O6*$D6)</f>
        <v>0</v>
      </c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</row>
    <row r="7" spans="1:38" s="55" customFormat="1" ht="12.75">
      <c r="A7" s="55" t="s">
        <v>175</v>
      </c>
      <c r="B7" s="55">
        <v>3</v>
      </c>
      <c r="C7" s="55" t="s">
        <v>204</v>
      </c>
      <c r="D7" s="5">
        <v>0</v>
      </c>
      <c r="E7" s="53"/>
      <c r="F7" s="58">
        <v>0.091033912183908</v>
      </c>
      <c r="G7" s="7">
        <f t="shared" si="0"/>
        <v>0.091033912183908</v>
      </c>
      <c r="H7" s="7">
        <f t="shared" si="1"/>
        <v>0</v>
      </c>
      <c r="I7" s="53"/>
      <c r="J7" s="58">
        <v>0.14164217171717172</v>
      </c>
      <c r="K7" s="7">
        <f t="shared" si="2"/>
        <v>0.14164217171717172</v>
      </c>
      <c r="L7" s="7">
        <f t="shared" si="3"/>
        <v>0</v>
      </c>
      <c r="M7" s="53"/>
      <c r="N7" s="58">
        <v>0.11362809161290321</v>
      </c>
      <c r="O7" s="7">
        <f t="shared" si="4"/>
        <v>0.11362809161290321</v>
      </c>
      <c r="P7" s="7">
        <f t="shared" si="5"/>
        <v>0</v>
      </c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</row>
    <row r="8" spans="1:38" s="55" customFormat="1" ht="12.75">
      <c r="A8" s="55" t="s">
        <v>175</v>
      </c>
      <c r="B8" s="55">
        <v>4</v>
      </c>
      <c r="C8" s="55" t="s">
        <v>205</v>
      </c>
      <c r="D8" s="5">
        <v>0.5</v>
      </c>
      <c r="E8" s="53"/>
      <c r="F8" s="58">
        <v>0.0011811198804597704</v>
      </c>
      <c r="G8" s="7">
        <f t="shared" si="0"/>
        <v>0.0011811198804597704</v>
      </c>
      <c r="H8" s="7">
        <f t="shared" si="1"/>
        <v>0.0005905599402298852</v>
      </c>
      <c r="I8" s="53">
        <v>1</v>
      </c>
      <c r="J8" s="58">
        <v>0.00053030829090909</v>
      </c>
      <c r="K8" s="7">
        <f t="shared" si="2"/>
        <v>0.000265154145454545</v>
      </c>
      <c r="L8" s="7">
        <f t="shared" si="3"/>
        <v>0.0001325770727272725</v>
      </c>
      <c r="M8" s="53">
        <v>1</v>
      </c>
      <c r="N8" s="58">
        <v>0.00011604057763440857</v>
      </c>
      <c r="O8" s="7">
        <f t="shared" si="4"/>
        <v>5.802028881720429E-05</v>
      </c>
      <c r="P8" s="7">
        <f t="shared" si="5"/>
        <v>2.9010144408602143E-05</v>
      </c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</row>
    <row r="9" spans="1:38" s="55" customFormat="1" ht="12.75">
      <c r="A9" s="55" t="s">
        <v>175</v>
      </c>
      <c r="B9" s="55">
        <v>5</v>
      </c>
      <c r="C9" s="55" t="s">
        <v>206</v>
      </c>
      <c r="D9" s="5">
        <v>0</v>
      </c>
      <c r="E9" s="53"/>
      <c r="F9" s="58">
        <v>0.05581178264827587</v>
      </c>
      <c r="G9" s="7">
        <f t="shared" si="0"/>
        <v>0.05581178264827587</v>
      </c>
      <c r="H9" s="7">
        <f t="shared" si="1"/>
        <v>0</v>
      </c>
      <c r="I9" s="53"/>
      <c r="J9" s="58">
        <v>0.07153722867878787</v>
      </c>
      <c r="K9" s="7">
        <f t="shared" si="2"/>
        <v>0.07153722867878787</v>
      </c>
      <c r="L9" s="7">
        <f t="shared" si="3"/>
        <v>0</v>
      </c>
      <c r="M9" s="53"/>
      <c r="N9" s="58">
        <v>0.050063668669677416</v>
      </c>
      <c r="O9" s="7">
        <f t="shared" si="4"/>
        <v>0.050063668669677416</v>
      </c>
      <c r="P9" s="7">
        <f t="shared" si="5"/>
        <v>0</v>
      </c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</row>
    <row r="10" spans="1:38" s="55" customFormat="1" ht="12.75">
      <c r="A10" s="55" t="s">
        <v>175</v>
      </c>
      <c r="B10" s="55">
        <v>5</v>
      </c>
      <c r="C10" s="55" t="s">
        <v>207</v>
      </c>
      <c r="D10" s="5">
        <v>0</v>
      </c>
      <c r="E10" s="53"/>
      <c r="F10" s="58">
        <v>0.05699290252873564</v>
      </c>
      <c r="G10" s="7">
        <f t="shared" si="0"/>
        <v>0.05699290252873564</v>
      </c>
      <c r="H10" s="7">
        <f t="shared" si="1"/>
        <v>0</v>
      </c>
      <c r="I10" s="53"/>
      <c r="J10" s="58">
        <v>0.072067536969697</v>
      </c>
      <c r="K10" s="7">
        <f t="shared" si="2"/>
        <v>0.072067536969697</v>
      </c>
      <c r="L10" s="7">
        <f t="shared" si="3"/>
        <v>0</v>
      </c>
      <c r="M10" s="53"/>
      <c r="N10" s="58">
        <v>0.05017970924731183</v>
      </c>
      <c r="O10" s="7">
        <f t="shared" si="4"/>
        <v>0.05017970924731183</v>
      </c>
      <c r="P10" s="7">
        <f t="shared" si="5"/>
        <v>0</v>
      </c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</row>
    <row r="11" spans="1:38" s="55" customFormat="1" ht="12.75">
      <c r="A11" s="55" t="s">
        <v>175</v>
      </c>
      <c r="B11" s="55">
        <v>7</v>
      </c>
      <c r="C11" s="55" t="s">
        <v>208</v>
      </c>
      <c r="D11" s="5">
        <v>0.1</v>
      </c>
      <c r="E11" s="53"/>
      <c r="F11" s="58">
        <v>0.0013848501655172414</v>
      </c>
      <c r="G11" s="7">
        <f t="shared" si="0"/>
        <v>0.0013848501655172414</v>
      </c>
      <c r="H11" s="7">
        <f t="shared" si="1"/>
        <v>0.00013848501655172414</v>
      </c>
      <c r="I11" s="53"/>
      <c r="J11" s="58">
        <v>0.0008339891070707072</v>
      </c>
      <c r="K11" s="7">
        <f t="shared" si="2"/>
        <v>0.0008339891070707072</v>
      </c>
      <c r="L11" s="7">
        <f t="shared" si="3"/>
        <v>8.339891070707073E-05</v>
      </c>
      <c r="M11" s="53">
        <v>1</v>
      </c>
      <c r="N11" s="58">
        <v>0.0003473979870967742</v>
      </c>
      <c r="O11" s="7">
        <f t="shared" si="4"/>
        <v>0.0001736989935483871</v>
      </c>
      <c r="P11" s="7">
        <f t="shared" si="5"/>
        <v>1.7369899354838712E-05</v>
      </c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</row>
    <row r="12" spans="1:38" s="55" customFormat="1" ht="12.75">
      <c r="A12" s="55" t="s">
        <v>175</v>
      </c>
      <c r="B12" s="55">
        <v>8</v>
      </c>
      <c r="C12" s="55" t="s">
        <v>209</v>
      </c>
      <c r="D12" s="5">
        <v>0.1</v>
      </c>
      <c r="E12" s="53"/>
      <c r="F12" s="58">
        <v>0.003455678252873563</v>
      </c>
      <c r="G12" s="7">
        <f t="shared" si="0"/>
        <v>0.003455678252873563</v>
      </c>
      <c r="H12" s="7">
        <f t="shared" si="1"/>
        <v>0.0003455678252873563</v>
      </c>
      <c r="I12" s="53"/>
      <c r="J12" s="58">
        <v>0.0025835532121212122</v>
      </c>
      <c r="K12" s="7">
        <f t="shared" si="2"/>
        <v>0.0025835532121212122</v>
      </c>
      <c r="L12" s="7">
        <f t="shared" si="3"/>
        <v>0.00025835532121212123</v>
      </c>
      <c r="M12" s="53"/>
      <c r="N12" s="58">
        <v>0.0016622028688172</v>
      </c>
      <c r="O12" s="7">
        <f t="shared" si="4"/>
        <v>0.0016622028688172</v>
      </c>
      <c r="P12" s="7">
        <f t="shared" si="5"/>
        <v>0.00016622028688172</v>
      </c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</row>
    <row r="13" spans="1:38" s="55" customFormat="1" ht="12.75">
      <c r="A13" s="55" t="s">
        <v>175</v>
      </c>
      <c r="B13" s="55">
        <v>9</v>
      </c>
      <c r="C13" s="55" t="s">
        <v>210</v>
      </c>
      <c r="D13" s="5">
        <v>0.1</v>
      </c>
      <c r="E13" s="53"/>
      <c r="F13" s="58">
        <v>0.002444763420689655</v>
      </c>
      <c r="G13" s="7">
        <f t="shared" si="0"/>
        <v>0.002444763420689655</v>
      </c>
      <c r="H13" s="7">
        <f t="shared" si="1"/>
        <v>0.00024447634206896553</v>
      </c>
      <c r="I13" s="53"/>
      <c r="J13" s="58">
        <v>0.0009473028444444445</v>
      </c>
      <c r="K13" s="7">
        <f t="shared" si="2"/>
        <v>0.0009473028444444445</v>
      </c>
      <c r="L13" s="7">
        <f t="shared" si="3"/>
        <v>9.473028444444446E-05</v>
      </c>
      <c r="M13" s="53">
        <v>1</v>
      </c>
      <c r="N13" s="58">
        <v>0.00023208115526881715</v>
      </c>
      <c r="O13" s="7">
        <f t="shared" si="4"/>
        <v>0.00011604057763440857</v>
      </c>
      <c r="P13" s="7">
        <f t="shared" si="5"/>
        <v>1.1604057763440858E-05</v>
      </c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</row>
    <row r="14" spans="1:38" s="55" customFormat="1" ht="12.75">
      <c r="A14" s="55" t="s">
        <v>175</v>
      </c>
      <c r="B14" s="55">
        <v>10</v>
      </c>
      <c r="C14" s="55" t="s">
        <v>211</v>
      </c>
      <c r="D14" s="5">
        <v>0</v>
      </c>
      <c r="E14" s="53"/>
      <c r="F14" s="58">
        <v>0.061054613908046</v>
      </c>
      <c r="G14" s="7">
        <f t="shared" si="0"/>
        <v>0.061054613908046</v>
      </c>
      <c r="H14" s="7">
        <f t="shared" si="1"/>
        <v>0</v>
      </c>
      <c r="I14" s="53"/>
      <c r="J14" s="58">
        <v>0.05909084776565657</v>
      </c>
      <c r="K14" s="7">
        <f t="shared" si="2"/>
        <v>0.05909084776565657</v>
      </c>
      <c r="L14" s="7">
        <f t="shared" si="3"/>
        <v>0</v>
      </c>
      <c r="M14" s="53"/>
      <c r="N14" s="58">
        <v>0.04311305519311829</v>
      </c>
      <c r="O14" s="7">
        <f t="shared" si="4"/>
        <v>0.04311305519311829</v>
      </c>
      <c r="P14" s="7">
        <f t="shared" si="5"/>
        <v>0</v>
      </c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</row>
    <row r="15" spans="1:38" s="55" customFormat="1" ht="12.75">
      <c r="A15" s="55" t="s">
        <v>175</v>
      </c>
      <c r="B15" s="55">
        <v>11</v>
      </c>
      <c r="C15" s="55" t="s">
        <v>212</v>
      </c>
      <c r="D15" s="5">
        <v>0</v>
      </c>
      <c r="E15" s="53"/>
      <c r="F15" s="58">
        <v>0.06833990574712644</v>
      </c>
      <c r="G15" s="7">
        <f t="shared" si="0"/>
        <v>0.06833990574712644</v>
      </c>
      <c r="H15" s="7">
        <f t="shared" si="1"/>
        <v>0</v>
      </c>
      <c r="I15" s="53"/>
      <c r="J15" s="58">
        <v>0.063455692929293</v>
      </c>
      <c r="K15" s="7">
        <f t="shared" si="2"/>
        <v>0.063455692929293</v>
      </c>
      <c r="L15" s="7">
        <f t="shared" si="3"/>
        <v>0</v>
      </c>
      <c r="M15" s="53"/>
      <c r="N15" s="58">
        <v>0.045354737204301</v>
      </c>
      <c r="O15" s="7">
        <f t="shared" si="4"/>
        <v>0.045354737204301</v>
      </c>
      <c r="P15" s="7">
        <f t="shared" si="5"/>
        <v>0</v>
      </c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</row>
    <row r="16" spans="1:38" s="55" customFormat="1" ht="12.75">
      <c r="A16" s="55" t="s">
        <v>175</v>
      </c>
      <c r="B16" s="55">
        <v>12</v>
      </c>
      <c r="C16" s="55" t="s">
        <v>213</v>
      </c>
      <c r="D16" s="5">
        <v>0.01</v>
      </c>
      <c r="E16" s="53"/>
      <c r="F16" s="58">
        <v>0.05286671954022989</v>
      </c>
      <c r="G16" s="7">
        <f t="shared" si="0"/>
        <v>0.05286671954022989</v>
      </c>
      <c r="H16" s="7">
        <f t="shared" si="1"/>
        <v>0.0005286671954022989</v>
      </c>
      <c r="I16" s="53"/>
      <c r="J16" s="58">
        <v>0.04169945535353535</v>
      </c>
      <c r="K16" s="7">
        <f t="shared" si="2"/>
        <v>0.04169945535353535</v>
      </c>
      <c r="L16" s="7">
        <f t="shared" si="3"/>
        <v>0.0004169945535353535</v>
      </c>
      <c r="M16" s="53"/>
      <c r="N16" s="58">
        <v>0.03739353333333333</v>
      </c>
      <c r="O16" s="7">
        <f t="shared" si="4"/>
        <v>0.03739353333333333</v>
      </c>
      <c r="P16" s="7">
        <f t="shared" si="5"/>
        <v>0.0003739353333333333</v>
      </c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</row>
    <row r="17" spans="1:38" s="55" customFormat="1" ht="12.75">
      <c r="A17" s="55" t="s">
        <v>175</v>
      </c>
      <c r="B17" s="55">
        <v>13</v>
      </c>
      <c r="C17" s="55" t="s">
        <v>214</v>
      </c>
      <c r="D17" s="5">
        <v>0</v>
      </c>
      <c r="E17" s="53"/>
      <c r="F17" s="58">
        <v>0.0366198740229885</v>
      </c>
      <c r="G17" s="7">
        <f t="shared" si="0"/>
        <v>0.0366198740229885</v>
      </c>
      <c r="H17" s="7">
        <f t="shared" si="1"/>
        <v>0</v>
      </c>
      <c r="I17" s="53"/>
      <c r="J17" s="58">
        <v>0.04169945535353535</v>
      </c>
      <c r="K17" s="7">
        <f t="shared" si="2"/>
        <v>0.04169945535353535</v>
      </c>
      <c r="L17" s="7">
        <f t="shared" si="3"/>
        <v>0</v>
      </c>
      <c r="M17" s="53"/>
      <c r="N17" s="58">
        <v>0.028226086451613</v>
      </c>
      <c r="O17" s="7">
        <f t="shared" si="4"/>
        <v>0.028226086451613</v>
      </c>
      <c r="P17" s="7">
        <f t="shared" si="5"/>
        <v>0</v>
      </c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</row>
    <row r="18" spans="1:38" s="55" customFormat="1" ht="12.75">
      <c r="A18" s="55" t="s">
        <v>175</v>
      </c>
      <c r="B18" s="55">
        <v>14</v>
      </c>
      <c r="C18" s="55" t="s">
        <v>215</v>
      </c>
      <c r="D18" s="5">
        <v>0</v>
      </c>
      <c r="E18" s="53"/>
      <c r="F18" s="58">
        <v>0.08948659356321839</v>
      </c>
      <c r="G18" s="7">
        <f t="shared" si="0"/>
        <v>0.08948659356321839</v>
      </c>
      <c r="H18" s="7">
        <f t="shared" si="1"/>
        <v>0</v>
      </c>
      <c r="I18" s="53"/>
      <c r="J18" s="58">
        <v>0.0833989107070707</v>
      </c>
      <c r="K18" s="7">
        <f t="shared" si="2"/>
        <v>0.0833989107070707</v>
      </c>
      <c r="L18" s="7">
        <f t="shared" si="3"/>
        <v>0</v>
      </c>
      <c r="M18" s="53"/>
      <c r="N18" s="58">
        <v>0.06561961978494624</v>
      </c>
      <c r="O18" s="7">
        <f t="shared" si="4"/>
        <v>0.06561961978494624</v>
      </c>
      <c r="P18" s="7">
        <f t="shared" si="5"/>
        <v>0</v>
      </c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</row>
    <row r="19" spans="1:38" s="55" customFormat="1" ht="12.75">
      <c r="A19" s="55" t="s">
        <v>175</v>
      </c>
      <c r="B19" s="55">
        <v>15</v>
      </c>
      <c r="C19" s="55" t="s">
        <v>216</v>
      </c>
      <c r="D19" s="5">
        <v>0.001</v>
      </c>
      <c r="E19" s="53"/>
      <c r="F19" s="58">
        <v>0.30946372413793</v>
      </c>
      <c r="G19" s="7">
        <f t="shared" si="0"/>
        <v>0.30946372413793</v>
      </c>
      <c r="H19" s="7">
        <f t="shared" si="1"/>
        <v>0.00030946372413793</v>
      </c>
      <c r="I19" s="53"/>
      <c r="J19" s="58">
        <v>0.35353886060606</v>
      </c>
      <c r="K19" s="7">
        <f t="shared" si="2"/>
        <v>0.35353886060606</v>
      </c>
      <c r="L19" s="7">
        <f t="shared" si="3"/>
        <v>0.00035353886060606</v>
      </c>
      <c r="M19" s="53"/>
      <c r="N19" s="58">
        <v>0.28226086451613</v>
      </c>
      <c r="O19" s="7">
        <f t="shared" si="4"/>
        <v>0.28226086451613</v>
      </c>
      <c r="P19" s="7">
        <f t="shared" si="5"/>
        <v>0.00028226086451612996</v>
      </c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</row>
    <row r="20" spans="1:38" s="55" customFormat="1" ht="12.75">
      <c r="A20" s="55" t="s">
        <v>175</v>
      </c>
      <c r="B20" s="55">
        <v>16</v>
      </c>
      <c r="C20" s="55" t="s">
        <v>217</v>
      </c>
      <c r="D20" s="5">
        <v>0.1</v>
      </c>
      <c r="E20" s="53"/>
      <c r="F20" s="58">
        <v>0.001263643540229885</v>
      </c>
      <c r="G20" s="7">
        <f t="shared" si="0"/>
        <v>0.001263643540229885</v>
      </c>
      <c r="H20" s="7">
        <f t="shared" si="1"/>
        <v>0.0001263643540229885</v>
      </c>
      <c r="I20" s="53"/>
      <c r="J20" s="58">
        <v>0.002991482666666667</v>
      </c>
      <c r="K20" s="7">
        <f t="shared" si="2"/>
        <v>0.002991482666666667</v>
      </c>
      <c r="L20" s="7">
        <f t="shared" si="3"/>
        <v>0.0002991482666666667</v>
      </c>
      <c r="M20" s="53">
        <v>1</v>
      </c>
      <c r="N20" s="58">
        <v>0.0006972084602150537</v>
      </c>
      <c r="O20" s="7">
        <f t="shared" si="4"/>
        <v>0.00034860423010752686</v>
      </c>
      <c r="P20" s="7">
        <f t="shared" si="5"/>
        <v>3.486042301075269E-05</v>
      </c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</row>
    <row r="21" spans="1:38" s="55" customFormat="1" ht="12.75">
      <c r="A21" s="55" t="s">
        <v>175</v>
      </c>
      <c r="B21" s="55">
        <v>17</v>
      </c>
      <c r="C21" s="55" t="s">
        <v>218</v>
      </c>
      <c r="D21" s="5">
        <v>0</v>
      </c>
      <c r="E21" s="53"/>
      <c r="F21" s="58">
        <v>0.010547555264367818</v>
      </c>
      <c r="G21" s="7">
        <f t="shared" si="0"/>
        <v>0.010547555264367818</v>
      </c>
      <c r="H21" s="7">
        <f t="shared" si="1"/>
        <v>0</v>
      </c>
      <c r="I21" s="53"/>
      <c r="J21" s="58">
        <v>0.020577774707070708</v>
      </c>
      <c r="K21" s="7">
        <f t="shared" si="2"/>
        <v>0.020577774707070708</v>
      </c>
      <c r="L21" s="7">
        <f t="shared" si="3"/>
        <v>0</v>
      </c>
      <c r="M21" s="53"/>
      <c r="N21" s="58">
        <v>0.00509275799139785</v>
      </c>
      <c r="O21" s="7">
        <f t="shared" si="4"/>
        <v>0.00509275799139785</v>
      </c>
      <c r="P21" s="7">
        <f t="shared" si="5"/>
        <v>0</v>
      </c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</row>
    <row r="22" spans="1:38" s="55" customFormat="1" ht="12.75">
      <c r="A22" s="55" t="s">
        <v>175</v>
      </c>
      <c r="B22" s="55">
        <v>18</v>
      </c>
      <c r="C22" s="55" t="s">
        <v>219</v>
      </c>
      <c r="D22" s="5">
        <v>0</v>
      </c>
      <c r="E22" s="53"/>
      <c r="F22" s="58">
        <v>0.011811198804597703</v>
      </c>
      <c r="G22" s="7">
        <f t="shared" si="0"/>
        <v>0.011811198804597703</v>
      </c>
      <c r="H22" s="7">
        <f t="shared" si="1"/>
        <v>0</v>
      </c>
      <c r="I22" s="53"/>
      <c r="J22" s="58">
        <v>0.023569257373737374</v>
      </c>
      <c r="K22" s="7">
        <f t="shared" si="2"/>
        <v>0.023569257373737374</v>
      </c>
      <c r="L22" s="7">
        <f t="shared" si="3"/>
        <v>0</v>
      </c>
      <c r="M22" s="53"/>
      <c r="N22" s="58">
        <v>0.0057899664516129</v>
      </c>
      <c r="O22" s="7">
        <f t="shared" si="4"/>
        <v>0.0057899664516129</v>
      </c>
      <c r="P22" s="7">
        <f t="shared" si="5"/>
        <v>0</v>
      </c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</row>
    <row r="23" spans="1:38" s="55" customFormat="1" ht="12.75">
      <c r="A23" s="55" t="s">
        <v>175</v>
      </c>
      <c r="B23" s="55">
        <v>19</v>
      </c>
      <c r="C23" s="55" t="s">
        <v>220</v>
      </c>
      <c r="D23" s="5">
        <v>0.05</v>
      </c>
      <c r="E23" s="53"/>
      <c r="F23" s="58">
        <v>0.0029656940229885</v>
      </c>
      <c r="G23" s="7">
        <f t="shared" si="0"/>
        <v>0.0029656940229885</v>
      </c>
      <c r="H23" s="7">
        <f t="shared" si="1"/>
        <v>0.00014828470114942502</v>
      </c>
      <c r="I23" s="53"/>
      <c r="J23" s="58">
        <v>0.0020849727676767677</v>
      </c>
      <c r="K23" s="7">
        <f t="shared" si="2"/>
        <v>0.0020849727676767677</v>
      </c>
      <c r="L23" s="7">
        <f t="shared" si="3"/>
        <v>0.0001042486383838384</v>
      </c>
      <c r="M23" s="53">
        <v>1</v>
      </c>
      <c r="N23" s="58">
        <v>0.0002701984344086021</v>
      </c>
      <c r="O23" s="7">
        <f t="shared" si="4"/>
        <v>0.00013509921720430106</v>
      </c>
      <c r="P23" s="7">
        <f t="shared" si="5"/>
        <v>6.754960860215053E-06</v>
      </c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</row>
    <row r="24" spans="1:38" s="55" customFormat="1" ht="12.75">
      <c r="A24" s="55" t="s">
        <v>175</v>
      </c>
      <c r="B24" s="55">
        <v>20</v>
      </c>
      <c r="C24" s="55" t="s">
        <v>221</v>
      </c>
      <c r="D24" s="5">
        <v>0.5</v>
      </c>
      <c r="E24" s="53"/>
      <c r="F24" s="58">
        <v>0.003790930620689655</v>
      </c>
      <c r="G24" s="7">
        <f t="shared" si="0"/>
        <v>0.003790930620689655</v>
      </c>
      <c r="H24" s="7">
        <f t="shared" si="1"/>
        <v>0.0018954653103448276</v>
      </c>
      <c r="I24" s="53"/>
      <c r="J24" s="58">
        <v>0.0035353886060606</v>
      </c>
      <c r="K24" s="7">
        <f t="shared" si="2"/>
        <v>0.0035353886060606</v>
      </c>
      <c r="L24" s="7">
        <f t="shared" si="3"/>
        <v>0.0017676943030303</v>
      </c>
      <c r="M24" s="53"/>
      <c r="N24" s="58">
        <v>0.00294323294623656</v>
      </c>
      <c r="O24" s="7">
        <f t="shared" si="4"/>
        <v>0.00294323294623656</v>
      </c>
      <c r="P24" s="7">
        <f t="shared" si="5"/>
        <v>0.00147161647311828</v>
      </c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</row>
    <row r="25" spans="1:38" s="55" customFormat="1" ht="12.75">
      <c r="A25" s="55" t="s">
        <v>175</v>
      </c>
      <c r="B25" s="55">
        <v>21</v>
      </c>
      <c r="C25" s="55" t="s">
        <v>222</v>
      </c>
      <c r="D25" s="5">
        <v>0</v>
      </c>
      <c r="E25" s="53"/>
      <c r="F25" s="58">
        <v>0.022126656275862</v>
      </c>
      <c r="G25" s="7">
        <f t="shared" si="0"/>
        <v>0.022126656275862</v>
      </c>
      <c r="H25" s="7">
        <f t="shared" si="1"/>
        <v>0</v>
      </c>
      <c r="I25" s="53"/>
      <c r="J25" s="58">
        <v>0.01704238610101</v>
      </c>
      <c r="K25" s="7">
        <f t="shared" si="2"/>
        <v>0.01704238610101</v>
      </c>
      <c r="L25" s="7">
        <f t="shared" si="3"/>
        <v>0</v>
      </c>
      <c r="M25" s="53"/>
      <c r="N25" s="58">
        <v>0.007232633092473118</v>
      </c>
      <c r="O25" s="7">
        <f t="shared" si="4"/>
        <v>0.007232633092473118</v>
      </c>
      <c r="P25" s="7">
        <f t="shared" si="5"/>
        <v>0</v>
      </c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</row>
    <row r="26" spans="1:38" s="55" customFormat="1" ht="12.75">
      <c r="A26" s="55" t="s">
        <v>175</v>
      </c>
      <c r="B26" s="55">
        <v>22</v>
      </c>
      <c r="C26" s="55" t="s">
        <v>223</v>
      </c>
      <c r="D26" s="5">
        <v>0</v>
      </c>
      <c r="E26" s="53"/>
      <c r="F26" s="58">
        <v>0.028883280919540233</v>
      </c>
      <c r="G26" s="7">
        <f t="shared" si="0"/>
        <v>0.028883280919540233</v>
      </c>
      <c r="H26" s="7">
        <f t="shared" si="1"/>
        <v>0</v>
      </c>
      <c r="I26" s="53"/>
      <c r="J26" s="58">
        <v>0.022662747474747478</v>
      </c>
      <c r="K26" s="7">
        <f t="shared" si="2"/>
        <v>0.022662747474747478</v>
      </c>
      <c r="L26" s="7">
        <f t="shared" si="3"/>
        <v>0</v>
      </c>
      <c r="M26" s="53"/>
      <c r="N26" s="58">
        <v>0.01044606447311828</v>
      </c>
      <c r="O26" s="7">
        <f t="shared" si="4"/>
        <v>0.01044606447311828</v>
      </c>
      <c r="P26" s="7">
        <f t="shared" si="5"/>
        <v>0</v>
      </c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</row>
    <row r="27" spans="1:38" s="55" customFormat="1" ht="12.75">
      <c r="A27" s="55" t="s">
        <v>175</v>
      </c>
      <c r="B27" s="55">
        <v>23</v>
      </c>
      <c r="C27" s="55" t="s">
        <v>224</v>
      </c>
      <c r="D27" s="5">
        <v>0.1</v>
      </c>
      <c r="E27" s="53"/>
      <c r="F27" s="58">
        <v>0.0037135646896551727</v>
      </c>
      <c r="G27" s="7">
        <f t="shared" si="0"/>
        <v>0.0037135646896551727</v>
      </c>
      <c r="H27" s="7">
        <f t="shared" si="1"/>
        <v>0.0003713564689655173</v>
      </c>
      <c r="I27" s="53">
        <v>1</v>
      </c>
      <c r="J27" s="58">
        <v>0.0014413507393939394</v>
      </c>
      <c r="K27" s="7">
        <f t="shared" si="2"/>
        <v>0.0007206753696969697</v>
      </c>
      <c r="L27" s="7">
        <f t="shared" si="3"/>
        <v>7.206753696969698E-05</v>
      </c>
      <c r="M27" s="53"/>
      <c r="N27" s="58">
        <v>0.0020892128946236556</v>
      </c>
      <c r="O27" s="7">
        <f t="shared" si="4"/>
        <v>0.0020892128946236556</v>
      </c>
      <c r="P27" s="7">
        <f t="shared" si="5"/>
        <v>0.00020892128946236558</v>
      </c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</row>
    <row r="28" spans="1:38" s="55" customFormat="1" ht="12.75">
      <c r="A28" s="55" t="s">
        <v>175</v>
      </c>
      <c r="B28" s="55">
        <v>24</v>
      </c>
      <c r="C28" s="55" t="s">
        <v>225</v>
      </c>
      <c r="D28" s="5">
        <v>0.1</v>
      </c>
      <c r="E28" s="53">
        <v>1</v>
      </c>
      <c r="F28" s="58">
        <v>0.0031720031724138</v>
      </c>
      <c r="G28" s="7">
        <f t="shared" si="0"/>
        <v>0.0015860015862069</v>
      </c>
      <c r="H28" s="7">
        <f t="shared" si="1"/>
        <v>0.00015860015862069</v>
      </c>
      <c r="I28" s="53">
        <v>1</v>
      </c>
      <c r="J28" s="58">
        <v>0.0015931911474747474</v>
      </c>
      <c r="K28" s="7">
        <f t="shared" si="2"/>
        <v>0.0007965955737373737</v>
      </c>
      <c r="L28" s="7">
        <f t="shared" si="3"/>
        <v>7.965955737373738E-05</v>
      </c>
      <c r="M28" s="53">
        <v>1</v>
      </c>
      <c r="N28" s="58">
        <v>0.001199005552688172</v>
      </c>
      <c r="O28" s="7">
        <f t="shared" si="4"/>
        <v>0.000599502776344086</v>
      </c>
      <c r="P28" s="7">
        <f t="shared" si="5"/>
        <v>5.995027763440861E-05</v>
      </c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</row>
    <row r="29" spans="1:38" s="55" customFormat="1" ht="12.75">
      <c r="A29" s="55" t="s">
        <v>175</v>
      </c>
      <c r="B29" s="55">
        <v>25</v>
      </c>
      <c r="C29" s="55" t="s">
        <v>226</v>
      </c>
      <c r="D29" s="5">
        <v>0.1</v>
      </c>
      <c r="E29" s="53"/>
      <c r="F29" s="58">
        <v>0.001098596220689655</v>
      </c>
      <c r="G29" s="7">
        <f t="shared" si="0"/>
        <v>0.001098596220689655</v>
      </c>
      <c r="H29" s="7">
        <f t="shared" si="1"/>
        <v>0.0001098596220689655</v>
      </c>
      <c r="I29" s="53">
        <v>1</v>
      </c>
      <c r="J29" s="58">
        <v>0.00072067536969697</v>
      </c>
      <c r="K29" s="7">
        <f t="shared" si="2"/>
        <v>0.000360337684848485</v>
      </c>
      <c r="L29" s="7">
        <f t="shared" si="3"/>
        <v>3.60337684848485E-05</v>
      </c>
      <c r="M29" s="53">
        <v>1</v>
      </c>
      <c r="N29" s="58">
        <v>0.0002701984344086021</v>
      </c>
      <c r="O29" s="7">
        <f t="shared" si="4"/>
        <v>0.00013509921720430106</v>
      </c>
      <c r="P29" s="7">
        <f t="shared" si="5"/>
        <v>1.3509921720430106E-05</v>
      </c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</row>
    <row r="30" spans="1:38" s="55" customFormat="1" ht="12.75">
      <c r="A30" s="55" t="s">
        <v>175</v>
      </c>
      <c r="B30" s="55">
        <v>26</v>
      </c>
      <c r="C30" s="55" t="s">
        <v>227</v>
      </c>
      <c r="D30" s="5">
        <v>0.1</v>
      </c>
      <c r="E30" s="53">
        <v>1</v>
      </c>
      <c r="F30" s="58">
        <v>0.0002862539448275862</v>
      </c>
      <c r="G30" s="7">
        <f t="shared" si="0"/>
        <v>0.0001431269724137931</v>
      </c>
      <c r="H30" s="7">
        <f t="shared" si="1"/>
        <v>1.4312697241379312E-05</v>
      </c>
      <c r="I30" s="53">
        <v>1</v>
      </c>
      <c r="J30" s="58">
        <v>0.00015161378060606</v>
      </c>
      <c r="K30" s="7">
        <f t="shared" si="2"/>
        <v>7.580689030303E-05</v>
      </c>
      <c r="L30" s="7">
        <f t="shared" si="3"/>
        <v>7.580689030303E-06</v>
      </c>
      <c r="M30" s="53">
        <v>1</v>
      </c>
      <c r="N30" s="58">
        <v>0.00038599776344086</v>
      </c>
      <c r="O30" s="7">
        <f t="shared" si="4"/>
        <v>0.00019299888172043</v>
      </c>
      <c r="P30" s="7">
        <f t="shared" si="5"/>
        <v>1.9299888172043E-05</v>
      </c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</row>
    <row r="31" spans="1:38" s="55" customFormat="1" ht="12.75">
      <c r="A31" s="55" t="s">
        <v>175</v>
      </c>
      <c r="B31" s="55">
        <v>27</v>
      </c>
      <c r="C31" s="55" t="s">
        <v>228</v>
      </c>
      <c r="D31" s="5">
        <v>0</v>
      </c>
      <c r="E31" s="53"/>
      <c r="F31" s="58">
        <v>0.0100653076275862</v>
      </c>
      <c r="G31" s="7">
        <f t="shared" si="0"/>
        <v>0.0100653076275862</v>
      </c>
      <c r="H31" s="7">
        <f t="shared" si="1"/>
        <v>0</v>
      </c>
      <c r="I31" s="53"/>
      <c r="J31" s="58">
        <v>0.0036851893668686884</v>
      </c>
      <c r="K31" s="7">
        <f t="shared" si="2"/>
        <v>0.0036851893668686884</v>
      </c>
      <c r="L31" s="7">
        <f t="shared" si="3"/>
        <v>0</v>
      </c>
      <c r="M31" s="53"/>
      <c r="N31" s="58">
        <v>0.0022315495698924737</v>
      </c>
      <c r="O31" s="7">
        <f t="shared" si="4"/>
        <v>0.0022315495698924737</v>
      </c>
      <c r="P31" s="7">
        <f t="shared" si="5"/>
        <v>0</v>
      </c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</row>
    <row r="32" spans="1:38" s="55" customFormat="1" ht="12.75">
      <c r="A32" s="55" t="s">
        <v>175</v>
      </c>
      <c r="B32" s="55">
        <v>28</v>
      </c>
      <c r="C32" s="55" t="s">
        <v>229</v>
      </c>
      <c r="D32" s="5">
        <v>0</v>
      </c>
      <c r="E32" s="53"/>
      <c r="F32" s="58">
        <v>0.018335725655172417</v>
      </c>
      <c r="G32" s="7">
        <f t="shared" si="0"/>
        <v>0.018335725655172417</v>
      </c>
      <c r="H32" s="7">
        <f t="shared" si="1"/>
        <v>0</v>
      </c>
      <c r="I32" s="53"/>
      <c r="J32" s="58">
        <v>0.0075920204040404</v>
      </c>
      <c r="K32" s="7">
        <f t="shared" si="2"/>
        <v>0.0075920204040404</v>
      </c>
      <c r="L32" s="7">
        <f t="shared" si="3"/>
        <v>0</v>
      </c>
      <c r="M32" s="53"/>
      <c r="N32" s="58">
        <v>0.006175964215053763</v>
      </c>
      <c r="O32" s="7">
        <f t="shared" si="4"/>
        <v>0.006175964215053763</v>
      </c>
      <c r="P32" s="7">
        <f t="shared" si="5"/>
        <v>0</v>
      </c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</row>
    <row r="33" spans="1:38" s="55" customFormat="1" ht="12.75">
      <c r="A33" s="55" t="s">
        <v>175</v>
      </c>
      <c r="B33" s="55">
        <v>29</v>
      </c>
      <c r="C33" s="55" t="s">
        <v>230</v>
      </c>
      <c r="D33" s="5">
        <v>0.01</v>
      </c>
      <c r="E33" s="53"/>
      <c r="F33" s="58">
        <v>0.010985962206896552</v>
      </c>
      <c r="G33" s="7">
        <f t="shared" si="0"/>
        <v>0.010985962206896552</v>
      </c>
      <c r="H33" s="7">
        <f t="shared" si="1"/>
        <v>0.00010985962206896552</v>
      </c>
      <c r="I33" s="53"/>
      <c r="J33" s="58">
        <v>0.003558051353535354</v>
      </c>
      <c r="K33" s="7">
        <f t="shared" si="2"/>
        <v>0.003558051353535354</v>
      </c>
      <c r="L33" s="7">
        <f t="shared" si="3"/>
        <v>3.5580513535353545E-05</v>
      </c>
      <c r="M33" s="53"/>
      <c r="N33" s="58">
        <v>0.0031603566881720432</v>
      </c>
      <c r="O33" s="7">
        <f t="shared" si="4"/>
        <v>0.0031603566881720432</v>
      </c>
      <c r="P33" s="7">
        <f t="shared" si="5"/>
        <v>3.1603566881720434E-05</v>
      </c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</row>
    <row r="34" spans="1:38" s="55" customFormat="1" ht="12.75">
      <c r="A34" s="55" t="s">
        <v>175</v>
      </c>
      <c r="B34" s="55">
        <v>30</v>
      </c>
      <c r="C34" s="55" t="s">
        <v>231</v>
      </c>
      <c r="D34" s="5">
        <v>0.01</v>
      </c>
      <c r="E34" s="53">
        <v>1</v>
      </c>
      <c r="F34" s="58">
        <v>0.00073239748045977</v>
      </c>
      <c r="G34" s="7">
        <f t="shared" si="0"/>
        <v>0.000366198740229885</v>
      </c>
      <c r="H34" s="7">
        <f t="shared" si="1"/>
        <v>3.6619874022988503E-06</v>
      </c>
      <c r="I34" s="53">
        <v>1</v>
      </c>
      <c r="J34" s="58">
        <v>0.0023569257373737373</v>
      </c>
      <c r="K34" s="7">
        <f t="shared" si="2"/>
        <v>0.0011784628686868687</v>
      </c>
      <c r="L34" s="7">
        <f t="shared" si="3"/>
        <v>1.1784628686868687E-05</v>
      </c>
      <c r="M34" s="53">
        <v>1</v>
      </c>
      <c r="N34" s="58">
        <v>0.0027019843440860216</v>
      </c>
      <c r="O34" s="7">
        <f t="shared" si="4"/>
        <v>0.0013509921720430108</v>
      </c>
      <c r="P34" s="7">
        <f t="shared" si="5"/>
        <v>1.3509921720430107E-05</v>
      </c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</row>
    <row r="35" spans="1:38" s="55" customFormat="1" ht="12.75">
      <c r="A35" s="55" t="s">
        <v>175</v>
      </c>
      <c r="B35" s="55">
        <v>31</v>
      </c>
      <c r="C35" s="55" t="s">
        <v>232</v>
      </c>
      <c r="D35" s="5">
        <v>0</v>
      </c>
      <c r="E35" s="53"/>
      <c r="F35" s="58">
        <v>-0.00073239748045977</v>
      </c>
      <c r="G35" s="7">
        <f t="shared" si="0"/>
        <v>-0.00073239748045977</v>
      </c>
      <c r="H35" s="7">
        <f t="shared" si="1"/>
        <v>0</v>
      </c>
      <c r="I35" s="53"/>
      <c r="J35" s="58">
        <v>0.00015863923232323</v>
      </c>
      <c r="K35" s="7">
        <f t="shared" si="2"/>
        <v>0.00015863923232323</v>
      </c>
      <c r="L35" s="7">
        <f t="shared" si="3"/>
        <v>0</v>
      </c>
      <c r="M35" s="53"/>
      <c r="N35" s="58">
        <v>-0.0027019843440860216</v>
      </c>
      <c r="O35" s="7">
        <f t="shared" si="4"/>
        <v>-0.0027019843440860216</v>
      </c>
      <c r="P35" s="7">
        <f t="shared" si="5"/>
        <v>0</v>
      </c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</row>
    <row r="36" spans="1:38" s="55" customFormat="1" ht="12.75">
      <c r="A36" s="55" t="s">
        <v>175</v>
      </c>
      <c r="B36" s="55">
        <v>32</v>
      </c>
      <c r="C36" s="55" t="s">
        <v>233</v>
      </c>
      <c r="D36" s="5">
        <v>0</v>
      </c>
      <c r="E36" s="53"/>
      <c r="F36" s="58">
        <v>0.010985962206896552</v>
      </c>
      <c r="G36" s="7">
        <f t="shared" si="0"/>
        <v>0.010985962206896552</v>
      </c>
      <c r="H36" s="7">
        <f t="shared" si="1"/>
        <v>0</v>
      </c>
      <c r="I36" s="53"/>
      <c r="J36" s="58">
        <v>0.006073616323232322</v>
      </c>
      <c r="K36" s="7">
        <f t="shared" si="2"/>
        <v>0.006073616323232322</v>
      </c>
      <c r="L36" s="7">
        <f t="shared" si="3"/>
        <v>0</v>
      </c>
      <c r="M36" s="53"/>
      <c r="N36" s="58">
        <v>0.0031603566881720432</v>
      </c>
      <c r="O36" s="7">
        <f t="shared" si="4"/>
        <v>0.0031603566881720432</v>
      </c>
      <c r="P36" s="7">
        <f t="shared" si="5"/>
        <v>0</v>
      </c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</row>
    <row r="37" spans="1:38" s="55" customFormat="1" ht="12.75">
      <c r="A37" s="55" t="s">
        <v>175</v>
      </c>
      <c r="B37" s="55">
        <v>33</v>
      </c>
      <c r="C37" s="55" t="s">
        <v>234</v>
      </c>
      <c r="D37" s="5">
        <v>0.001</v>
      </c>
      <c r="E37" s="53"/>
      <c r="F37" s="58">
        <v>0.003249369103448276</v>
      </c>
      <c r="G37" s="7">
        <f t="shared" si="0"/>
        <v>0.003249369103448276</v>
      </c>
      <c r="H37" s="7">
        <f t="shared" si="1"/>
        <v>3.249369103448276E-06</v>
      </c>
      <c r="I37" s="53"/>
      <c r="J37" s="58">
        <v>0.002379588484848485</v>
      </c>
      <c r="K37" s="7">
        <f t="shared" si="2"/>
        <v>0.002379588484848485</v>
      </c>
      <c r="L37" s="7">
        <f t="shared" si="3"/>
        <v>2.379588484848485E-06</v>
      </c>
      <c r="M37" s="53"/>
      <c r="N37" s="58">
        <v>0.0024124860215053757</v>
      </c>
      <c r="O37" s="7">
        <f t="shared" si="4"/>
        <v>0.0024124860215053757</v>
      </c>
      <c r="P37" s="7">
        <f t="shared" si="5"/>
        <v>2.4124860215053756E-06</v>
      </c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</row>
    <row r="38" spans="1:38" s="55" customFormat="1" ht="12.75">
      <c r="A38" s="55" t="s">
        <v>175</v>
      </c>
      <c r="B38" s="55">
        <v>34</v>
      </c>
      <c r="C38" s="55" t="s">
        <v>235</v>
      </c>
      <c r="D38" s="53"/>
      <c r="E38" s="53"/>
      <c r="F38" s="58">
        <v>0.6885825748505747</v>
      </c>
      <c r="G38" s="58">
        <f>G37+G36+G32+G26+G22+G19+G18+G15+G10+G7</f>
        <v>0.6885825748505737</v>
      </c>
      <c r="H38" s="58"/>
      <c r="I38" s="53"/>
      <c r="J38" s="58">
        <v>0.776380402989899</v>
      </c>
      <c r="K38" s="58">
        <f>K37+K36+K32+K26+K22+K19+K18+K15+K10+K7</f>
        <v>0.7763804029898985</v>
      </c>
      <c r="L38" s="58"/>
      <c r="M38" s="53"/>
      <c r="N38" s="58">
        <v>0.5850278602150538</v>
      </c>
      <c r="O38" s="58">
        <f>O37+O36+O32+O26+O22+O19+O18+O15+O10+O7</f>
        <v>0.5850278602150546</v>
      </c>
      <c r="P38" s="58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</row>
    <row r="39" spans="1:38" s="55" customFormat="1" ht="12.75">
      <c r="A39" s="55" t="s">
        <v>175</v>
      </c>
      <c r="B39" s="55">
        <v>35</v>
      </c>
      <c r="C39" s="55" t="s">
        <v>32</v>
      </c>
      <c r="D39" s="53"/>
      <c r="E39" s="64">
        <f>(F39-H39)*2/F39*100</f>
        <v>12.109238279451032</v>
      </c>
      <c r="F39" s="58">
        <v>0.0055997460882758615</v>
      </c>
      <c r="G39" s="58"/>
      <c r="H39" s="58">
        <f>SUM(H5:H37)</f>
        <v>0.00526070278983908</v>
      </c>
      <c r="I39" s="64">
        <f>(J39-L39)*2/J39*100</f>
        <v>23.645232860891568</v>
      </c>
      <c r="J39" s="58">
        <v>0.0044739436299798</v>
      </c>
      <c r="K39" s="58"/>
      <c r="L39" s="58">
        <f>SUM(L5:L37)</f>
        <v>0.003945006435292926</v>
      </c>
      <c r="M39" s="64">
        <f>(N39-P39)*2/N39*100</f>
        <v>18.250581092531604</v>
      </c>
      <c r="N39" s="58">
        <v>0.00310334964348387</v>
      </c>
      <c r="O39" s="58"/>
      <c r="P39" s="58">
        <f>SUM(P5:P37)</f>
        <v>0.002820159971849463</v>
      </c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</row>
  </sheetData>
  <mergeCells count="3">
    <mergeCell ref="F1:H1"/>
    <mergeCell ref="J1:L1"/>
    <mergeCell ref="N1:P1"/>
  </mergeCells>
  <printOptions headings="1" horizontalCentered="1"/>
  <pageMargins left="0.25" right="0.25" top="0.5" bottom="0.5" header="0.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L39"/>
  <sheetViews>
    <sheetView workbookViewId="0" topLeftCell="C1">
      <selection activeCell="C1" sqref="C1"/>
    </sheetView>
  </sheetViews>
  <sheetFormatPr defaultColWidth="9.140625" defaultRowHeight="12.75"/>
  <cols>
    <col min="1" max="1" width="6.28125" style="0" hidden="1" customWidth="1"/>
    <col min="2" max="2" width="3.00390625" style="0" hidden="1" customWidth="1"/>
    <col min="3" max="3" width="13.421875" style="0" customWidth="1"/>
    <col min="5" max="5" width="4.421875" style="0" customWidth="1"/>
    <col min="6" max="8" width="9.140625" style="84" customWidth="1"/>
    <col min="9" max="9" width="5.7109375" style="0" customWidth="1"/>
    <col min="10" max="12" width="9.140625" style="84" customWidth="1"/>
    <col min="13" max="13" width="4.140625" style="0" customWidth="1"/>
    <col min="14" max="16" width="9.140625" style="84" customWidth="1"/>
  </cols>
  <sheetData>
    <row r="1" spans="3:16" ht="12.75">
      <c r="C1" s="2" t="s">
        <v>181</v>
      </c>
      <c r="D1" s="5" t="s">
        <v>25</v>
      </c>
      <c r="F1" s="86" t="s">
        <v>124</v>
      </c>
      <c r="G1" s="86"/>
      <c r="H1" s="86"/>
      <c r="J1" s="86" t="s">
        <v>125</v>
      </c>
      <c r="K1" s="86"/>
      <c r="L1" s="86"/>
      <c r="N1" s="86" t="s">
        <v>126</v>
      </c>
      <c r="O1" s="86"/>
      <c r="P1" s="86"/>
    </row>
    <row r="2" spans="4:16" ht="12.75">
      <c r="D2" s="5" t="s">
        <v>29</v>
      </c>
      <c r="F2" s="83" t="s">
        <v>30</v>
      </c>
      <c r="G2" s="11" t="s">
        <v>30</v>
      </c>
      <c r="H2" s="11" t="s">
        <v>31</v>
      </c>
      <c r="J2" s="83" t="s">
        <v>30</v>
      </c>
      <c r="K2" s="11" t="s">
        <v>30</v>
      </c>
      <c r="L2" s="11" t="s">
        <v>31</v>
      </c>
      <c r="N2" s="83" t="s">
        <v>30</v>
      </c>
      <c r="O2" s="11" t="s">
        <v>30</v>
      </c>
      <c r="P2" s="11" t="s">
        <v>31</v>
      </c>
    </row>
    <row r="3" spans="3:16" ht="12.75">
      <c r="C3" t="s">
        <v>79</v>
      </c>
      <c r="D3" s="5"/>
      <c r="F3" s="83" t="s">
        <v>201</v>
      </c>
      <c r="G3" s="11" t="s">
        <v>72</v>
      </c>
      <c r="H3" s="11" t="s">
        <v>72</v>
      </c>
      <c r="J3" s="83" t="s">
        <v>201</v>
      </c>
      <c r="K3" s="11" t="s">
        <v>72</v>
      </c>
      <c r="L3" s="11" t="s">
        <v>72</v>
      </c>
      <c r="N3" s="83" t="s">
        <v>201</v>
      </c>
      <c r="O3" s="11" t="s">
        <v>72</v>
      </c>
      <c r="P3" s="11" t="s">
        <v>72</v>
      </c>
    </row>
    <row r="4" spans="4:16" ht="12.75">
      <c r="D4" s="4"/>
      <c r="G4" s="7"/>
      <c r="H4" s="7"/>
      <c r="K4" s="7"/>
      <c r="L4" s="7"/>
      <c r="O4" s="7"/>
      <c r="P4" s="7"/>
    </row>
    <row r="5" spans="1:38" s="55" customFormat="1" ht="12.75">
      <c r="A5" s="55" t="s">
        <v>181</v>
      </c>
      <c r="B5" s="55">
        <v>1</v>
      </c>
      <c r="C5" s="55" t="s">
        <v>202</v>
      </c>
      <c r="D5" s="5">
        <v>1</v>
      </c>
      <c r="E5" s="53"/>
      <c r="F5" s="58">
        <v>0.007450640262071973</v>
      </c>
      <c r="G5" s="7">
        <f>IF(F5=0,"",IF(E5=1,F5/2,F5))</f>
        <v>0.007450640262071973</v>
      </c>
      <c r="H5" s="7">
        <f>IF(G5="","",G5*$D5)</f>
        <v>0.007450640262071973</v>
      </c>
      <c r="I5" s="53">
        <v>1</v>
      </c>
      <c r="J5" s="58">
        <v>0.007179478835500736</v>
      </c>
      <c r="K5" s="7">
        <f>IF(J5=0,"",IF(I5=1,J5/2,J5))</f>
        <v>0.003589739417750368</v>
      </c>
      <c r="L5" s="7">
        <f>IF(K5="","",K5*$D5)</f>
        <v>0.003589739417750368</v>
      </c>
      <c r="M5" s="53"/>
      <c r="N5" s="58">
        <v>0.018389707598439636</v>
      </c>
      <c r="O5" s="7">
        <f>IF(N5=0,"",IF(M5=1,N5/2,N5))</f>
        <v>0.018389707598439636</v>
      </c>
      <c r="P5" s="7">
        <f>IF(O5="","",O5*$D5)</f>
        <v>0.018389707598439636</v>
      </c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</row>
    <row r="6" spans="1:38" s="55" customFormat="1" ht="12.75">
      <c r="A6" s="55" t="s">
        <v>181</v>
      </c>
      <c r="B6" s="55">
        <v>2</v>
      </c>
      <c r="C6" s="55" t="s">
        <v>203</v>
      </c>
      <c r="D6" s="5">
        <v>0</v>
      </c>
      <c r="E6" s="53"/>
      <c r="F6" s="58">
        <v>0</v>
      </c>
      <c r="G6" s="7">
        <f aca="true" t="shared" si="0" ref="G6:G37">IF(F6=0,"",IF(E6=1,F6/2,F6))</f>
      </c>
      <c r="H6" s="7">
        <f aca="true" t="shared" si="1" ref="H6:H37">IF(G6="","",G6*$D6)</f>
      </c>
      <c r="I6" s="53"/>
      <c r="J6" s="58">
        <v>0.007179478835500736</v>
      </c>
      <c r="K6" s="7">
        <f aca="true" t="shared" si="2" ref="K6:K37">IF(J6=0,"",IF(I6=1,J6/2,J6))</f>
        <v>0.007179478835500736</v>
      </c>
      <c r="L6" s="7">
        <f aca="true" t="shared" si="3" ref="L6:L37">IF(K6="","",K6*$D6)</f>
        <v>0</v>
      </c>
      <c r="M6" s="53"/>
      <c r="N6" s="58">
        <v>0.49652210515787</v>
      </c>
      <c r="O6" s="7">
        <f aca="true" t="shared" si="4" ref="O6:O37">IF(N6=0,"",IF(M6=1,N6/2,N6))</f>
        <v>0.49652210515787</v>
      </c>
      <c r="P6" s="7">
        <f aca="true" t="shared" si="5" ref="P6:P37">IF(O6="","",O6*$D6)</f>
        <v>0</v>
      </c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</row>
    <row r="7" spans="1:38" s="55" customFormat="1" ht="12.75">
      <c r="A7" s="55" t="s">
        <v>181</v>
      </c>
      <c r="B7" s="55">
        <v>3</v>
      </c>
      <c r="C7" s="55" t="s">
        <v>204</v>
      </c>
      <c r="D7" s="5">
        <v>0</v>
      </c>
      <c r="E7" s="53"/>
      <c r="F7" s="58">
        <v>0.007450640262071973</v>
      </c>
      <c r="G7" s="7">
        <f t="shared" si="0"/>
        <v>0.007450640262071973</v>
      </c>
      <c r="H7" s="7">
        <f t="shared" si="1"/>
        <v>0</v>
      </c>
      <c r="I7" s="53"/>
      <c r="J7" s="58">
        <v>0.014358957671001472</v>
      </c>
      <c r="K7" s="7">
        <f t="shared" si="2"/>
        <v>0.014358957671001472</v>
      </c>
      <c r="L7" s="7">
        <f t="shared" si="3"/>
        <v>0</v>
      </c>
      <c r="M7" s="53"/>
      <c r="N7" s="58">
        <v>0.51491181275631</v>
      </c>
      <c r="O7" s="7">
        <f t="shared" si="4"/>
        <v>0.51491181275631</v>
      </c>
      <c r="P7" s="7">
        <f t="shared" si="5"/>
        <v>0</v>
      </c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</row>
    <row r="8" spans="1:38" s="55" customFormat="1" ht="12.75">
      <c r="A8" s="55" t="s">
        <v>181</v>
      </c>
      <c r="B8" s="55">
        <v>4</v>
      </c>
      <c r="C8" s="55" t="s">
        <v>205</v>
      </c>
      <c r="D8" s="5">
        <v>0.5</v>
      </c>
      <c r="E8" s="53"/>
      <c r="F8" s="58">
        <v>0.011175960393108</v>
      </c>
      <c r="G8" s="7">
        <f t="shared" si="0"/>
        <v>0.011175960393108</v>
      </c>
      <c r="H8" s="7">
        <f t="shared" si="1"/>
        <v>0.005587980196554</v>
      </c>
      <c r="I8" s="53">
        <v>1</v>
      </c>
      <c r="J8" s="58">
        <v>0.007179478835500736</v>
      </c>
      <c r="K8" s="7">
        <f t="shared" si="2"/>
        <v>0.003589739417750368</v>
      </c>
      <c r="L8" s="7">
        <f t="shared" si="3"/>
        <v>0.001794869708875184</v>
      </c>
      <c r="M8" s="53"/>
      <c r="N8" s="58">
        <v>0.03310147367719134</v>
      </c>
      <c r="O8" s="7">
        <f t="shared" si="4"/>
        <v>0.03310147367719134</v>
      </c>
      <c r="P8" s="7">
        <f t="shared" si="5"/>
        <v>0.01655073683859567</v>
      </c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</row>
    <row r="9" spans="1:38" s="55" customFormat="1" ht="12.75">
      <c r="A9" s="55" t="s">
        <v>181</v>
      </c>
      <c r="B9" s="55">
        <v>5</v>
      </c>
      <c r="C9" s="55" t="s">
        <v>206</v>
      </c>
      <c r="D9" s="5">
        <v>0</v>
      </c>
      <c r="E9" s="53"/>
      <c r="F9" s="58">
        <v>0.011175960393108</v>
      </c>
      <c r="G9" s="7">
        <f t="shared" si="0"/>
        <v>0.011175960393108</v>
      </c>
      <c r="H9" s="7">
        <f t="shared" si="1"/>
        <v>0</v>
      </c>
      <c r="I9" s="53"/>
      <c r="J9" s="58">
        <v>0.007179478835500736</v>
      </c>
      <c r="K9" s="7">
        <f t="shared" si="2"/>
        <v>0.007179478835500736</v>
      </c>
      <c r="L9" s="7">
        <f t="shared" si="3"/>
        <v>0</v>
      </c>
      <c r="M9" s="53"/>
      <c r="N9" s="58">
        <v>0.22803237422065148</v>
      </c>
      <c r="O9" s="7">
        <f t="shared" si="4"/>
        <v>0.22803237422065148</v>
      </c>
      <c r="P9" s="7">
        <f t="shared" si="5"/>
        <v>0</v>
      </c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</row>
    <row r="10" spans="1:38" s="55" customFormat="1" ht="12.75">
      <c r="A10" s="55" t="s">
        <v>181</v>
      </c>
      <c r="B10" s="55">
        <v>5</v>
      </c>
      <c r="C10" s="55" t="s">
        <v>207</v>
      </c>
      <c r="D10" s="5">
        <v>0</v>
      </c>
      <c r="E10" s="53"/>
      <c r="F10" s="58">
        <v>0.022351920786216</v>
      </c>
      <c r="G10" s="7">
        <f t="shared" si="0"/>
        <v>0.022351920786216</v>
      </c>
      <c r="H10" s="7">
        <f t="shared" si="1"/>
        <v>0</v>
      </c>
      <c r="I10" s="53"/>
      <c r="J10" s="58">
        <v>0.014358957671001472</v>
      </c>
      <c r="K10" s="7">
        <f t="shared" si="2"/>
        <v>0.014358957671001472</v>
      </c>
      <c r="L10" s="7">
        <f t="shared" si="3"/>
        <v>0</v>
      </c>
      <c r="M10" s="53"/>
      <c r="N10" s="58">
        <v>0.26113384789784283</v>
      </c>
      <c r="O10" s="7">
        <f t="shared" si="4"/>
        <v>0.26113384789784283</v>
      </c>
      <c r="P10" s="7">
        <f t="shared" si="5"/>
        <v>0</v>
      </c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</row>
    <row r="11" spans="1:38" s="55" customFormat="1" ht="12.75">
      <c r="A11" s="55" t="s">
        <v>181</v>
      </c>
      <c r="B11" s="55">
        <v>7</v>
      </c>
      <c r="C11" s="55" t="s">
        <v>208</v>
      </c>
      <c r="D11" s="5">
        <v>0.1</v>
      </c>
      <c r="E11" s="53">
        <v>1</v>
      </c>
      <c r="F11" s="58">
        <v>0.011175960393108</v>
      </c>
      <c r="G11" s="7">
        <f t="shared" si="0"/>
        <v>0.005587980196554</v>
      </c>
      <c r="H11" s="7">
        <f t="shared" si="1"/>
        <v>0.0005587980196554</v>
      </c>
      <c r="I11" s="53">
        <v>1</v>
      </c>
      <c r="J11" s="58">
        <v>0.010769218253251103</v>
      </c>
      <c r="K11" s="7">
        <f t="shared" si="2"/>
        <v>0.0053846091266255515</v>
      </c>
      <c r="L11" s="7">
        <f t="shared" si="3"/>
        <v>0.0005384609126625552</v>
      </c>
      <c r="M11" s="53"/>
      <c r="N11" s="58">
        <v>0.014711766078751708</v>
      </c>
      <c r="O11" s="7">
        <f t="shared" si="4"/>
        <v>0.014711766078751708</v>
      </c>
      <c r="P11" s="7">
        <f t="shared" si="5"/>
        <v>0.0014711766078751708</v>
      </c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</row>
    <row r="12" spans="1:38" s="55" customFormat="1" ht="12.75">
      <c r="A12" s="55" t="s">
        <v>181</v>
      </c>
      <c r="B12" s="55">
        <v>8</v>
      </c>
      <c r="C12" s="55" t="s">
        <v>209</v>
      </c>
      <c r="D12" s="5">
        <v>0.1</v>
      </c>
      <c r="E12" s="53"/>
      <c r="F12" s="58">
        <v>0.007450640262071973</v>
      </c>
      <c r="G12" s="7">
        <f t="shared" si="0"/>
        <v>0.007450640262071973</v>
      </c>
      <c r="H12" s="7">
        <f t="shared" si="1"/>
        <v>0.0007450640262071974</v>
      </c>
      <c r="I12" s="53"/>
      <c r="J12" s="58">
        <v>0.007179478835500736</v>
      </c>
      <c r="K12" s="7">
        <f t="shared" si="2"/>
        <v>0.007179478835500736</v>
      </c>
      <c r="L12" s="7">
        <f t="shared" si="3"/>
        <v>0.0007179478835500736</v>
      </c>
      <c r="M12" s="53"/>
      <c r="N12" s="58">
        <v>0.014711766078751708</v>
      </c>
      <c r="O12" s="7">
        <f t="shared" si="4"/>
        <v>0.014711766078751708</v>
      </c>
      <c r="P12" s="7">
        <f t="shared" si="5"/>
        <v>0.0014711766078751708</v>
      </c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</row>
    <row r="13" spans="1:38" s="55" customFormat="1" ht="12.75">
      <c r="A13" s="55" t="s">
        <v>181</v>
      </c>
      <c r="B13" s="55">
        <v>9</v>
      </c>
      <c r="C13" s="55" t="s">
        <v>210</v>
      </c>
      <c r="D13" s="5">
        <v>0.1</v>
      </c>
      <c r="E13" s="53"/>
      <c r="F13" s="58">
        <v>0.01862660065518</v>
      </c>
      <c r="G13" s="7">
        <f t="shared" si="0"/>
        <v>0.01862660065518</v>
      </c>
      <c r="H13" s="7">
        <f t="shared" si="1"/>
        <v>0.0018626600655180002</v>
      </c>
      <c r="I13" s="53"/>
      <c r="J13" s="58">
        <v>0.010769218253251103</v>
      </c>
      <c r="K13" s="7">
        <f t="shared" si="2"/>
        <v>0.010769218253251103</v>
      </c>
      <c r="L13" s="7">
        <f t="shared" si="3"/>
        <v>0.0010769218253251103</v>
      </c>
      <c r="M13" s="53"/>
      <c r="N13" s="58">
        <v>0.029423532157503415</v>
      </c>
      <c r="O13" s="7">
        <f t="shared" si="4"/>
        <v>0.029423532157503415</v>
      </c>
      <c r="P13" s="7">
        <f t="shared" si="5"/>
        <v>0.0029423532157503416</v>
      </c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</row>
    <row r="14" spans="1:38" s="55" customFormat="1" ht="12.75">
      <c r="A14" s="55" t="s">
        <v>181</v>
      </c>
      <c r="B14" s="55">
        <v>10</v>
      </c>
      <c r="C14" s="55" t="s">
        <v>211</v>
      </c>
      <c r="D14" s="5">
        <v>0</v>
      </c>
      <c r="E14" s="53"/>
      <c r="F14" s="58">
        <v>0.05215448183450383</v>
      </c>
      <c r="G14" s="7">
        <f t="shared" si="0"/>
        <v>0.05215448183450383</v>
      </c>
      <c r="H14" s="7">
        <f t="shared" si="1"/>
        <v>0</v>
      </c>
      <c r="I14" s="53"/>
      <c r="J14" s="58">
        <v>0.03589739417750367</v>
      </c>
      <c r="K14" s="7">
        <f t="shared" si="2"/>
        <v>0.03589739417750367</v>
      </c>
      <c r="L14" s="7">
        <f t="shared" si="3"/>
        <v>0</v>
      </c>
      <c r="M14" s="53"/>
      <c r="N14" s="58">
        <v>0.253777964858467</v>
      </c>
      <c r="O14" s="7">
        <f t="shared" si="4"/>
        <v>0.253777964858467</v>
      </c>
      <c r="P14" s="7">
        <f t="shared" si="5"/>
        <v>0</v>
      </c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</row>
    <row r="15" spans="1:38" s="55" customFormat="1" ht="12.75">
      <c r="A15" s="55" t="s">
        <v>181</v>
      </c>
      <c r="B15" s="55">
        <v>11</v>
      </c>
      <c r="C15" s="55" t="s">
        <v>212</v>
      </c>
      <c r="D15" s="5">
        <v>0</v>
      </c>
      <c r="E15" s="53"/>
      <c r="F15" s="58">
        <v>0.08940768314486369</v>
      </c>
      <c r="G15" s="7">
        <f t="shared" si="0"/>
        <v>0.08940768314486369</v>
      </c>
      <c r="H15" s="7">
        <f t="shared" si="1"/>
        <v>0</v>
      </c>
      <c r="I15" s="53"/>
      <c r="J15" s="58">
        <v>0.06461530951950661</v>
      </c>
      <c r="K15" s="7">
        <f t="shared" si="2"/>
        <v>0.06461530951950661</v>
      </c>
      <c r="L15" s="7">
        <f t="shared" si="3"/>
        <v>0</v>
      </c>
      <c r="M15" s="53"/>
      <c r="N15" s="58">
        <v>0.31262502917347385</v>
      </c>
      <c r="O15" s="7">
        <f t="shared" si="4"/>
        <v>0.31262502917347385</v>
      </c>
      <c r="P15" s="7">
        <f t="shared" si="5"/>
        <v>0</v>
      </c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</row>
    <row r="16" spans="1:38" s="55" customFormat="1" ht="12.75">
      <c r="A16" s="55" t="s">
        <v>181</v>
      </c>
      <c r="B16" s="55">
        <v>12</v>
      </c>
      <c r="C16" s="55" t="s">
        <v>213</v>
      </c>
      <c r="D16" s="5">
        <v>0.01</v>
      </c>
      <c r="E16" s="53"/>
      <c r="F16" s="58">
        <v>0.04842916170346783</v>
      </c>
      <c r="G16" s="7">
        <f t="shared" si="0"/>
        <v>0.04842916170346783</v>
      </c>
      <c r="H16" s="7">
        <f t="shared" si="1"/>
        <v>0.0004842916170346783</v>
      </c>
      <c r="I16" s="53"/>
      <c r="J16" s="58">
        <v>0.03589739417750368</v>
      </c>
      <c r="K16" s="7">
        <f t="shared" si="2"/>
        <v>0.03589739417750368</v>
      </c>
      <c r="L16" s="7">
        <f t="shared" si="3"/>
        <v>0.00035897394177503676</v>
      </c>
      <c r="M16" s="53"/>
      <c r="N16" s="58">
        <v>0.029423532157503415</v>
      </c>
      <c r="O16" s="7">
        <f t="shared" si="4"/>
        <v>0.029423532157503415</v>
      </c>
      <c r="P16" s="7">
        <f t="shared" si="5"/>
        <v>0.0002942353215750342</v>
      </c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</row>
    <row r="17" spans="1:38" s="55" customFormat="1" ht="12.75">
      <c r="A17" s="55" t="s">
        <v>181</v>
      </c>
      <c r="B17" s="55">
        <v>13</v>
      </c>
      <c r="C17" s="55" t="s">
        <v>214</v>
      </c>
      <c r="D17" s="5">
        <v>0</v>
      </c>
      <c r="E17" s="53"/>
      <c r="F17" s="58">
        <v>0.06705576235864777</v>
      </c>
      <c r="G17" s="7">
        <f t="shared" si="0"/>
        <v>0.06705576235864777</v>
      </c>
      <c r="H17" s="7">
        <f t="shared" si="1"/>
        <v>0</v>
      </c>
      <c r="I17" s="53"/>
      <c r="J17" s="58">
        <v>0</v>
      </c>
      <c r="K17" s="7">
        <f t="shared" si="2"/>
      </c>
      <c r="L17" s="7">
        <f t="shared" si="3"/>
      </c>
      <c r="M17" s="53"/>
      <c r="N17" s="58">
        <v>0.014711766078751715</v>
      </c>
      <c r="O17" s="7">
        <f t="shared" si="4"/>
        <v>0.014711766078751715</v>
      </c>
      <c r="P17" s="7">
        <f t="shared" si="5"/>
        <v>0</v>
      </c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</row>
    <row r="18" spans="1:38" s="55" customFormat="1" ht="12.75">
      <c r="A18" s="55" t="s">
        <v>181</v>
      </c>
      <c r="B18" s="55">
        <v>14</v>
      </c>
      <c r="C18" s="55" t="s">
        <v>215</v>
      </c>
      <c r="D18" s="5">
        <v>0</v>
      </c>
      <c r="E18" s="53"/>
      <c r="F18" s="58">
        <v>0.1154849240621156</v>
      </c>
      <c r="G18" s="7">
        <f t="shared" si="0"/>
        <v>0.1154849240621156</v>
      </c>
      <c r="H18" s="7">
        <f t="shared" si="1"/>
        <v>0</v>
      </c>
      <c r="I18" s="53"/>
      <c r="J18" s="58">
        <v>0.03589739417750368</v>
      </c>
      <c r="K18" s="7">
        <f t="shared" si="2"/>
        <v>0.03589739417750368</v>
      </c>
      <c r="L18" s="7">
        <f t="shared" si="3"/>
        <v>0</v>
      </c>
      <c r="M18" s="53"/>
      <c r="N18" s="58">
        <v>0.04413529823625513</v>
      </c>
      <c r="O18" s="7">
        <f t="shared" si="4"/>
        <v>0.04413529823625513</v>
      </c>
      <c r="P18" s="7">
        <f t="shared" si="5"/>
        <v>0</v>
      </c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</row>
    <row r="19" spans="1:38" s="55" customFormat="1" ht="12.75">
      <c r="A19" s="55" t="s">
        <v>181</v>
      </c>
      <c r="B19" s="55">
        <v>15</v>
      </c>
      <c r="C19" s="55" t="s">
        <v>216</v>
      </c>
      <c r="D19" s="5">
        <v>0.001</v>
      </c>
      <c r="E19" s="53"/>
      <c r="F19" s="58">
        <v>0.13038620458626</v>
      </c>
      <c r="G19" s="7">
        <f t="shared" si="0"/>
        <v>0.13038620458626</v>
      </c>
      <c r="H19" s="7">
        <f t="shared" si="1"/>
        <v>0.00013038620458625998</v>
      </c>
      <c r="I19" s="53"/>
      <c r="J19" s="58">
        <v>0.07538452777275773</v>
      </c>
      <c r="K19" s="7">
        <f t="shared" si="2"/>
        <v>0.07538452777275773</v>
      </c>
      <c r="L19" s="7">
        <f t="shared" si="3"/>
        <v>7.538452777275773E-05</v>
      </c>
      <c r="M19" s="53"/>
      <c r="N19" s="58">
        <v>0.051491181275631</v>
      </c>
      <c r="O19" s="7">
        <f t="shared" si="4"/>
        <v>0.051491181275631</v>
      </c>
      <c r="P19" s="7">
        <f t="shared" si="5"/>
        <v>5.1491181275631E-05</v>
      </c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</row>
    <row r="20" spans="1:38" s="55" customFormat="1" ht="12.75">
      <c r="A20" s="55" t="s">
        <v>181</v>
      </c>
      <c r="B20" s="55">
        <v>16</v>
      </c>
      <c r="C20" s="55" t="s">
        <v>217</v>
      </c>
      <c r="D20" s="5">
        <v>0.1</v>
      </c>
      <c r="E20" s="53"/>
      <c r="F20" s="58">
        <v>0.0014901280524144</v>
      </c>
      <c r="G20" s="7">
        <f t="shared" si="0"/>
        <v>0.0014901280524144</v>
      </c>
      <c r="H20" s="7">
        <f t="shared" si="1"/>
        <v>0.00014901280524144</v>
      </c>
      <c r="I20" s="53"/>
      <c r="J20" s="58">
        <v>0.0021538436506502202</v>
      </c>
      <c r="K20" s="7">
        <f t="shared" si="2"/>
        <v>0.0021538436506502202</v>
      </c>
      <c r="L20" s="7">
        <f t="shared" si="3"/>
        <v>0.00021538436506502205</v>
      </c>
      <c r="M20" s="53"/>
      <c r="N20" s="58">
        <v>0.06620294735438267</v>
      </c>
      <c r="O20" s="7">
        <f t="shared" si="4"/>
        <v>0.06620294735438267</v>
      </c>
      <c r="P20" s="7">
        <f t="shared" si="5"/>
        <v>0.006620294735438268</v>
      </c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</row>
    <row r="21" spans="1:38" s="55" customFormat="1" ht="12.75">
      <c r="A21" s="55" t="s">
        <v>181</v>
      </c>
      <c r="B21" s="55">
        <v>17</v>
      </c>
      <c r="C21" s="55" t="s">
        <v>218</v>
      </c>
      <c r="D21" s="5">
        <v>0</v>
      </c>
      <c r="E21" s="53"/>
      <c r="F21" s="58">
        <v>0.0022351920786216</v>
      </c>
      <c r="G21" s="7">
        <f t="shared" si="0"/>
        <v>0.0022351920786216</v>
      </c>
      <c r="H21" s="7">
        <f t="shared" si="1"/>
        <v>0</v>
      </c>
      <c r="I21" s="53"/>
      <c r="J21" s="58">
        <v>0.0014358957671001477</v>
      </c>
      <c r="K21" s="7">
        <f t="shared" si="2"/>
        <v>0.0014358957671001477</v>
      </c>
      <c r="L21" s="7">
        <f t="shared" si="3"/>
        <v>0</v>
      </c>
      <c r="M21" s="53"/>
      <c r="N21" s="58">
        <v>1.5888707365051846</v>
      </c>
      <c r="O21" s="7">
        <f t="shared" si="4"/>
        <v>1.5888707365051846</v>
      </c>
      <c r="P21" s="7">
        <f t="shared" si="5"/>
        <v>0</v>
      </c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</row>
    <row r="22" spans="1:38" s="55" customFormat="1" ht="12.75">
      <c r="A22" s="55" t="s">
        <v>181</v>
      </c>
      <c r="B22" s="55">
        <v>18</v>
      </c>
      <c r="C22" s="55" t="s">
        <v>219</v>
      </c>
      <c r="D22" s="5">
        <v>0</v>
      </c>
      <c r="E22" s="53"/>
      <c r="F22" s="58">
        <v>0.0037253201310359866</v>
      </c>
      <c r="G22" s="7">
        <f t="shared" si="0"/>
        <v>0.0037253201310359866</v>
      </c>
      <c r="H22" s="7">
        <f t="shared" si="1"/>
        <v>0</v>
      </c>
      <c r="I22" s="53"/>
      <c r="J22" s="58">
        <v>0.003589739417750368</v>
      </c>
      <c r="K22" s="7">
        <f t="shared" si="2"/>
        <v>0.003589739417750368</v>
      </c>
      <c r="L22" s="7">
        <f t="shared" si="3"/>
        <v>0</v>
      </c>
      <c r="M22" s="53"/>
      <c r="N22" s="58">
        <v>1.6550736838595672</v>
      </c>
      <c r="O22" s="7">
        <f t="shared" si="4"/>
        <v>1.6550736838595672</v>
      </c>
      <c r="P22" s="7">
        <f t="shared" si="5"/>
        <v>0</v>
      </c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</row>
    <row r="23" spans="1:38" s="55" customFormat="1" ht="12.75">
      <c r="A23" s="55" t="s">
        <v>181</v>
      </c>
      <c r="B23" s="55">
        <v>19</v>
      </c>
      <c r="C23" s="55" t="s">
        <v>220</v>
      </c>
      <c r="D23" s="5">
        <v>0.05</v>
      </c>
      <c r="E23" s="53">
        <v>1</v>
      </c>
      <c r="F23" s="58">
        <v>0.007450640262071973</v>
      </c>
      <c r="G23" s="7">
        <f t="shared" si="0"/>
        <v>0.0037253201310359866</v>
      </c>
      <c r="H23" s="7">
        <f t="shared" si="1"/>
        <v>0.00018626600655179934</v>
      </c>
      <c r="I23" s="53">
        <v>1</v>
      </c>
      <c r="J23" s="58">
        <v>0.007179478835500736</v>
      </c>
      <c r="K23" s="7">
        <f t="shared" si="2"/>
        <v>0.003589739417750368</v>
      </c>
      <c r="L23" s="7">
        <f t="shared" si="3"/>
        <v>0.0001794869708875184</v>
      </c>
      <c r="M23" s="53"/>
      <c r="N23" s="58">
        <v>0.029423532157503415</v>
      </c>
      <c r="O23" s="7">
        <f t="shared" si="4"/>
        <v>0.029423532157503415</v>
      </c>
      <c r="P23" s="7">
        <f t="shared" si="5"/>
        <v>0.0014711766078751708</v>
      </c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</row>
    <row r="24" spans="1:38" s="55" customFormat="1" ht="12.75">
      <c r="A24" s="55" t="s">
        <v>181</v>
      </c>
      <c r="B24" s="55">
        <v>20</v>
      </c>
      <c r="C24" s="55" t="s">
        <v>221</v>
      </c>
      <c r="D24" s="5">
        <v>0.5</v>
      </c>
      <c r="E24" s="53">
        <v>1</v>
      </c>
      <c r="F24" s="58">
        <v>0.007450640262071973</v>
      </c>
      <c r="G24" s="7">
        <f t="shared" si="0"/>
        <v>0.0037253201310359866</v>
      </c>
      <c r="H24" s="7">
        <f t="shared" si="1"/>
        <v>0.0018626600655179933</v>
      </c>
      <c r="I24" s="53">
        <v>1</v>
      </c>
      <c r="J24" s="58">
        <v>0.007179478835500736</v>
      </c>
      <c r="K24" s="7">
        <f t="shared" si="2"/>
        <v>0.003589739417750368</v>
      </c>
      <c r="L24" s="7">
        <f t="shared" si="3"/>
        <v>0.001794869708875184</v>
      </c>
      <c r="M24" s="53"/>
      <c r="N24" s="58">
        <v>0.05884706431500683</v>
      </c>
      <c r="O24" s="7">
        <f t="shared" si="4"/>
        <v>0.05884706431500683</v>
      </c>
      <c r="P24" s="7">
        <f t="shared" si="5"/>
        <v>0.029423532157503415</v>
      </c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</row>
    <row r="25" spans="1:38" s="55" customFormat="1" ht="12.75">
      <c r="A25" s="55" t="s">
        <v>181</v>
      </c>
      <c r="B25" s="55">
        <v>21</v>
      </c>
      <c r="C25" s="55" t="s">
        <v>222</v>
      </c>
      <c r="D25" s="5">
        <v>0</v>
      </c>
      <c r="E25" s="53"/>
      <c r="F25" s="58">
        <v>-0.007450640262071973</v>
      </c>
      <c r="G25" s="7">
        <f t="shared" si="0"/>
        <v>-0.007450640262071973</v>
      </c>
      <c r="H25" s="7">
        <f t="shared" si="1"/>
        <v>0</v>
      </c>
      <c r="I25" s="53"/>
      <c r="J25" s="58">
        <v>-0.007179478835500736</v>
      </c>
      <c r="K25" s="7">
        <f t="shared" si="2"/>
        <v>-0.007179478835500736</v>
      </c>
      <c r="L25" s="7">
        <f t="shared" si="3"/>
        <v>0</v>
      </c>
      <c r="M25" s="53"/>
      <c r="N25" s="58">
        <v>0.610538292268196</v>
      </c>
      <c r="O25" s="7">
        <f t="shared" si="4"/>
        <v>0.610538292268196</v>
      </c>
      <c r="P25" s="7">
        <f t="shared" si="5"/>
        <v>0</v>
      </c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</row>
    <row r="26" spans="1:38" s="55" customFormat="1" ht="12.75">
      <c r="A26" s="55" t="s">
        <v>181</v>
      </c>
      <c r="B26" s="55">
        <v>22</v>
      </c>
      <c r="C26" s="55" t="s">
        <v>223</v>
      </c>
      <c r="D26" s="5">
        <v>0</v>
      </c>
      <c r="E26" s="53">
        <v>1</v>
      </c>
      <c r="F26" s="58">
        <v>0.007450640262071973</v>
      </c>
      <c r="G26" s="7">
        <f t="shared" si="0"/>
        <v>0.0037253201310359866</v>
      </c>
      <c r="H26" s="7">
        <f t="shared" si="1"/>
        <v>0</v>
      </c>
      <c r="I26" s="53">
        <v>1</v>
      </c>
      <c r="J26" s="58">
        <v>0.007179478835500736</v>
      </c>
      <c r="K26" s="7">
        <f t="shared" si="2"/>
        <v>0.003589739417750368</v>
      </c>
      <c r="L26" s="7">
        <f t="shared" si="3"/>
        <v>0</v>
      </c>
      <c r="M26" s="53"/>
      <c r="N26" s="58">
        <v>0.6988088887407062</v>
      </c>
      <c r="O26" s="7">
        <f t="shared" si="4"/>
        <v>0.6988088887407062</v>
      </c>
      <c r="P26" s="7">
        <f t="shared" si="5"/>
        <v>0</v>
      </c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</row>
    <row r="27" spans="1:38" s="55" customFormat="1" ht="12.75">
      <c r="A27" s="55" t="s">
        <v>181</v>
      </c>
      <c r="B27" s="55">
        <v>23</v>
      </c>
      <c r="C27" s="55" t="s">
        <v>224</v>
      </c>
      <c r="D27" s="5">
        <v>0.1</v>
      </c>
      <c r="E27" s="53">
        <v>1</v>
      </c>
      <c r="F27" s="58">
        <v>0.007450640262071973</v>
      </c>
      <c r="G27" s="7">
        <f t="shared" si="0"/>
        <v>0.0037253201310359866</v>
      </c>
      <c r="H27" s="7">
        <f t="shared" si="1"/>
        <v>0.0003725320131035987</v>
      </c>
      <c r="I27" s="53"/>
      <c r="J27" s="58">
        <v>0.007179478835500736</v>
      </c>
      <c r="K27" s="7">
        <f t="shared" si="2"/>
        <v>0.007179478835500736</v>
      </c>
      <c r="L27" s="7">
        <f t="shared" si="3"/>
        <v>0.0007179478835500736</v>
      </c>
      <c r="M27" s="53"/>
      <c r="N27" s="58">
        <v>0.051491181275631</v>
      </c>
      <c r="O27" s="7">
        <f t="shared" si="4"/>
        <v>0.051491181275631</v>
      </c>
      <c r="P27" s="7">
        <f t="shared" si="5"/>
        <v>0.0051491181275631</v>
      </c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</row>
    <row r="28" spans="1:38" s="55" customFormat="1" ht="12.75">
      <c r="A28" s="55" t="s">
        <v>181</v>
      </c>
      <c r="B28" s="55">
        <v>24</v>
      </c>
      <c r="C28" s="55" t="s">
        <v>225</v>
      </c>
      <c r="D28" s="5">
        <v>0.1</v>
      </c>
      <c r="E28" s="53">
        <v>1</v>
      </c>
      <c r="F28" s="58">
        <v>0.007450640262071973</v>
      </c>
      <c r="G28" s="7">
        <f t="shared" si="0"/>
        <v>0.0037253201310359866</v>
      </c>
      <c r="H28" s="7">
        <f t="shared" si="1"/>
        <v>0.0003725320131035987</v>
      </c>
      <c r="I28" s="53"/>
      <c r="J28" s="58">
        <v>0.0028717915342003</v>
      </c>
      <c r="K28" s="7">
        <f t="shared" si="2"/>
        <v>0.0028717915342003</v>
      </c>
      <c r="L28" s="7">
        <f t="shared" si="3"/>
        <v>0.00028717915342003</v>
      </c>
      <c r="M28" s="53"/>
      <c r="N28" s="58">
        <v>0.018389707598439636</v>
      </c>
      <c r="O28" s="7">
        <f t="shared" si="4"/>
        <v>0.018389707598439636</v>
      </c>
      <c r="P28" s="7">
        <f t="shared" si="5"/>
        <v>0.0018389707598439637</v>
      </c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</row>
    <row r="29" spans="1:38" s="55" customFormat="1" ht="12.75">
      <c r="A29" s="55" t="s">
        <v>181</v>
      </c>
      <c r="B29" s="55">
        <v>25</v>
      </c>
      <c r="C29" s="55" t="s">
        <v>226</v>
      </c>
      <c r="D29" s="5">
        <v>0.1</v>
      </c>
      <c r="E29" s="53">
        <v>1</v>
      </c>
      <c r="F29" s="58">
        <v>0.007450640262071973</v>
      </c>
      <c r="G29" s="7">
        <f t="shared" si="0"/>
        <v>0.0037253201310359866</v>
      </c>
      <c r="H29" s="7">
        <f t="shared" si="1"/>
        <v>0.0003725320131035987</v>
      </c>
      <c r="I29" s="53">
        <v>1</v>
      </c>
      <c r="J29" s="58">
        <v>0.007179478835500736</v>
      </c>
      <c r="K29" s="7">
        <f t="shared" si="2"/>
        <v>0.003589739417750368</v>
      </c>
      <c r="L29" s="7">
        <f t="shared" si="3"/>
        <v>0.0003589739417750368</v>
      </c>
      <c r="M29" s="53">
        <v>1</v>
      </c>
      <c r="N29" s="58">
        <v>0.007355883039375854</v>
      </c>
      <c r="O29" s="7">
        <f t="shared" si="4"/>
        <v>0.003677941519687927</v>
      </c>
      <c r="P29" s="7">
        <f t="shared" si="5"/>
        <v>0.0003677941519687927</v>
      </c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</row>
    <row r="30" spans="1:38" s="55" customFormat="1" ht="12.75">
      <c r="A30" s="55" t="s">
        <v>181</v>
      </c>
      <c r="B30" s="55">
        <v>26</v>
      </c>
      <c r="C30" s="55" t="s">
        <v>227</v>
      </c>
      <c r="D30" s="5">
        <v>0.1</v>
      </c>
      <c r="E30" s="53"/>
      <c r="F30" s="58">
        <v>0.0037253201310359866</v>
      </c>
      <c r="G30" s="7">
        <f t="shared" si="0"/>
        <v>0.0037253201310359866</v>
      </c>
      <c r="H30" s="7">
        <f t="shared" si="1"/>
        <v>0.0003725320131035987</v>
      </c>
      <c r="I30" s="53"/>
      <c r="J30" s="58">
        <v>0.003589739417750368</v>
      </c>
      <c r="K30" s="7">
        <f t="shared" si="2"/>
        <v>0.003589739417750368</v>
      </c>
      <c r="L30" s="7">
        <f t="shared" si="3"/>
        <v>0.0003589739417750368</v>
      </c>
      <c r="M30" s="53"/>
      <c r="N30" s="58">
        <v>0.022067649118127565</v>
      </c>
      <c r="O30" s="7">
        <f t="shared" si="4"/>
        <v>0.022067649118127565</v>
      </c>
      <c r="P30" s="7">
        <f t="shared" si="5"/>
        <v>0.0022067649118127568</v>
      </c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</row>
    <row r="31" spans="1:38" s="55" customFormat="1" ht="12.75">
      <c r="A31" s="55" t="s">
        <v>181</v>
      </c>
      <c r="B31" s="55">
        <v>27</v>
      </c>
      <c r="C31" s="55" t="s">
        <v>228</v>
      </c>
      <c r="D31" s="5">
        <v>0</v>
      </c>
      <c r="E31" s="53"/>
      <c r="F31" s="58">
        <v>-0.022351920786216</v>
      </c>
      <c r="G31" s="7">
        <f t="shared" si="0"/>
        <v>-0.022351920786216</v>
      </c>
      <c r="H31" s="7">
        <f t="shared" si="1"/>
        <v>0</v>
      </c>
      <c r="I31" s="53"/>
      <c r="J31" s="58">
        <v>-0.006461530951950662</v>
      </c>
      <c r="K31" s="7">
        <f t="shared" si="2"/>
        <v>-0.006461530951950662</v>
      </c>
      <c r="L31" s="7">
        <f t="shared" si="3"/>
        <v>0</v>
      </c>
      <c r="M31" s="53"/>
      <c r="N31" s="58">
        <v>0.06988088887407062</v>
      </c>
      <c r="O31" s="7">
        <f t="shared" si="4"/>
        <v>0.06988088887407062</v>
      </c>
      <c r="P31" s="7">
        <f t="shared" si="5"/>
        <v>0</v>
      </c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</row>
    <row r="32" spans="1:38" s="55" customFormat="1" ht="12.75">
      <c r="A32" s="55" t="s">
        <v>181</v>
      </c>
      <c r="B32" s="55">
        <v>28</v>
      </c>
      <c r="C32" s="55" t="s">
        <v>229</v>
      </c>
      <c r="D32" s="5">
        <v>0</v>
      </c>
      <c r="E32" s="53"/>
      <c r="F32" s="58">
        <v>0.0037253201310359866</v>
      </c>
      <c r="G32" s="7">
        <f t="shared" si="0"/>
        <v>0.0037253201310359866</v>
      </c>
      <c r="H32" s="7">
        <f t="shared" si="1"/>
        <v>0</v>
      </c>
      <c r="I32" s="53"/>
      <c r="J32" s="58">
        <v>0.014358957671001472</v>
      </c>
      <c r="K32" s="7">
        <f t="shared" si="2"/>
        <v>0.014358957671001472</v>
      </c>
      <c r="L32" s="7">
        <f t="shared" si="3"/>
        <v>0</v>
      </c>
      <c r="M32" s="53"/>
      <c r="N32" s="58">
        <v>0.16918530990564465</v>
      </c>
      <c r="O32" s="7">
        <f t="shared" si="4"/>
        <v>0.16918530990564465</v>
      </c>
      <c r="P32" s="7">
        <f t="shared" si="5"/>
        <v>0</v>
      </c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</row>
    <row r="33" spans="1:38" s="55" customFormat="1" ht="12.75">
      <c r="A33" s="55" t="s">
        <v>181</v>
      </c>
      <c r="B33" s="55">
        <v>29</v>
      </c>
      <c r="C33" s="55" t="s">
        <v>230</v>
      </c>
      <c r="D33" s="5">
        <v>0.01</v>
      </c>
      <c r="E33" s="53"/>
      <c r="F33" s="58">
        <v>0.011175960393108</v>
      </c>
      <c r="G33" s="7">
        <f t="shared" si="0"/>
        <v>0.011175960393108</v>
      </c>
      <c r="H33" s="7">
        <f t="shared" si="1"/>
        <v>0.00011175960393108</v>
      </c>
      <c r="I33" s="53"/>
      <c r="J33" s="58">
        <v>0.007179478835500736</v>
      </c>
      <c r="K33" s="7">
        <f t="shared" si="2"/>
        <v>0.007179478835500736</v>
      </c>
      <c r="L33" s="7">
        <f t="shared" si="3"/>
        <v>7.179478835500736E-05</v>
      </c>
      <c r="M33" s="53"/>
      <c r="N33" s="58">
        <v>0.022067649118127565</v>
      </c>
      <c r="O33" s="7">
        <f t="shared" si="4"/>
        <v>0.022067649118127565</v>
      </c>
      <c r="P33" s="7">
        <f t="shared" si="5"/>
        <v>0.00022067649118127566</v>
      </c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</row>
    <row r="34" spans="1:38" s="55" customFormat="1" ht="12.75">
      <c r="A34" s="55" t="s">
        <v>181</v>
      </c>
      <c r="B34" s="55">
        <v>30</v>
      </c>
      <c r="C34" s="55" t="s">
        <v>231</v>
      </c>
      <c r="D34" s="5">
        <v>0.01</v>
      </c>
      <c r="E34" s="53">
        <v>1</v>
      </c>
      <c r="F34" s="58">
        <v>0.011175960393108</v>
      </c>
      <c r="G34" s="7">
        <f t="shared" si="0"/>
        <v>0.005587980196554</v>
      </c>
      <c r="H34" s="7">
        <f t="shared" si="1"/>
        <v>5.587980196554E-05</v>
      </c>
      <c r="I34" s="53">
        <v>1</v>
      </c>
      <c r="J34" s="58">
        <v>0.010769218253251103</v>
      </c>
      <c r="K34" s="7">
        <f t="shared" si="2"/>
        <v>0.0053846091266255515</v>
      </c>
      <c r="L34" s="7">
        <f t="shared" si="3"/>
        <v>5.384609126625552E-05</v>
      </c>
      <c r="M34" s="53">
        <v>1</v>
      </c>
      <c r="N34" s="58">
        <v>0.007355883039375854</v>
      </c>
      <c r="O34" s="7">
        <f t="shared" si="4"/>
        <v>0.003677941519687927</v>
      </c>
      <c r="P34" s="7">
        <f t="shared" si="5"/>
        <v>3.677941519687927E-05</v>
      </c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</row>
    <row r="35" spans="1:38" s="55" customFormat="1" ht="12.75">
      <c r="A35" s="55" t="s">
        <v>181</v>
      </c>
      <c r="B35" s="55">
        <v>31</v>
      </c>
      <c r="C35" s="55" t="s">
        <v>232</v>
      </c>
      <c r="D35" s="5">
        <v>0</v>
      </c>
      <c r="E35" s="53"/>
      <c r="F35" s="58">
        <v>-0.011175960393108</v>
      </c>
      <c r="G35" s="7">
        <f t="shared" si="0"/>
        <v>-0.011175960393108</v>
      </c>
      <c r="H35" s="7">
        <f t="shared" si="1"/>
        <v>0</v>
      </c>
      <c r="I35" s="53"/>
      <c r="J35" s="58">
        <v>-0.010769218253251</v>
      </c>
      <c r="K35" s="7">
        <f t="shared" si="2"/>
        <v>-0.010769218253251</v>
      </c>
      <c r="L35" s="7">
        <f t="shared" si="3"/>
        <v>0</v>
      </c>
      <c r="M35" s="53"/>
      <c r="N35" s="58">
        <v>-0.022067649118127565</v>
      </c>
      <c r="O35" s="7">
        <f t="shared" si="4"/>
        <v>-0.022067649118127565</v>
      </c>
      <c r="P35" s="7">
        <f t="shared" si="5"/>
        <v>0</v>
      </c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</row>
    <row r="36" spans="1:38" s="55" customFormat="1" ht="12.75">
      <c r="A36" s="55" t="s">
        <v>181</v>
      </c>
      <c r="B36" s="55">
        <v>32</v>
      </c>
      <c r="C36" s="55" t="s">
        <v>233</v>
      </c>
      <c r="D36" s="5">
        <v>0</v>
      </c>
      <c r="E36" s="53"/>
      <c r="F36" s="58">
        <v>0.011175960393108</v>
      </c>
      <c r="G36" s="7">
        <f t="shared" si="0"/>
        <v>0.011175960393108</v>
      </c>
      <c r="H36" s="7">
        <f t="shared" si="1"/>
        <v>0</v>
      </c>
      <c r="I36" s="53"/>
      <c r="J36" s="58">
        <v>0.007179478835500736</v>
      </c>
      <c r="K36" s="7">
        <f t="shared" si="2"/>
        <v>0.007179478835500736</v>
      </c>
      <c r="L36" s="7">
        <f t="shared" si="3"/>
        <v>0</v>
      </c>
      <c r="M36" s="53"/>
      <c r="N36" s="58">
        <v>0.007355883039375854</v>
      </c>
      <c r="O36" s="7">
        <f t="shared" si="4"/>
        <v>0.007355883039375854</v>
      </c>
      <c r="P36" s="7">
        <f t="shared" si="5"/>
        <v>0</v>
      </c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</row>
    <row r="37" spans="1:38" s="55" customFormat="1" ht="12.75">
      <c r="A37" s="55" t="s">
        <v>181</v>
      </c>
      <c r="B37" s="55">
        <v>33</v>
      </c>
      <c r="C37" s="55" t="s">
        <v>234</v>
      </c>
      <c r="D37" s="5">
        <v>0.001</v>
      </c>
      <c r="E37" s="53">
        <v>1</v>
      </c>
      <c r="F37" s="58">
        <v>0.014901280524144</v>
      </c>
      <c r="G37" s="7">
        <f t="shared" si="0"/>
        <v>0.007450640262072</v>
      </c>
      <c r="H37" s="7">
        <f t="shared" si="1"/>
        <v>7.450640262072E-06</v>
      </c>
      <c r="I37" s="53">
        <v>1</v>
      </c>
      <c r="J37" s="58">
        <v>0.014358957671001472</v>
      </c>
      <c r="K37" s="7">
        <f t="shared" si="2"/>
        <v>0.007179478835500736</v>
      </c>
      <c r="L37" s="7">
        <f t="shared" si="3"/>
        <v>7.179478835500736E-06</v>
      </c>
      <c r="M37" s="53">
        <v>1</v>
      </c>
      <c r="N37" s="58">
        <v>0.011033824559063782</v>
      </c>
      <c r="O37" s="7">
        <f t="shared" si="4"/>
        <v>0.005516912279531891</v>
      </c>
      <c r="P37" s="7">
        <f t="shared" si="5"/>
        <v>5.516912279531892E-06</v>
      </c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</row>
    <row r="38" spans="1:38" s="55" customFormat="1" ht="12.75">
      <c r="A38" s="55" t="s">
        <v>181</v>
      </c>
      <c r="B38" s="55">
        <v>34</v>
      </c>
      <c r="C38" s="55" t="s">
        <v>235</v>
      </c>
      <c r="D38" s="53"/>
      <c r="E38" s="53"/>
      <c r="F38" s="58">
        <v>0.40605989428292255</v>
      </c>
      <c r="G38" s="58">
        <f>G37+G36+G32+G26+G22+G19+G18+G15+G10+G7</f>
        <v>0.39488393388981524</v>
      </c>
      <c r="H38" s="58"/>
      <c r="I38" s="53"/>
      <c r="J38" s="58">
        <v>0.25128175924252577</v>
      </c>
      <c r="K38" s="58">
        <f>K37+K36+K32+K26+K22+K19+K18+K15+K10+K7</f>
        <v>0.24051254098927466</v>
      </c>
      <c r="L38" s="58"/>
      <c r="M38" s="53"/>
      <c r="N38" s="58">
        <v>3.72575475944387</v>
      </c>
      <c r="O38" s="58">
        <f>O37+O36+O32+O26+O22+O19+O18+O15+O10+O7</f>
        <v>3.7202378471643383</v>
      </c>
      <c r="P38" s="58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</row>
    <row r="39" spans="1:38" s="55" customFormat="1" ht="12.75">
      <c r="A39" s="55" t="s">
        <v>181</v>
      </c>
      <c r="B39" s="55">
        <v>35</v>
      </c>
      <c r="C39" s="55" t="s">
        <v>32</v>
      </c>
      <c r="D39" s="53"/>
      <c r="E39" s="64">
        <f>(F39-H39)*2/F39*100</f>
        <v>30.963616988886926</v>
      </c>
      <c r="F39" s="58">
        <v>0.0244716279407754</v>
      </c>
      <c r="G39" s="58"/>
      <c r="H39" s="58">
        <f>SUM(H5:H37)</f>
        <v>0.020682977367511835</v>
      </c>
      <c r="I39" s="64">
        <f>(J39-L39)*2/J39*100</f>
        <v>81.08486439195102</v>
      </c>
      <c r="J39" s="58">
        <v>0.020515360772443356</v>
      </c>
      <c r="K39" s="58"/>
      <c r="L39" s="58">
        <f>SUM(L5:L37)</f>
        <v>0.012197934541515751</v>
      </c>
      <c r="M39" s="64">
        <f>(N39-P39)*2/N39*100</f>
        <v>0.92236423046695</v>
      </c>
      <c r="N39" s="58">
        <v>0.088921592121495</v>
      </c>
      <c r="O39" s="58"/>
      <c r="P39" s="58">
        <f>SUM(P5:P37)</f>
        <v>0.08851150164204981</v>
      </c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</row>
  </sheetData>
  <mergeCells count="3">
    <mergeCell ref="F1:H1"/>
    <mergeCell ref="J1:L1"/>
    <mergeCell ref="N1:P1"/>
  </mergeCells>
  <printOptions headings="1" horizontalCentered="1"/>
  <pageMargins left="0.25" right="0.25" top="0.5" bottom="0.5" header="0.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C30"/>
  <sheetViews>
    <sheetView workbookViewId="0" topLeftCell="B1">
      <selection activeCell="C1" sqref="C1"/>
    </sheetView>
  </sheetViews>
  <sheetFormatPr defaultColWidth="9.140625" defaultRowHeight="12.75"/>
  <cols>
    <col min="1" max="1" width="3.7109375" style="16" hidden="1" customWidth="1"/>
    <col min="2" max="2" width="33.7109375" style="16" customWidth="1"/>
    <col min="3" max="3" width="59.57421875" style="16" customWidth="1"/>
    <col min="4" max="16384" width="8.8515625" style="16" customWidth="1"/>
  </cols>
  <sheetData>
    <row r="1" ht="12.75">
      <c r="B1" s="2" t="s">
        <v>89</v>
      </c>
    </row>
    <row r="3" spans="2:3" ht="12.75">
      <c r="B3" s="16" t="s">
        <v>113</v>
      </c>
      <c r="C3" s="25">
        <v>208</v>
      </c>
    </row>
    <row r="4" spans="2:3" ht="12.75">
      <c r="B4" s="16" t="s">
        <v>0</v>
      </c>
      <c r="C4" s="16" t="s">
        <v>168</v>
      </c>
    </row>
    <row r="5" spans="2:3" ht="12.75">
      <c r="B5" s="16" t="s">
        <v>1</v>
      </c>
      <c r="C5" s="16" t="s">
        <v>143</v>
      </c>
    </row>
    <row r="6" ht="12.75">
      <c r="B6" s="16" t="s">
        <v>2</v>
      </c>
    </row>
    <row r="7" spans="2:3" ht="12.75">
      <c r="B7" s="16" t="s">
        <v>3</v>
      </c>
      <c r="C7" s="16" t="s">
        <v>144</v>
      </c>
    </row>
    <row r="8" spans="2:3" ht="12.75">
      <c r="B8" s="16" t="s">
        <v>4</v>
      </c>
      <c r="C8" s="16" t="s">
        <v>145</v>
      </c>
    </row>
    <row r="9" spans="2:3" ht="12.75">
      <c r="B9" s="16" t="s">
        <v>5</v>
      </c>
      <c r="C9" s="16" t="s">
        <v>150</v>
      </c>
    </row>
    <row r="10" ht="12.75">
      <c r="B10" s="16" t="s">
        <v>6</v>
      </c>
    </row>
    <row r="11" spans="2:3" ht="12.75">
      <c r="B11" s="16" t="s">
        <v>261</v>
      </c>
      <c r="C11" s="25">
        <v>0</v>
      </c>
    </row>
    <row r="12" spans="2:3" ht="12.75">
      <c r="B12" s="16" t="s">
        <v>241</v>
      </c>
      <c r="C12" s="16" t="s">
        <v>275</v>
      </c>
    </row>
    <row r="13" spans="2:3" ht="12.75">
      <c r="B13" s="16" t="s">
        <v>240</v>
      </c>
      <c r="C13" s="16" t="s">
        <v>114</v>
      </c>
    </row>
    <row r="14" ht="12.75">
      <c r="B14" s="16" t="s">
        <v>62</v>
      </c>
    </row>
    <row r="15" spans="2:3" ht="12.75">
      <c r="B15" s="16" t="s">
        <v>82</v>
      </c>
      <c r="C15" s="25"/>
    </row>
    <row r="16" spans="2:3" ht="12.75">
      <c r="B16" s="16" t="s">
        <v>262</v>
      </c>
      <c r="C16" s="16" t="s">
        <v>115</v>
      </c>
    </row>
    <row r="17" spans="2:3" ht="12.75">
      <c r="B17" s="16" t="s">
        <v>263</v>
      </c>
      <c r="C17" s="16" t="s">
        <v>115</v>
      </c>
    </row>
    <row r="18" spans="2:3" ht="12.75">
      <c r="B18" s="16" t="s">
        <v>7</v>
      </c>
      <c r="C18" s="16" t="s">
        <v>244</v>
      </c>
    </row>
    <row r="19" spans="2:3" ht="12.75">
      <c r="B19" s="16" t="s">
        <v>90</v>
      </c>
      <c r="C19" s="16" t="s">
        <v>148</v>
      </c>
    </row>
    <row r="20" s="41" customFormat="1" ht="12.75">
      <c r="B20" s="41" t="s">
        <v>85</v>
      </c>
    </row>
    <row r="21" spans="2:3" ht="12.75">
      <c r="B21" s="16" t="s">
        <v>84</v>
      </c>
      <c r="C21" s="16" t="s">
        <v>123</v>
      </c>
    </row>
    <row r="22" ht="12.75" customHeight="1"/>
    <row r="23" ht="12.75">
      <c r="B23" s="16" t="s">
        <v>8</v>
      </c>
    </row>
    <row r="24" spans="2:3" ht="12.75">
      <c r="B24" s="16" t="s">
        <v>9</v>
      </c>
      <c r="C24" s="26">
        <v>12.582719296620734</v>
      </c>
    </row>
    <row r="25" spans="2:3" ht="12.75">
      <c r="B25" s="16" t="s">
        <v>10</v>
      </c>
      <c r="C25" s="26">
        <v>189.99072845242782</v>
      </c>
    </row>
    <row r="26" spans="2:3" ht="12.75">
      <c r="B26" s="16" t="s">
        <v>86</v>
      </c>
      <c r="C26" s="26">
        <v>11.640684859770952</v>
      </c>
    </row>
    <row r="27" spans="2:3" ht="12.75">
      <c r="B27" s="16" t="s">
        <v>87</v>
      </c>
      <c r="C27" s="26">
        <v>304.46666666666664</v>
      </c>
    </row>
    <row r="28" ht="12.75" customHeight="1"/>
    <row r="29" spans="2:3" ht="12.75">
      <c r="B29" s="16" t="s">
        <v>11</v>
      </c>
      <c r="C29" s="16" t="s">
        <v>147</v>
      </c>
    </row>
    <row r="30" spans="2:3" ht="12.75">
      <c r="B30" s="16" t="s">
        <v>112</v>
      </c>
      <c r="C30" s="16" t="s">
        <v>116</v>
      </c>
    </row>
    <row r="31" ht="12.75" customHeight="1"/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B1">
      <selection activeCell="C1" sqref="C1"/>
    </sheetView>
  </sheetViews>
  <sheetFormatPr defaultColWidth="9.140625" defaultRowHeight="12.75"/>
  <cols>
    <col min="1" max="1" width="3.8515625" style="0" hidden="1" customWidth="1"/>
    <col min="2" max="2" width="21.421875" style="0" customWidth="1"/>
    <col min="3" max="3" width="74.28125" style="22" customWidth="1"/>
  </cols>
  <sheetData>
    <row r="1" ht="12.75">
      <c r="B1" s="2" t="s">
        <v>236</v>
      </c>
    </row>
    <row r="3" spans="1:3" s="16" customFormat="1" ht="12.75">
      <c r="A3" s="16">
        <v>10</v>
      </c>
      <c r="B3" s="2" t="s">
        <v>152</v>
      </c>
      <c r="C3"/>
    </row>
    <row r="4" spans="2:3" s="16" customFormat="1" ht="12.75">
      <c r="B4" s="2"/>
      <c r="C4"/>
    </row>
    <row r="5" spans="2:3" s="41" customFormat="1" ht="25.5">
      <c r="B5" s="41" t="s">
        <v>169</v>
      </c>
      <c r="C5" s="47" t="s">
        <v>151</v>
      </c>
    </row>
    <row r="6" spans="2:3" s="16" customFormat="1" ht="12.75">
      <c r="B6" s="16" t="s">
        <v>170</v>
      </c>
      <c r="C6" t="s">
        <v>146</v>
      </c>
    </row>
    <row r="7" spans="2:3" s="16" customFormat="1" ht="12.75">
      <c r="B7" s="16" t="s">
        <v>171</v>
      </c>
      <c r="C7" t="s">
        <v>146</v>
      </c>
    </row>
    <row r="8" spans="2:3" s="16" customFormat="1" ht="12.75">
      <c r="B8" s="16" t="s">
        <v>172</v>
      </c>
      <c r="C8" s="61">
        <v>36061</v>
      </c>
    </row>
    <row r="9" spans="2:3" s="16" customFormat="1" ht="12.75">
      <c r="B9" s="16" t="s">
        <v>259</v>
      </c>
      <c r="C9" s="62">
        <v>36039</v>
      </c>
    </row>
    <row r="10" spans="2:3" s="16" customFormat="1" ht="12.75">
      <c r="B10" s="16" t="s">
        <v>173</v>
      </c>
      <c r="C10" t="s">
        <v>149</v>
      </c>
    </row>
    <row r="11" spans="2:3" s="16" customFormat="1" ht="12.75">
      <c r="B11" s="16" t="s">
        <v>174</v>
      </c>
      <c r="C11" t="s">
        <v>297</v>
      </c>
    </row>
    <row r="12" s="16" customFormat="1" ht="12.75">
      <c r="C12"/>
    </row>
    <row r="13" spans="1:3" s="16" customFormat="1" ht="12.75">
      <c r="A13" s="16">
        <v>11</v>
      </c>
      <c r="B13" s="2" t="s">
        <v>153</v>
      </c>
      <c r="C13"/>
    </row>
    <row r="14" spans="2:3" s="16" customFormat="1" ht="12.75">
      <c r="B14" s="2"/>
      <c r="C14"/>
    </row>
    <row r="15" spans="2:3" s="41" customFormat="1" ht="25.5">
      <c r="B15" s="41" t="s">
        <v>169</v>
      </c>
      <c r="C15" s="47" t="s">
        <v>158</v>
      </c>
    </row>
    <row r="16" spans="2:3" s="16" customFormat="1" ht="12.75">
      <c r="B16" s="16" t="s">
        <v>170</v>
      </c>
      <c r="C16" t="s">
        <v>146</v>
      </c>
    </row>
    <row r="17" spans="2:3" s="16" customFormat="1" ht="12.75">
      <c r="B17" s="16" t="s">
        <v>171</v>
      </c>
      <c r="C17" t="s">
        <v>146</v>
      </c>
    </row>
    <row r="18" spans="2:3" s="16" customFormat="1" ht="12.75">
      <c r="B18" s="16" t="s">
        <v>172</v>
      </c>
      <c r="C18" t="s">
        <v>260</v>
      </c>
    </row>
    <row r="19" spans="2:3" s="16" customFormat="1" ht="12.75">
      <c r="B19" s="16" t="s">
        <v>259</v>
      </c>
      <c r="C19" s="62">
        <v>36495</v>
      </c>
    </row>
    <row r="20" spans="2:3" s="16" customFormat="1" ht="12.75">
      <c r="B20" s="16" t="s">
        <v>173</v>
      </c>
      <c r="C20" t="s">
        <v>159</v>
      </c>
    </row>
    <row r="21" spans="2:3" s="16" customFormat="1" ht="12.75">
      <c r="B21" s="16" t="s">
        <v>174</v>
      </c>
      <c r="C21" t="s">
        <v>298</v>
      </c>
    </row>
    <row r="23" ht="12.75">
      <c r="B23" s="2" t="s">
        <v>175</v>
      </c>
    </row>
    <row r="25" spans="2:3" ht="25.5">
      <c r="B25" s="49" t="s">
        <v>169</v>
      </c>
      <c r="C25" s="50" t="s">
        <v>176</v>
      </c>
    </row>
    <row r="26" spans="2:3" ht="12.75">
      <c r="B26" t="s">
        <v>170</v>
      </c>
      <c r="C26" s="22" t="s">
        <v>143</v>
      </c>
    </row>
    <row r="27" spans="2:3" ht="12.75">
      <c r="B27" t="s">
        <v>171</v>
      </c>
      <c r="C27" s="22" t="s">
        <v>237</v>
      </c>
    </row>
    <row r="28" spans="1:3" ht="12.75">
      <c r="A28" t="s">
        <v>175</v>
      </c>
      <c r="B28" t="s">
        <v>177</v>
      </c>
      <c r="C28" s="22" t="s">
        <v>178</v>
      </c>
    </row>
    <row r="29" spans="2:3" ht="12.75">
      <c r="B29" s="16" t="s">
        <v>172</v>
      </c>
      <c r="C29" s="22" t="s">
        <v>238</v>
      </c>
    </row>
    <row r="30" spans="2:3" ht="12.75">
      <c r="B30" s="16" t="s">
        <v>259</v>
      </c>
      <c r="C30" s="62">
        <v>33786</v>
      </c>
    </row>
    <row r="32" ht="12.75">
      <c r="B32" s="2" t="s">
        <v>179</v>
      </c>
    </row>
    <row r="34" spans="2:3" ht="25.5">
      <c r="B34" s="49" t="s">
        <v>169</v>
      </c>
      <c r="C34" s="50" t="s">
        <v>176</v>
      </c>
    </row>
    <row r="35" spans="2:3" ht="12.75">
      <c r="B35" t="s">
        <v>170</v>
      </c>
      <c r="C35" s="22" t="s">
        <v>143</v>
      </c>
    </row>
    <row r="36" spans="2:3" ht="12.75">
      <c r="B36" t="s">
        <v>171</v>
      </c>
      <c r="C36" s="22" t="s">
        <v>237</v>
      </c>
    </row>
    <row r="37" spans="1:3" ht="12.75">
      <c r="A37" t="s">
        <v>179</v>
      </c>
      <c r="B37" t="s">
        <v>177</v>
      </c>
      <c r="C37" s="22" t="s">
        <v>180</v>
      </c>
    </row>
    <row r="38" spans="2:3" ht="12.75">
      <c r="B38" s="16" t="s">
        <v>172</v>
      </c>
      <c r="C38" s="22" t="s">
        <v>239</v>
      </c>
    </row>
    <row r="39" spans="2:3" ht="12.75">
      <c r="B39" s="16" t="s">
        <v>259</v>
      </c>
      <c r="C39" s="62">
        <v>33786</v>
      </c>
    </row>
    <row r="40" ht="12.75">
      <c r="C40" s="51"/>
    </row>
    <row r="41" ht="12.75">
      <c r="B41" s="2" t="s">
        <v>181</v>
      </c>
    </row>
    <row r="43" spans="2:3" ht="38.25">
      <c r="B43" s="49" t="s">
        <v>169</v>
      </c>
      <c r="C43" s="50" t="s">
        <v>182</v>
      </c>
    </row>
    <row r="44" spans="2:3" ht="12.75">
      <c r="B44" t="s">
        <v>170</v>
      </c>
      <c r="C44" s="22" t="s">
        <v>183</v>
      </c>
    </row>
    <row r="45" spans="2:3" ht="12.75">
      <c r="B45" t="s">
        <v>171</v>
      </c>
      <c r="C45" s="22" t="s">
        <v>183</v>
      </c>
    </row>
    <row r="46" spans="2:3" ht="12.75">
      <c r="B46" t="s">
        <v>177</v>
      </c>
      <c r="C46" s="22" t="s">
        <v>184</v>
      </c>
    </row>
    <row r="47" spans="1:3" ht="12.75">
      <c r="A47" t="s">
        <v>181</v>
      </c>
      <c r="B47" s="16" t="s">
        <v>172</v>
      </c>
      <c r="C47" s="22" t="s">
        <v>185</v>
      </c>
    </row>
    <row r="48" spans="2:3" ht="12.75">
      <c r="B48" s="16" t="s">
        <v>259</v>
      </c>
      <c r="C48" s="62">
        <v>35339</v>
      </c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06"/>
  <sheetViews>
    <sheetView workbookViewId="0" topLeftCell="B42">
      <selection activeCell="G56" sqref="G56"/>
    </sheetView>
  </sheetViews>
  <sheetFormatPr defaultColWidth="9.140625" defaultRowHeight="12.75"/>
  <cols>
    <col min="1" max="1" width="2.28125" style="30" hidden="1" customWidth="1"/>
    <col min="2" max="2" width="21.28125" style="30" customWidth="1"/>
    <col min="3" max="3" width="12.8515625" style="30" customWidth="1"/>
    <col min="4" max="4" width="8.8515625" style="28" customWidth="1"/>
    <col min="5" max="5" width="5.421875" style="28" customWidth="1"/>
    <col min="6" max="6" width="3.28125" style="29" customWidth="1"/>
    <col min="7" max="7" width="8.8515625" style="30" customWidth="1"/>
    <col min="8" max="8" width="3.8515625" style="29" customWidth="1"/>
    <col min="9" max="9" width="8.8515625" style="30" customWidth="1"/>
    <col min="10" max="10" width="3.28125" style="29" customWidth="1"/>
    <col min="11" max="11" width="10.00390625" style="30" customWidth="1"/>
    <col min="12" max="12" width="2.8515625" style="29" customWidth="1"/>
    <col min="13" max="13" width="9.8515625" style="30" customWidth="1"/>
    <col min="14" max="14" width="3.7109375" style="29" customWidth="1"/>
    <col min="15" max="15" width="10.7109375" style="30" customWidth="1"/>
    <col min="16" max="16384" width="8.8515625" style="30" customWidth="1"/>
  </cols>
  <sheetData>
    <row r="1" spans="2:3" ht="12.75">
      <c r="B1" s="27" t="s">
        <v>242</v>
      </c>
      <c r="C1" s="27"/>
    </row>
    <row r="2" spans="2:13" ht="12.75">
      <c r="B2" s="29"/>
      <c r="C2" s="29"/>
      <c r="G2" s="29"/>
      <c r="I2" s="29"/>
      <c r="K2" s="29"/>
      <c r="M2" s="29"/>
    </row>
    <row r="3" spans="2:5" ht="12.75">
      <c r="B3" s="16"/>
      <c r="C3" s="16" t="s">
        <v>93</v>
      </c>
      <c r="D3" s="28" t="s">
        <v>12</v>
      </c>
      <c r="E3" s="28" t="s">
        <v>71</v>
      </c>
    </row>
    <row r="4" spans="2:13" ht="12.75">
      <c r="B4" s="16"/>
      <c r="C4" s="16"/>
      <c r="G4" s="29"/>
      <c r="I4" s="29"/>
      <c r="K4" s="29"/>
      <c r="M4" s="29"/>
    </row>
    <row r="5" spans="2:13" ht="12.75">
      <c r="B5" s="16"/>
      <c r="C5" s="16"/>
      <c r="G5" s="29"/>
      <c r="I5" s="29"/>
      <c r="K5" s="29"/>
      <c r="M5" s="29"/>
    </row>
    <row r="6" spans="1:15" ht="12.75">
      <c r="A6" s="30">
        <v>10</v>
      </c>
      <c r="B6" s="31" t="s">
        <v>152</v>
      </c>
      <c r="C6" s="28" t="s">
        <v>117</v>
      </c>
      <c r="G6" s="29" t="s">
        <v>124</v>
      </c>
      <c r="I6" s="29" t="s">
        <v>125</v>
      </c>
      <c r="K6" s="29" t="s">
        <v>126</v>
      </c>
      <c r="M6" s="29" t="s">
        <v>186</v>
      </c>
      <c r="O6" s="29" t="s">
        <v>67</v>
      </c>
    </row>
    <row r="7" spans="2:11" ht="12.75">
      <c r="B7" s="31"/>
      <c r="C7" s="28"/>
      <c r="G7" s="32"/>
      <c r="I7" s="32"/>
      <c r="K7" s="32"/>
    </row>
    <row r="8" spans="2:15" ht="12.75">
      <c r="B8" s="28" t="s">
        <v>18</v>
      </c>
      <c r="C8" s="28" t="s">
        <v>252</v>
      </c>
      <c r="D8" s="28" t="s">
        <v>19</v>
      </c>
      <c r="E8" s="28" t="s">
        <v>15</v>
      </c>
      <c r="F8" s="3"/>
      <c r="G8">
        <v>0.017</v>
      </c>
      <c r="H8" s="3"/>
      <c r="I8">
        <v>0.0189</v>
      </c>
      <c r="J8" s="3"/>
      <c r="K8">
        <v>0.0154</v>
      </c>
      <c r="O8" s="35">
        <f>AVERAGE(K8,I8,G8)</f>
        <v>0.0171</v>
      </c>
    </row>
    <row r="9" spans="2:11" ht="12.75">
      <c r="B9" s="28"/>
      <c r="C9" s="28"/>
      <c r="F9" s="3"/>
      <c r="G9"/>
      <c r="H9" s="3"/>
      <c r="I9"/>
      <c r="J9" s="3"/>
      <c r="K9"/>
    </row>
    <row r="10" spans="2:15" ht="12.75">
      <c r="B10" s="28" t="s">
        <v>119</v>
      </c>
      <c r="C10" s="28" t="s">
        <v>252</v>
      </c>
      <c r="D10" s="28" t="s">
        <v>63</v>
      </c>
      <c r="E10" s="28" t="s">
        <v>15</v>
      </c>
      <c r="F10" s="3"/>
      <c r="G10">
        <v>39</v>
      </c>
      <c r="H10" s="3"/>
      <c r="I10">
        <v>40</v>
      </c>
      <c r="J10" s="3"/>
      <c r="K10">
        <v>38</v>
      </c>
      <c r="O10" s="38">
        <f>AVERAGE(K10,I10,G10)</f>
        <v>39</v>
      </c>
    </row>
    <row r="11" spans="2:11" ht="12.75">
      <c r="B11" s="28"/>
      <c r="C11" s="28"/>
      <c r="F11" s="3"/>
      <c r="G11"/>
      <c r="H11" s="3"/>
      <c r="I11"/>
      <c r="J11" s="3"/>
      <c r="K11"/>
    </row>
    <row r="12" spans="2:11" ht="12.75">
      <c r="B12" s="28" t="s">
        <v>20</v>
      </c>
      <c r="C12" s="28"/>
      <c r="D12" s="28" t="s">
        <v>63</v>
      </c>
      <c r="F12" s="3"/>
      <c r="G12">
        <v>24.53</v>
      </c>
      <c r="H12" s="3"/>
      <c r="I12">
        <v>28.31</v>
      </c>
      <c r="J12" s="3"/>
      <c r="K12">
        <v>29.5</v>
      </c>
    </row>
    <row r="13" spans="2:11" ht="12.75">
      <c r="B13" s="28" t="s">
        <v>65</v>
      </c>
      <c r="C13" s="28"/>
      <c r="D13" s="28" t="s">
        <v>63</v>
      </c>
      <c r="F13" s="3"/>
      <c r="G13">
        <v>0.48</v>
      </c>
      <c r="H13" s="3" t="s">
        <v>13</v>
      </c>
      <c r="I13">
        <v>0.2</v>
      </c>
      <c r="J13" s="3"/>
      <c r="K13">
        <v>0.24</v>
      </c>
    </row>
    <row r="14" spans="2:11" ht="12.75">
      <c r="B14" s="28"/>
      <c r="C14" s="28"/>
      <c r="F14" s="3"/>
      <c r="G14"/>
      <c r="H14" s="3"/>
      <c r="I14"/>
      <c r="J14" s="3"/>
      <c r="K14"/>
    </row>
    <row r="15" spans="2:15" ht="12.75">
      <c r="B15" s="28" t="s">
        <v>20</v>
      </c>
      <c r="C15" s="28" t="s">
        <v>252</v>
      </c>
      <c r="D15" s="28" t="s">
        <v>63</v>
      </c>
      <c r="E15" s="28" t="s">
        <v>15</v>
      </c>
      <c r="F15" s="3"/>
      <c r="G15" s="1">
        <f>G12*(21-7)/(21-G32)</f>
        <v>28.149180327868855</v>
      </c>
      <c r="H15" s="3"/>
      <c r="I15" s="1">
        <f>I12*(21-7)/(21-I32)</f>
        <v>31.207874015748033</v>
      </c>
      <c r="J15" s="3"/>
      <c r="K15" s="1">
        <f>K12*(21-7)/(21-K32)</f>
        <v>35.2991452991453</v>
      </c>
      <c r="O15" s="38">
        <f>AVERAGE(K15,I15,G15)</f>
        <v>31.5520665475874</v>
      </c>
    </row>
    <row r="16" spans="2:15" ht="12.75">
      <c r="B16" s="28" t="s">
        <v>65</v>
      </c>
      <c r="C16" s="28" t="s">
        <v>252</v>
      </c>
      <c r="D16" s="28" t="s">
        <v>63</v>
      </c>
      <c r="E16" s="28" t="s">
        <v>15</v>
      </c>
      <c r="F16" s="3"/>
      <c r="G16" s="1">
        <f>G13*(21-7)/(21-G32)</f>
        <v>0.5508196721311476</v>
      </c>
      <c r="H16" s="29" t="s">
        <v>13</v>
      </c>
      <c r="I16" s="1">
        <f>I13*(21-7)/(21-I32)</f>
        <v>0.22047244094488191</v>
      </c>
      <c r="J16" s="3"/>
      <c r="K16" s="1">
        <f>K13*(21-7)/(21-K32)</f>
        <v>0.2871794871794872</v>
      </c>
      <c r="O16" s="38">
        <f>AVERAGE(K16,I16,G16)</f>
        <v>0.3528238667518389</v>
      </c>
    </row>
    <row r="17" spans="2:15" ht="12.75">
      <c r="B17" s="28" t="s">
        <v>253</v>
      </c>
      <c r="C17" s="28" t="s">
        <v>252</v>
      </c>
      <c r="D17" s="28" t="s">
        <v>63</v>
      </c>
      <c r="E17" s="28" t="s">
        <v>15</v>
      </c>
      <c r="F17" s="3"/>
      <c r="G17" s="1">
        <f>G15+2*(G16)</f>
        <v>29.25081967213115</v>
      </c>
      <c r="H17" s="3">
        <v>1.3932427727093954</v>
      </c>
      <c r="I17" s="1">
        <f>I15+2*(I16)</f>
        <v>31.648818897637796</v>
      </c>
      <c r="J17" s="3"/>
      <c r="K17" s="1">
        <f>K15+2*(K16)</f>
        <v>35.873504273504274</v>
      </c>
      <c r="N17" s="29">
        <v>0.4556479918023041</v>
      </c>
      <c r="O17" s="38">
        <f>AVERAGE(K17,I17,G17)</f>
        <v>32.25771428109107</v>
      </c>
    </row>
    <row r="18" spans="2:11" ht="12.75">
      <c r="B18" s="28"/>
      <c r="C18" s="28"/>
      <c r="F18" s="3"/>
      <c r="G18"/>
      <c r="H18" s="3"/>
      <c r="I18"/>
      <c r="J18" s="3"/>
      <c r="K18"/>
    </row>
    <row r="19" spans="2:15" ht="12.75">
      <c r="B19" s="30" t="s">
        <v>98</v>
      </c>
      <c r="C19" s="28" t="s">
        <v>254</v>
      </c>
      <c r="D19" s="28" t="s">
        <v>66</v>
      </c>
      <c r="E19" s="28" t="s">
        <v>15</v>
      </c>
      <c r="F19" s="3"/>
      <c r="G19">
        <v>2.58</v>
      </c>
      <c r="H19" s="3"/>
      <c r="I19">
        <v>1.01</v>
      </c>
      <c r="J19" s="3"/>
      <c r="K19">
        <v>0.89</v>
      </c>
      <c r="M19" s="29"/>
      <c r="O19" s="38">
        <f aca="true" t="shared" si="0" ref="O19:O25">AVERAGE(K19,I19,G19)</f>
        <v>1.4933333333333334</v>
      </c>
    </row>
    <row r="20" spans="2:15" ht="12.75">
      <c r="B20" s="30" t="s">
        <v>105</v>
      </c>
      <c r="C20" s="28" t="s">
        <v>254</v>
      </c>
      <c r="D20" s="28" t="s">
        <v>66</v>
      </c>
      <c r="E20" s="28" t="s">
        <v>15</v>
      </c>
      <c r="F20" s="3"/>
      <c r="G20">
        <v>95.79</v>
      </c>
      <c r="H20" s="3"/>
      <c r="I20">
        <v>103.36</v>
      </c>
      <c r="J20" s="3"/>
      <c r="K20">
        <v>100.18</v>
      </c>
      <c r="L20" s="66"/>
      <c r="M20" s="34"/>
      <c r="N20" s="66"/>
      <c r="O20" s="38">
        <f t="shared" si="0"/>
        <v>99.77666666666669</v>
      </c>
    </row>
    <row r="21" spans="2:15" ht="12.75">
      <c r="B21" s="30" t="s">
        <v>100</v>
      </c>
      <c r="C21" s="28" t="s">
        <v>254</v>
      </c>
      <c r="D21" s="28" t="s">
        <v>66</v>
      </c>
      <c r="E21" s="28" t="s">
        <v>15</v>
      </c>
      <c r="F21" s="3"/>
      <c r="G21">
        <v>0.09</v>
      </c>
      <c r="H21" s="3"/>
      <c r="I21">
        <v>0.13</v>
      </c>
      <c r="J21" s="3"/>
      <c r="K21">
        <v>0.11</v>
      </c>
      <c r="L21" s="67"/>
      <c r="M21" s="36"/>
      <c r="N21" s="67"/>
      <c r="O21" s="38">
        <f t="shared" si="0"/>
        <v>0.10999999999999999</v>
      </c>
    </row>
    <row r="22" spans="2:15" ht="12.75">
      <c r="B22" s="30" t="s">
        <v>103</v>
      </c>
      <c r="C22" s="28" t="s">
        <v>254</v>
      </c>
      <c r="D22" s="28" t="s">
        <v>66</v>
      </c>
      <c r="E22" s="28" t="s">
        <v>15</v>
      </c>
      <c r="F22" s="3"/>
      <c r="G22">
        <v>358.19</v>
      </c>
      <c r="H22" s="3"/>
      <c r="I22">
        <v>438.89</v>
      </c>
      <c r="J22" s="3"/>
      <c r="K22">
        <v>426.16</v>
      </c>
      <c r="L22" s="67"/>
      <c r="M22" s="36"/>
      <c r="N22" s="67"/>
      <c r="O22" s="38">
        <f t="shared" si="0"/>
        <v>407.74666666666667</v>
      </c>
    </row>
    <row r="23" spans="2:15" ht="12.75">
      <c r="B23" s="30" t="s">
        <v>107</v>
      </c>
      <c r="C23" s="28" t="s">
        <v>254</v>
      </c>
      <c r="D23" s="28" t="s">
        <v>66</v>
      </c>
      <c r="E23" s="28" t="s">
        <v>15</v>
      </c>
      <c r="F23" s="3"/>
      <c r="G23">
        <v>32.2</v>
      </c>
      <c r="H23" s="3"/>
      <c r="I23">
        <v>28.4</v>
      </c>
      <c r="J23" s="3"/>
      <c r="K23">
        <v>20.6</v>
      </c>
      <c r="L23" s="67"/>
      <c r="M23" s="36"/>
      <c r="N23" s="67"/>
      <c r="O23" s="38">
        <f t="shared" si="0"/>
        <v>27.066666666666666</v>
      </c>
    </row>
    <row r="24" spans="2:15" ht="12.75">
      <c r="B24" s="54" t="s">
        <v>191</v>
      </c>
      <c r="C24" s="28" t="s">
        <v>254</v>
      </c>
      <c r="D24" s="28" t="s">
        <v>66</v>
      </c>
      <c r="E24" s="28" t="s">
        <v>15</v>
      </c>
      <c r="F24" s="3" t="s">
        <v>13</v>
      </c>
      <c r="G24" s="23">
        <f>0.088*(21-7)/(21-G38)</f>
        <v>0.10098360655737705</v>
      </c>
      <c r="H24" s="3"/>
      <c r="I24" s="23">
        <f>0.845*14/(21-I38)</f>
        <v>0.9314960629921261</v>
      </c>
      <c r="J24" s="3" t="s">
        <v>13</v>
      </c>
      <c r="K24" s="23">
        <f>0.104*14/(21-K38)</f>
        <v>0.12444444444444445</v>
      </c>
      <c r="L24" s="67"/>
      <c r="M24" s="36"/>
      <c r="N24" s="67"/>
      <c r="O24" s="38">
        <f>AVERAGE(K24/2,I24,G24/2)</f>
        <v>0.3480700294976789</v>
      </c>
    </row>
    <row r="25" spans="2:15" ht="12.75">
      <c r="B25" s="30" t="s">
        <v>110</v>
      </c>
      <c r="C25" s="28" t="s">
        <v>254</v>
      </c>
      <c r="D25" s="28" t="s">
        <v>66</v>
      </c>
      <c r="E25" s="28" t="s">
        <v>15</v>
      </c>
      <c r="F25" s="3"/>
      <c r="G25">
        <v>103.8</v>
      </c>
      <c r="H25" s="3"/>
      <c r="I25">
        <v>88</v>
      </c>
      <c r="J25" s="3"/>
      <c r="K25">
        <v>124.9</v>
      </c>
      <c r="L25" s="67"/>
      <c r="M25" s="36"/>
      <c r="N25" s="67"/>
      <c r="O25" s="38">
        <f t="shared" si="0"/>
        <v>105.56666666666666</v>
      </c>
    </row>
    <row r="26" spans="7:14" ht="12.75">
      <c r="G26" s="45"/>
      <c r="I26" s="37"/>
      <c r="K26" s="37"/>
      <c r="L26" s="67"/>
      <c r="M26" s="36"/>
      <c r="N26" s="67"/>
    </row>
    <row r="27" spans="2:15" ht="12.75">
      <c r="B27" s="28" t="s">
        <v>75</v>
      </c>
      <c r="C27" s="28" t="s">
        <v>254</v>
      </c>
      <c r="D27" s="28" t="s">
        <v>66</v>
      </c>
      <c r="E27" s="28" t="s">
        <v>15</v>
      </c>
      <c r="G27" s="38">
        <f>G20+G22</f>
        <v>453.98</v>
      </c>
      <c r="I27" s="38">
        <f>I20+I22</f>
        <v>542.25</v>
      </c>
      <c r="K27" s="38">
        <f>K20+K22</f>
        <v>526.34</v>
      </c>
      <c r="M27" s="32"/>
      <c r="O27" s="38">
        <f>AVERAGE(K27,I27,G27)</f>
        <v>507.52333333333337</v>
      </c>
    </row>
    <row r="28" spans="2:15" ht="12.75">
      <c r="B28" s="28" t="s">
        <v>76</v>
      </c>
      <c r="C28" s="28" t="s">
        <v>254</v>
      </c>
      <c r="D28" s="28" t="s">
        <v>66</v>
      </c>
      <c r="E28" s="28" t="s">
        <v>15</v>
      </c>
      <c r="G28" s="38">
        <f>G19+G21+G23</f>
        <v>34.870000000000005</v>
      </c>
      <c r="I28" s="38">
        <f>I19+I21+I23</f>
        <v>29.54</v>
      </c>
      <c r="K28" s="38">
        <f>K19+K21+K23</f>
        <v>21.6</v>
      </c>
      <c r="M28" s="32"/>
      <c r="O28" s="38">
        <f>AVERAGE(K28,I28,G28)</f>
        <v>28.67</v>
      </c>
    </row>
    <row r="29" spans="2:15" ht="12.75">
      <c r="B29" s="28"/>
      <c r="C29" s="28"/>
      <c r="G29" s="38"/>
      <c r="I29" s="38"/>
      <c r="K29" s="38"/>
      <c r="M29" s="32"/>
      <c r="O29" s="38"/>
    </row>
    <row r="30" spans="2:13" ht="12.75">
      <c r="B30" s="28" t="s">
        <v>97</v>
      </c>
      <c r="C30" s="28" t="s">
        <v>94</v>
      </c>
      <c r="D30" s="28" t="s">
        <v>252</v>
      </c>
      <c r="G30" s="33"/>
      <c r="I30" s="33"/>
      <c r="K30" s="33"/>
      <c r="M30" s="32"/>
    </row>
    <row r="31" spans="2:15" ht="12.75">
      <c r="B31" s="28" t="s">
        <v>92</v>
      </c>
      <c r="C31" s="28"/>
      <c r="D31" s="28" t="s">
        <v>16</v>
      </c>
      <c r="F31" s="3"/>
      <c r="G31">
        <v>135887</v>
      </c>
      <c r="H31" s="3"/>
      <c r="I31">
        <v>136952</v>
      </c>
      <c r="J31" s="3"/>
      <c r="K31">
        <v>136628</v>
      </c>
      <c r="M31" s="32"/>
      <c r="O31" s="44">
        <f>AVERAGE(G31,I31,K31)</f>
        <v>136489</v>
      </c>
    </row>
    <row r="32" spans="2:15" ht="12.75">
      <c r="B32" s="28" t="s">
        <v>95</v>
      </c>
      <c r="C32" s="28"/>
      <c r="D32" s="28" t="s">
        <v>14</v>
      </c>
      <c r="F32" s="3"/>
      <c r="G32">
        <v>8.8</v>
      </c>
      <c r="H32" s="3"/>
      <c r="I32">
        <v>8.3</v>
      </c>
      <c r="J32" s="3"/>
      <c r="K32">
        <v>9.3</v>
      </c>
      <c r="M32" s="32"/>
      <c r="O32" s="38">
        <f>AVERAGE(G32,I32,K32)</f>
        <v>8.8</v>
      </c>
    </row>
    <row r="33" spans="2:15" ht="12.75">
      <c r="B33" s="28" t="s">
        <v>96</v>
      </c>
      <c r="C33" s="28"/>
      <c r="D33" s="28" t="s">
        <v>14</v>
      </c>
      <c r="F33" s="3"/>
      <c r="G33">
        <v>33</v>
      </c>
      <c r="H33" s="3"/>
      <c r="I33">
        <v>33</v>
      </c>
      <c r="J33" s="3"/>
      <c r="K33">
        <v>34</v>
      </c>
      <c r="M33" s="32"/>
      <c r="O33" s="38">
        <f>AVERAGE(G33,I33,K33)</f>
        <v>33.333333333333336</v>
      </c>
    </row>
    <row r="34" spans="2:15" ht="12.75">
      <c r="B34" s="28" t="s">
        <v>91</v>
      </c>
      <c r="C34" s="28"/>
      <c r="D34" s="28" t="s">
        <v>17</v>
      </c>
      <c r="F34" s="3"/>
      <c r="G34">
        <v>334</v>
      </c>
      <c r="H34" s="3"/>
      <c r="I34">
        <v>340</v>
      </c>
      <c r="J34" s="3"/>
      <c r="K34">
        <v>339</v>
      </c>
      <c r="M34" s="32"/>
      <c r="O34" s="38">
        <f>AVERAGE(G34,I34,K34)</f>
        <v>337.6666666666667</v>
      </c>
    </row>
    <row r="35" spans="2:15" ht="12.75">
      <c r="B35" s="28"/>
      <c r="C35" s="28"/>
      <c r="F35" s="3"/>
      <c r="G35"/>
      <c r="H35" s="3"/>
      <c r="I35"/>
      <c r="J35" s="3"/>
      <c r="K35"/>
      <c r="M35" s="32"/>
      <c r="O35" s="38"/>
    </row>
    <row r="36" spans="2:13" ht="12.75">
      <c r="B36" s="28" t="s">
        <v>97</v>
      </c>
      <c r="C36" s="28" t="s">
        <v>118</v>
      </c>
      <c r="D36" s="28" t="s">
        <v>254</v>
      </c>
      <c r="F36" s="3"/>
      <c r="G36"/>
      <c r="H36" s="3"/>
      <c r="I36"/>
      <c r="J36" s="3"/>
      <c r="K36"/>
      <c r="M36" s="32"/>
    </row>
    <row r="37" spans="2:15" ht="12.75">
      <c r="B37" s="28" t="s">
        <v>92</v>
      </c>
      <c r="C37" s="28"/>
      <c r="D37" s="28" t="s">
        <v>16</v>
      </c>
      <c r="F37" s="3"/>
      <c r="G37">
        <v>141546</v>
      </c>
      <c r="H37" s="3"/>
      <c r="I37">
        <v>139523</v>
      </c>
      <c r="J37" s="3"/>
      <c r="K37">
        <v>139226</v>
      </c>
      <c r="M37" s="32"/>
      <c r="O37" s="44">
        <f>AVERAGE(G37,I37,K37)</f>
        <v>140098.33333333334</v>
      </c>
    </row>
    <row r="38" spans="2:15" ht="12.75">
      <c r="B38" s="28" t="s">
        <v>95</v>
      </c>
      <c r="C38" s="28"/>
      <c r="D38" s="28" t="s">
        <v>14</v>
      </c>
      <c r="F38" s="3"/>
      <c r="G38">
        <v>8.8</v>
      </c>
      <c r="H38" s="3"/>
      <c r="I38">
        <v>8.3</v>
      </c>
      <c r="J38" s="3"/>
      <c r="K38">
        <v>9.3</v>
      </c>
      <c r="M38" s="32"/>
      <c r="O38" s="38">
        <f>AVERAGE(G38,I38,K38)</f>
        <v>8.8</v>
      </c>
    </row>
    <row r="39" spans="2:15" ht="12.75">
      <c r="B39" s="28" t="s">
        <v>96</v>
      </c>
      <c r="C39" s="28"/>
      <c r="D39" s="28" t="s">
        <v>14</v>
      </c>
      <c r="F39" s="3"/>
      <c r="G39">
        <v>33.1</v>
      </c>
      <c r="H39" s="3"/>
      <c r="I39">
        <v>32.9</v>
      </c>
      <c r="J39" s="3"/>
      <c r="K39">
        <v>33.1</v>
      </c>
      <c r="M39" s="32"/>
      <c r="O39" s="38">
        <f>AVERAGE(G39,I39,K39)</f>
        <v>33.03333333333333</v>
      </c>
    </row>
    <row r="40" spans="2:15" ht="12.75">
      <c r="B40" s="28" t="s">
        <v>91</v>
      </c>
      <c r="C40" s="28"/>
      <c r="D40" s="28" t="s">
        <v>17</v>
      </c>
      <c r="F40" s="3"/>
      <c r="G40">
        <v>339</v>
      </c>
      <c r="H40" s="3"/>
      <c r="I40">
        <v>342</v>
      </c>
      <c r="J40" s="3"/>
      <c r="K40">
        <v>341</v>
      </c>
      <c r="M40" s="32"/>
      <c r="O40" s="38">
        <f>AVERAGE(G40,I40,K40)</f>
        <v>340.6666666666667</v>
      </c>
    </row>
    <row r="41" spans="2:15" ht="12.75">
      <c r="B41" s="28"/>
      <c r="C41" s="28"/>
      <c r="M41" s="32"/>
      <c r="O41" s="38"/>
    </row>
    <row r="42" spans="2:15" ht="12.75">
      <c r="B42" s="28"/>
      <c r="C42" s="28"/>
      <c r="M42" s="32"/>
      <c r="O42" s="38"/>
    </row>
    <row r="43" spans="1:15" ht="12.75">
      <c r="A43" s="30">
        <v>11</v>
      </c>
      <c r="B43" s="31" t="s">
        <v>153</v>
      </c>
      <c r="C43" s="28"/>
      <c r="G43" s="29" t="s">
        <v>124</v>
      </c>
      <c r="I43" s="29" t="s">
        <v>125</v>
      </c>
      <c r="K43" s="29" t="s">
        <v>126</v>
      </c>
      <c r="M43" s="29" t="s">
        <v>186</v>
      </c>
      <c r="O43" s="29" t="s">
        <v>67</v>
      </c>
    </row>
    <row r="44" spans="2:13" ht="12.75">
      <c r="B44" s="28"/>
      <c r="C44" s="28"/>
      <c r="D44" s="16"/>
      <c r="E44" s="16"/>
      <c r="F44" s="20"/>
      <c r="G44" s="16"/>
      <c r="H44" s="20"/>
      <c r="I44" s="16"/>
      <c r="J44" s="20"/>
      <c r="K44" s="16"/>
      <c r="M44" s="32"/>
    </row>
    <row r="45" spans="2:15" ht="12.75">
      <c r="B45" s="28" t="s">
        <v>120</v>
      </c>
      <c r="C45" s="28" t="s">
        <v>252</v>
      </c>
      <c r="D45" s="28" t="s">
        <v>63</v>
      </c>
      <c r="E45" t="s">
        <v>15</v>
      </c>
      <c r="F45" s="3"/>
      <c r="G45"/>
      <c r="H45" s="3"/>
      <c r="I45">
        <v>3.7</v>
      </c>
      <c r="J45" s="3"/>
      <c r="K45">
        <v>3.9</v>
      </c>
      <c r="M45" s="32">
        <v>7.2</v>
      </c>
      <c r="O45" s="38">
        <f>AVERAGE(I45,K45,M45)</f>
        <v>4.933333333333334</v>
      </c>
    </row>
    <row r="46" spans="2:15" ht="12.75">
      <c r="B46" s="28"/>
      <c r="C46" s="28"/>
      <c r="E46"/>
      <c r="F46" s="3"/>
      <c r="G46"/>
      <c r="H46" s="3"/>
      <c r="I46"/>
      <c r="J46" s="3"/>
      <c r="K46"/>
      <c r="M46" s="32"/>
      <c r="O46" s="38"/>
    </row>
    <row r="47" spans="2:15" ht="12.75">
      <c r="B47" s="28" t="s">
        <v>18</v>
      </c>
      <c r="C47" s="28" t="s">
        <v>252</v>
      </c>
      <c r="D47" s="28" t="s">
        <v>19</v>
      </c>
      <c r="E47" t="s">
        <v>15</v>
      </c>
      <c r="F47" s="3"/>
      <c r="G47"/>
      <c r="H47" s="3"/>
      <c r="I47">
        <v>0.0199</v>
      </c>
      <c r="J47" s="3"/>
      <c r="K47">
        <v>0.0208</v>
      </c>
      <c r="M47" s="32">
        <v>0.0207</v>
      </c>
      <c r="O47" s="35">
        <f>AVERAGE(I47,K47,M47)</f>
        <v>0.020466666666666664</v>
      </c>
    </row>
    <row r="48" spans="2:15" ht="12.75">
      <c r="B48" s="28"/>
      <c r="C48" s="28"/>
      <c r="E48"/>
      <c r="F48" s="3"/>
      <c r="G48"/>
      <c r="H48" s="3"/>
      <c r="I48"/>
      <c r="J48" s="3"/>
      <c r="K48"/>
      <c r="M48" s="32"/>
      <c r="O48" s="38"/>
    </row>
    <row r="49" spans="2:15" ht="12.75">
      <c r="B49" s="28" t="s">
        <v>20</v>
      </c>
      <c r="C49" s="28"/>
      <c r="D49" s="28" t="s">
        <v>160</v>
      </c>
      <c r="E49"/>
      <c r="F49" s="3"/>
      <c r="G49"/>
      <c r="H49" s="3"/>
      <c r="I49">
        <v>1.09</v>
      </c>
      <c r="J49" s="3"/>
      <c r="K49">
        <v>2.3</v>
      </c>
      <c r="M49" s="32">
        <v>1.59</v>
      </c>
      <c r="O49" s="38"/>
    </row>
    <row r="50" spans="2:15" ht="12.75">
      <c r="B50" s="28" t="s">
        <v>65</v>
      </c>
      <c r="C50" s="28"/>
      <c r="D50" s="28" t="s">
        <v>160</v>
      </c>
      <c r="E50"/>
      <c r="F50" s="3"/>
      <c r="G50"/>
      <c r="H50" s="3" t="s">
        <v>13</v>
      </c>
      <c r="I50">
        <v>0.015</v>
      </c>
      <c r="J50" s="3" t="s">
        <v>13</v>
      </c>
      <c r="K50">
        <v>0.021</v>
      </c>
      <c r="L50" s="29" t="s">
        <v>13</v>
      </c>
      <c r="M50" s="32">
        <v>0.022</v>
      </c>
      <c r="O50" s="38"/>
    </row>
    <row r="51" spans="2:15" ht="12.75">
      <c r="B51" s="28" t="s">
        <v>253</v>
      </c>
      <c r="C51" s="28"/>
      <c r="D51" s="28" t="s">
        <v>160</v>
      </c>
      <c r="E51"/>
      <c r="F51" s="3"/>
      <c r="G51"/>
      <c r="H51" s="3"/>
      <c r="I51"/>
      <c r="J51" s="3"/>
      <c r="K51"/>
      <c r="M51" s="32"/>
      <c r="O51" s="38"/>
    </row>
    <row r="52" spans="2:15" ht="12.75">
      <c r="B52" s="28"/>
      <c r="C52" s="28"/>
      <c r="E52"/>
      <c r="F52" s="3"/>
      <c r="G52"/>
      <c r="H52" s="3"/>
      <c r="I52"/>
      <c r="J52" s="3"/>
      <c r="K52"/>
      <c r="M52" s="32"/>
      <c r="O52" s="38"/>
    </row>
    <row r="53" spans="2:15" ht="12.75">
      <c r="B53" s="28" t="s">
        <v>20</v>
      </c>
      <c r="C53" s="28" t="s">
        <v>252</v>
      </c>
      <c r="D53" s="28" t="s">
        <v>63</v>
      </c>
      <c r="E53" t="s">
        <v>15</v>
      </c>
      <c r="F53" s="3"/>
      <c r="G53" s="23"/>
      <c r="H53" s="3"/>
      <c r="I53" s="23">
        <f>I49/I$73/0.0283*60*1000000/1516*(21-7)/(21-I$74)</f>
        <v>13.539680326161974</v>
      </c>
      <c r="J53" s="3"/>
      <c r="K53" s="23">
        <f>K49/K$73/0.0283*60*1000000/1516*(21-7)/(21-K$74)</f>
        <v>31.363802897751725</v>
      </c>
      <c r="M53" s="23">
        <f>M49/M$73/0.0283*60*1000000/1516*(21-7)/(21-M$74)</f>
        <v>21.815190479748928</v>
      </c>
      <c r="O53" s="48">
        <f>AVERAGE(I53,K53,M53)</f>
        <v>22.239557901220877</v>
      </c>
    </row>
    <row r="54" spans="2:15" ht="12.75">
      <c r="B54" s="28" t="s">
        <v>65</v>
      </c>
      <c r="C54" s="28" t="s">
        <v>252</v>
      </c>
      <c r="D54" s="28" t="s">
        <v>63</v>
      </c>
      <c r="E54" t="s">
        <v>15</v>
      </c>
      <c r="G54" s="23"/>
      <c r="H54" s="29" t="s">
        <v>13</v>
      </c>
      <c r="I54" s="23">
        <f>I50/I$73/0.0283*60*1000000/2948*(21-7)/(21-I$74)</f>
        <v>0.09581751292025795</v>
      </c>
      <c r="J54" s="3" t="s">
        <v>13</v>
      </c>
      <c r="K54" s="23">
        <f>K50/K$73/0.0283*60*1000000/2948*(21-7)/(21-K$74)</f>
        <v>0.14726240768285412</v>
      </c>
      <c r="L54" s="29" t="s">
        <v>13</v>
      </c>
      <c r="M54" s="23">
        <f>M50/M$73/0.0283*60*1000000/2948*(21-7)/(21-M$74)</f>
        <v>0.1552230769140119</v>
      </c>
      <c r="N54" s="29">
        <v>100</v>
      </c>
      <c r="O54" s="48">
        <f>AVERAGE(I54,K54,M54)</f>
        <v>0.13276766583904132</v>
      </c>
    </row>
    <row r="55" spans="2:15" ht="12.75">
      <c r="B55" s="28" t="s">
        <v>253</v>
      </c>
      <c r="C55" s="28" t="s">
        <v>252</v>
      </c>
      <c r="D55" s="28" t="s">
        <v>63</v>
      </c>
      <c r="E55" t="s">
        <v>15</v>
      </c>
      <c r="F55" s="3"/>
      <c r="G55" s="23"/>
      <c r="H55" s="3">
        <v>1.3956057452009771</v>
      </c>
      <c r="I55" s="23">
        <f>I53+2*I54</f>
        <v>13.73131535200249</v>
      </c>
      <c r="J55" s="85">
        <v>0.9303233532804334</v>
      </c>
      <c r="K55" s="23">
        <f>K53+2*K54</f>
        <v>31.658327713117433</v>
      </c>
      <c r="L55" s="29">
        <v>1.4031060851959574</v>
      </c>
      <c r="M55" s="23">
        <f>M53+2*M54</f>
        <v>22.125636633576953</v>
      </c>
      <c r="N55" s="29">
        <v>1.1798899441265391</v>
      </c>
      <c r="O55" s="48">
        <f>AVERAGE(I55,K55,M55)</f>
        <v>22.505093232898957</v>
      </c>
    </row>
    <row r="56" spans="2:15" ht="12.75">
      <c r="B56" s="28"/>
      <c r="C56" s="28"/>
      <c r="E56"/>
      <c r="F56" s="3"/>
      <c r="G56"/>
      <c r="H56" s="3"/>
      <c r="I56"/>
      <c r="J56" s="3"/>
      <c r="K56"/>
      <c r="M56" s="32"/>
      <c r="O56" s="38"/>
    </row>
    <row r="57" spans="2:15" ht="12.75">
      <c r="B57" s="28" t="s">
        <v>134</v>
      </c>
      <c r="C57" s="28" t="s">
        <v>154</v>
      </c>
      <c r="E57"/>
      <c r="F57" s="3"/>
      <c r="G57"/>
      <c r="H57" s="3"/>
      <c r="I57"/>
      <c r="J57" s="3"/>
      <c r="K57"/>
      <c r="L57" s="3"/>
      <c r="M57"/>
      <c r="N57" s="3"/>
      <c r="O57"/>
    </row>
    <row r="58" spans="2:15" ht="12.75">
      <c r="B58" s="28" t="s">
        <v>135</v>
      </c>
      <c r="C58" s="28"/>
      <c r="D58" s="28" t="s">
        <v>155</v>
      </c>
      <c r="E58"/>
      <c r="H58" s="3"/>
      <c r="I58">
        <v>59.98</v>
      </c>
      <c r="J58" s="3"/>
      <c r="K58">
        <v>59.97</v>
      </c>
      <c r="L58" s="3"/>
      <c r="M58">
        <v>60.01</v>
      </c>
      <c r="N58" s="3"/>
      <c r="O58"/>
    </row>
    <row r="59" spans="2:15" ht="12.75">
      <c r="B59" s="28" t="s">
        <v>136</v>
      </c>
      <c r="C59" s="28" t="s">
        <v>254</v>
      </c>
      <c r="D59" s="28" t="s">
        <v>155</v>
      </c>
      <c r="E59"/>
      <c r="H59" s="3" t="s">
        <v>13</v>
      </c>
      <c r="I59" s="46">
        <v>0.00269</v>
      </c>
      <c r="J59" s="3" t="s">
        <v>13</v>
      </c>
      <c r="K59" s="46">
        <v>0.0029</v>
      </c>
      <c r="L59" s="3" t="s">
        <v>13</v>
      </c>
      <c r="M59" s="46">
        <v>0.00273</v>
      </c>
      <c r="N59" s="3"/>
      <c r="O59"/>
    </row>
    <row r="60" spans="2:15" ht="12.75">
      <c r="B60" s="28" t="s">
        <v>78</v>
      </c>
      <c r="C60" s="28" t="s">
        <v>254</v>
      </c>
      <c r="D60" s="28" t="s">
        <v>14</v>
      </c>
      <c r="E60"/>
      <c r="H60" s="3" t="s">
        <v>142</v>
      </c>
      <c r="I60">
        <v>99.9955</v>
      </c>
      <c r="J60" s="3" t="s">
        <v>142</v>
      </c>
      <c r="K60">
        <v>99.9952</v>
      </c>
      <c r="L60" s="3" t="s">
        <v>142</v>
      </c>
      <c r="M60">
        <v>99.9955</v>
      </c>
      <c r="N60" s="3"/>
      <c r="O60"/>
    </row>
    <row r="61" spans="2:13" ht="12.75">
      <c r="B61" s="28"/>
      <c r="C61" s="28"/>
      <c r="E61"/>
      <c r="H61" s="3"/>
      <c r="I61"/>
      <c r="J61" s="3"/>
      <c r="K61"/>
      <c r="L61" s="3"/>
      <c r="M61"/>
    </row>
    <row r="62" spans="2:15" ht="12.75">
      <c r="B62" s="28" t="s">
        <v>134</v>
      </c>
      <c r="C62" s="28" t="s">
        <v>156</v>
      </c>
      <c r="E62"/>
      <c r="H62" s="3"/>
      <c r="I62"/>
      <c r="J62" s="3"/>
      <c r="K62"/>
      <c r="L62" s="3"/>
      <c r="M62"/>
      <c r="N62" s="3"/>
      <c r="O62"/>
    </row>
    <row r="63" spans="2:15" ht="12.75">
      <c r="B63" s="28" t="s">
        <v>135</v>
      </c>
      <c r="C63" s="28"/>
      <c r="D63" s="28" t="s">
        <v>155</v>
      </c>
      <c r="E63"/>
      <c r="H63" s="3"/>
      <c r="I63">
        <v>18.9</v>
      </c>
      <c r="J63" s="3"/>
      <c r="K63">
        <v>18.88</v>
      </c>
      <c r="L63" s="3"/>
      <c r="M63">
        <v>18.9</v>
      </c>
      <c r="N63" s="3"/>
      <c r="O63"/>
    </row>
    <row r="64" spans="2:15" ht="12.75">
      <c r="B64" s="28" t="s">
        <v>136</v>
      </c>
      <c r="C64" s="28" t="s">
        <v>254</v>
      </c>
      <c r="D64" s="28" t="s">
        <v>155</v>
      </c>
      <c r="E64"/>
      <c r="H64" s="3" t="s">
        <v>13</v>
      </c>
      <c r="I64" s="46">
        <v>0.000132</v>
      </c>
      <c r="J64" s="3" t="s">
        <v>13</v>
      </c>
      <c r="K64" s="46">
        <v>0.000154</v>
      </c>
      <c r="L64" s="3" t="s">
        <v>13</v>
      </c>
      <c r="M64" s="46">
        <v>0.000153</v>
      </c>
      <c r="N64" s="3"/>
      <c r="O64"/>
    </row>
    <row r="65" spans="2:15" ht="12.75">
      <c r="B65" s="28" t="s">
        <v>78</v>
      </c>
      <c r="C65" s="28" t="s">
        <v>254</v>
      </c>
      <c r="D65" s="28" t="s">
        <v>14</v>
      </c>
      <c r="E65"/>
      <c r="H65" s="3" t="s">
        <v>142</v>
      </c>
      <c r="I65">
        <v>99.9993</v>
      </c>
      <c r="J65" s="3" t="s">
        <v>142</v>
      </c>
      <c r="K65">
        <v>99.9992</v>
      </c>
      <c r="L65" s="3" t="s">
        <v>142</v>
      </c>
      <c r="M65">
        <v>99.9992</v>
      </c>
      <c r="N65" s="3"/>
      <c r="O65"/>
    </row>
    <row r="66" spans="2:13" ht="12.75">
      <c r="B66" s="28"/>
      <c r="C66" s="28"/>
      <c r="E66"/>
      <c r="H66" s="3"/>
      <c r="I66"/>
      <c r="J66" s="3"/>
      <c r="K66"/>
      <c r="L66" s="3"/>
      <c r="M66"/>
    </row>
    <row r="67" spans="2:15" ht="12.75">
      <c r="B67" s="28" t="s">
        <v>134</v>
      </c>
      <c r="C67" s="28" t="s">
        <v>157</v>
      </c>
      <c r="E67"/>
      <c r="H67" s="3"/>
      <c r="I67"/>
      <c r="J67" s="3"/>
      <c r="K67"/>
      <c r="L67" s="3"/>
      <c r="M67"/>
      <c r="N67" s="3"/>
      <c r="O67"/>
    </row>
    <row r="68" spans="2:15" ht="12.75">
      <c r="B68" s="28" t="s">
        <v>135</v>
      </c>
      <c r="C68" s="28"/>
      <c r="D68" s="28" t="s">
        <v>155</v>
      </c>
      <c r="E68"/>
      <c r="H68" s="3"/>
      <c r="I68">
        <v>18.47</v>
      </c>
      <c r="J68" s="3"/>
      <c r="K68">
        <v>18.46</v>
      </c>
      <c r="L68" s="3"/>
      <c r="M68">
        <v>18.48</v>
      </c>
      <c r="N68" s="3"/>
      <c r="O68"/>
    </row>
    <row r="69" spans="2:15" ht="12.75">
      <c r="B69" s="28" t="s">
        <v>136</v>
      </c>
      <c r="C69" s="28" t="s">
        <v>254</v>
      </c>
      <c r="D69" s="28" t="s">
        <v>155</v>
      </c>
      <c r="E69"/>
      <c r="H69" s="3" t="s">
        <v>13</v>
      </c>
      <c r="I69" s="46">
        <v>0.000132</v>
      </c>
      <c r="J69" s="3" t="s">
        <v>13</v>
      </c>
      <c r="K69" s="46">
        <v>0.000154</v>
      </c>
      <c r="L69" s="3" t="s">
        <v>13</v>
      </c>
      <c r="M69" s="46">
        <v>0.000153</v>
      </c>
      <c r="N69" s="3"/>
      <c r="O69"/>
    </row>
    <row r="70" spans="2:15" ht="12.75">
      <c r="B70" s="28" t="s">
        <v>78</v>
      </c>
      <c r="C70" s="28" t="s">
        <v>254</v>
      </c>
      <c r="D70" s="28" t="s">
        <v>14</v>
      </c>
      <c r="E70"/>
      <c r="H70" s="3" t="s">
        <v>142</v>
      </c>
      <c r="I70">
        <v>99.9993</v>
      </c>
      <c r="J70" s="3" t="s">
        <v>142</v>
      </c>
      <c r="K70">
        <v>99.9992</v>
      </c>
      <c r="L70" s="3" t="s">
        <v>142</v>
      </c>
      <c r="M70">
        <v>99.9992</v>
      </c>
      <c r="N70" s="3"/>
      <c r="O70"/>
    </row>
    <row r="71" spans="2:13" ht="12.75">
      <c r="B71" s="28"/>
      <c r="C71" s="28"/>
      <c r="E71"/>
      <c r="F71" s="3"/>
      <c r="G71"/>
      <c r="H71" s="3"/>
      <c r="I71"/>
      <c r="J71" s="3"/>
      <c r="K71"/>
      <c r="M71" s="32"/>
    </row>
    <row r="72" spans="2:13" ht="12.75">
      <c r="B72" s="28" t="s">
        <v>97</v>
      </c>
      <c r="C72" s="28" t="s">
        <v>94</v>
      </c>
      <c r="D72" s="28" t="s">
        <v>252</v>
      </c>
      <c r="E72"/>
      <c r="F72" s="3"/>
      <c r="G72"/>
      <c r="H72" s="3"/>
      <c r="I72"/>
      <c r="J72" s="3"/>
      <c r="K72"/>
      <c r="M72" s="32"/>
    </row>
    <row r="73" spans="2:15" ht="12.75">
      <c r="B73" s="28" t="s">
        <v>92</v>
      </c>
      <c r="C73" s="28"/>
      <c r="D73" s="28" t="s">
        <v>16</v>
      </c>
      <c r="E73"/>
      <c r="F73" s="3"/>
      <c r="G73"/>
      <c r="H73" s="3"/>
      <c r="I73">
        <v>137061</v>
      </c>
      <c r="J73" s="3"/>
      <c r="K73">
        <v>129351</v>
      </c>
      <c r="M73" s="32">
        <v>127413</v>
      </c>
      <c r="O73" s="38">
        <f>AVERAGE(I73,K73,M73)</f>
        <v>131275</v>
      </c>
    </row>
    <row r="74" spans="2:15" ht="12.75">
      <c r="B74" s="28" t="s">
        <v>95</v>
      </c>
      <c r="C74" s="28"/>
      <c r="D74" s="28" t="s">
        <v>14</v>
      </c>
      <c r="E74"/>
      <c r="F74" s="3"/>
      <c r="G74"/>
      <c r="H74" s="3"/>
      <c r="I74">
        <v>9.5</v>
      </c>
      <c r="J74" s="3"/>
      <c r="K74">
        <v>9.9</v>
      </c>
      <c r="M74" s="32">
        <v>9.8</v>
      </c>
      <c r="O74" s="38">
        <f>AVERAGE(I74,K74,M74)</f>
        <v>9.733333333333333</v>
      </c>
    </row>
    <row r="75" spans="2:15" ht="12.75">
      <c r="B75" s="28" t="s">
        <v>96</v>
      </c>
      <c r="C75" s="28"/>
      <c r="D75" s="28" t="s">
        <v>14</v>
      </c>
      <c r="E75"/>
      <c r="F75" s="3"/>
      <c r="G75"/>
      <c r="H75" s="3"/>
      <c r="I75">
        <v>31.2</v>
      </c>
      <c r="J75" s="3"/>
      <c r="K75">
        <v>32.4</v>
      </c>
      <c r="M75" s="29">
        <v>32.8</v>
      </c>
      <c r="O75" s="38">
        <f>AVERAGE(I75,K75,M75)</f>
        <v>32.13333333333333</v>
      </c>
    </row>
    <row r="76" spans="2:15" ht="12.75">
      <c r="B76" s="28" t="s">
        <v>91</v>
      </c>
      <c r="C76" s="28"/>
      <c r="D76" s="28" t="s">
        <v>17</v>
      </c>
      <c r="E76"/>
      <c r="F76" s="3"/>
      <c r="G76"/>
      <c r="H76" s="3"/>
      <c r="I76">
        <v>310</v>
      </c>
      <c r="J76" s="3"/>
      <c r="K76">
        <v>304</v>
      </c>
      <c r="M76" s="30">
        <v>293</v>
      </c>
      <c r="O76" s="38">
        <f>AVERAGE(I76,K76,M76)</f>
        <v>302.3333333333333</v>
      </c>
    </row>
    <row r="77" spans="2:13" ht="12.75">
      <c r="B77" s="28"/>
      <c r="C77" s="28"/>
      <c r="E77"/>
      <c r="F77" s="3"/>
      <c r="G77"/>
      <c r="H77" s="3"/>
      <c r="I77"/>
      <c r="J77" s="3"/>
      <c r="K77"/>
      <c r="M77" s="32"/>
    </row>
    <row r="78" spans="2:13" ht="12.75">
      <c r="B78" s="28" t="s">
        <v>97</v>
      </c>
      <c r="C78" s="28" t="s">
        <v>161</v>
      </c>
      <c r="D78" s="28" t="s">
        <v>254</v>
      </c>
      <c r="E78"/>
      <c r="F78" s="3"/>
      <c r="G78"/>
      <c r="H78" s="3"/>
      <c r="I78"/>
      <c r="J78" s="3"/>
      <c r="K78"/>
      <c r="M78" s="32"/>
    </row>
    <row r="79" spans="2:15" ht="12.75">
      <c r="B79" s="28" t="s">
        <v>92</v>
      </c>
      <c r="C79" s="28"/>
      <c r="D79" s="28" t="s">
        <v>16</v>
      </c>
      <c r="E79"/>
      <c r="F79" s="3"/>
      <c r="G79"/>
      <c r="H79" s="3"/>
      <c r="I79">
        <v>141144</v>
      </c>
      <c r="J79" s="3"/>
      <c r="K79">
        <v>143343</v>
      </c>
      <c r="M79" s="32">
        <v>142560</v>
      </c>
      <c r="O79" s="38">
        <f>AVERAGE(I79,K79,M79)</f>
        <v>142349</v>
      </c>
    </row>
    <row r="80" spans="2:15" ht="12.75">
      <c r="B80" s="28" t="s">
        <v>95</v>
      </c>
      <c r="C80" s="28"/>
      <c r="D80" s="28" t="s">
        <v>14</v>
      </c>
      <c r="E80"/>
      <c r="F80" s="3"/>
      <c r="G80"/>
      <c r="H80" s="3"/>
      <c r="I80">
        <v>9.6</v>
      </c>
      <c r="J80" s="3"/>
      <c r="K80">
        <v>10</v>
      </c>
      <c r="M80" s="32">
        <v>10</v>
      </c>
      <c r="O80" s="38">
        <f>AVERAGE(I80,K80,M80)</f>
        <v>9.866666666666667</v>
      </c>
    </row>
    <row r="81" spans="2:15" ht="12.75">
      <c r="B81" s="28" t="s">
        <v>96</v>
      </c>
      <c r="C81" s="28"/>
      <c r="D81" s="28" t="s">
        <v>14</v>
      </c>
      <c r="E81"/>
      <c r="F81" s="3"/>
      <c r="G81"/>
      <c r="H81" s="3"/>
      <c r="I81">
        <v>31</v>
      </c>
      <c r="J81" s="3"/>
      <c r="K81">
        <v>31.6</v>
      </c>
      <c r="M81" s="32">
        <v>32.1</v>
      </c>
      <c r="O81" s="38">
        <f>AVERAGE(I81,K81,M81)</f>
        <v>31.566666666666666</v>
      </c>
    </row>
    <row r="82" spans="2:15" ht="12.75">
      <c r="B82" s="28" t="s">
        <v>91</v>
      </c>
      <c r="C82" s="28"/>
      <c r="D82" s="28" t="s">
        <v>17</v>
      </c>
      <c r="E82"/>
      <c r="F82" s="3"/>
      <c r="G82"/>
      <c r="H82" s="3"/>
      <c r="I82">
        <v>307</v>
      </c>
      <c r="J82" s="3"/>
      <c r="K82">
        <v>306</v>
      </c>
      <c r="M82" s="30">
        <v>291</v>
      </c>
      <c r="O82" s="38">
        <f>AVERAGE(I82,K82,M82)</f>
        <v>301.3333333333333</v>
      </c>
    </row>
    <row r="83" ht="12.75">
      <c r="M83" s="32"/>
    </row>
    <row r="84" spans="2:11" ht="12.75">
      <c r="B84" s="28"/>
      <c r="C84" s="28"/>
      <c r="G84" s="32"/>
      <c r="I84" s="32"/>
      <c r="K84" s="32"/>
    </row>
    <row r="85" ht="12.75">
      <c r="B85" s="28" t="s">
        <v>292</v>
      </c>
    </row>
    <row r="87" spans="2:4" ht="12.75">
      <c r="B87" s="28" t="s">
        <v>97</v>
      </c>
      <c r="C87" s="28" t="s">
        <v>299</v>
      </c>
      <c r="D87" s="28" t="s">
        <v>255</v>
      </c>
    </row>
    <row r="88" spans="2:11" ht="12.75">
      <c r="B88" s="28" t="s">
        <v>92</v>
      </c>
      <c r="C88" s="28"/>
      <c r="D88" s="28" t="s">
        <v>16</v>
      </c>
      <c r="G88" s="30">
        <v>111580</v>
      </c>
      <c r="I88" s="30">
        <v>134599</v>
      </c>
      <c r="K88" s="30">
        <v>132569</v>
      </c>
    </row>
    <row r="89" spans="2:11" ht="12.75">
      <c r="B89" s="28" t="s">
        <v>95</v>
      </c>
      <c r="C89" s="28"/>
      <c r="D89" s="28" t="s">
        <v>14</v>
      </c>
      <c r="G89" s="30">
        <v>9.5</v>
      </c>
      <c r="I89" s="30">
        <v>9.5</v>
      </c>
      <c r="K89" s="30">
        <v>9.9</v>
      </c>
    </row>
    <row r="90" spans="2:11" ht="12.75">
      <c r="B90" s="28" t="s">
        <v>96</v>
      </c>
      <c r="C90" s="28"/>
      <c r="D90" s="28" t="s">
        <v>14</v>
      </c>
      <c r="G90" s="30">
        <v>27.3</v>
      </c>
      <c r="I90" s="30">
        <v>30.9</v>
      </c>
      <c r="K90" s="30">
        <v>31.8</v>
      </c>
    </row>
    <row r="91" spans="2:11" ht="12.75">
      <c r="B91" s="28" t="s">
        <v>91</v>
      </c>
      <c r="C91" s="28"/>
      <c r="D91" s="28" t="s">
        <v>17</v>
      </c>
      <c r="G91" s="30">
        <v>293</v>
      </c>
      <c r="I91" s="30">
        <v>309</v>
      </c>
      <c r="K91" s="30">
        <v>305</v>
      </c>
    </row>
    <row r="93" spans="2:15" ht="12.75">
      <c r="B93" s="30" t="s">
        <v>102</v>
      </c>
      <c r="C93" s="30" t="s">
        <v>255</v>
      </c>
      <c r="D93" s="28" t="s">
        <v>66</v>
      </c>
      <c r="E93" s="28" t="s">
        <v>15</v>
      </c>
      <c r="G93" s="30">
        <v>2.73</v>
      </c>
      <c r="I93" s="30">
        <v>5.53</v>
      </c>
      <c r="K93" s="30">
        <v>6.04</v>
      </c>
      <c r="O93" s="38">
        <f aca="true" t="shared" si="1" ref="O93:O103">AVERAGE(G93,I93,K93)</f>
        <v>4.766666666666667</v>
      </c>
    </row>
    <row r="94" spans="2:15" ht="12.75">
      <c r="B94" s="30" t="s">
        <v>98</v>
      </c>
      <c r="C94" s="28" t="s">
        <v>255</v>
      </c>
      <c r="D94" s="28" t="s">
        <v>66</v>
      </c>
      <c r="E94" s="28" t="s">
        <v>15</v>
      </c>
      <c r="G94" s="30">
        <v>0.065</v>
      </c>
      <c r="H94" s="29" t="s">
        <v>13</v>
      </c>
      <c r="I94" s="30">
        <v>3.91</v>
      </c>
      <c r="J94" s="29" t="s">
        <v>13</v>
      </c>
      <c r="K94" s="30">
        <v>4.33</v>
      </c>
      <c r="N94" s="29">
        <f>(I94+K94)/(3*O94)*100</f>
        <v>99.2173389524383</v>
      </c>
      <c r="O94" s="38">
        <f t="shared" si="1"/>
        <v>2.768333333333333</v>
      </c>
    </row>
    <row r="95" spans="2:15" ht="12.75">
      <c r="B95" s="30" t="s">
        <v>100</v>
      </c>
      <c r="C95" s="28" t="s">
        <v>255</v>
      </c>
      <c r="D95" s="28" t="s">
        <v>66</v>
      </c>
      <c r="E95" s="28" t="s">
        <v>15</v>
      </c>
      <c r="F95" s="29" t="s">
        <v>13</v>
      </c>
      <c r="G95" s="30">
        <v>0.066</v>
      </c>
      <c r="H95" s="29" t="s">
        <v>13</v>
      </c>
      <c r="I95" s="30">
        <v>0.056</v>
      </c>
      <c r="J95" s="29" t="s">
        <v>13</v>
      </c>
      <c r="K95" s="30">
        <v>0.062</v>
      </c>
      <c r="N95" s="29">
        <v>100</v>
      </c>
      <c r="O95" s="38">
        <f t="shared" si="1"/>
        <v>0.06133333333333333</v>
      </c>
    </row>
    <row r="96" spans="2:15" ht="12.75">
      <c r="B96" s="30" t="s">
        <v>105</v>
      </c>
      <c r="C96" s="28" t="s">
        <v>255</v>
      </c>
      <c r="D96" s="28" t="s">
        <v>66</v>
      </c>
      <c r="E96" s="28" t="s">
        <v>15</v>
      </c>
      <c r="G96" s="30">
        <v>0.6</v>
      </c>
      <c r="I96" s="30">
        <v>0.73</v>
      </c>
      <c r="K96" s="30">
        <v>0.67</v>
      </c>
      <c r="O96" s="38">
        <f t="shared" si="1"/>
        <v>0.6666666666666666</v>
      </c>
    </row>
    <row r="97" spans="2:15" ht="12.75">
      <c r="B97" s="30" t="s">
        <v>107</v>
      </c>
      <c r="C97" s="28" t="s">
        <v>255</v>
      </c>
      <c r="D97" s="28" t="s">
        <v>66</v>
      </c>
      <c r="E97" s="28" t="s">
        <v>15</v>
      </c>
      <c r="G97" s="30">
        <v>25.45</v>
      </c>
      <c r="I97" s="30">
        <v>42.72</v>
      </c>
      <c r="K97" s="30">
        <v>33.31</v>
      </c>
      <c r="O97" s="38">
        <f t="shared" si="1"/>
        <v>33.82666666666667</v>
      </c>
    </row>
    <row r="98" spans="2:15" ht="12.75">
      <c r="B98" s="54" t="s">
        <v>191</v>
      </c>
      <c r="C98" s="28" t="s">
        <v>255</v>
      </c>
      <c r="D98" s="28" t="s">
        <v>66</v>
      </c>
      <c r="E98" s="28" t="s">
        <v>15</v>
      </c>
      <c r="G98" s="30">
        <v>0.1</v>
      </c>
      <c r="I98" s="30">
        <v>0.094</v>
      </c>
      <c r="K98" s="30">
        <v>0.827</v>
      </c>
      <c r="O98" s="38">
        <f t="shared" si="1"/>
        <v>0.3403333333333333</v>
      </c>
    </row>
    <row r="99" spans="2:15" ht="12.75">
      <c r="B99" s="30" t="s">
        <v>110</v>
      </c>
      <c r="C99" s="28" t="s">
        <v>255</v>
      </c>
      <c r="D99" s="28" t="s">
        <v>66</v>
      </c>
      <c r="E99" s="28" t="s">
        <v>15</v>
      </c>
      <c r="G99" s="30">
        <v>6.64</v>
      </c>
      <c r="I99" s="30">
        <v>2.88</v>
      </c>
      <c r="K99" s="30">
        <v>11.01</v>
      </c>
      <c r="O99" s="38">
        <f t="shared" si="1"/>
        <v>6.843333333333334</v>
      </c>
    </row>
    <row r="100" spans="2:15" ht="12.75">
      <c r="B100" s="30" t="s">
        <v>103</v>
      </c>
      <c r="C100" s="28" t="s">
        <v>255</v>
      </c>
      <c r="D100" s="28" t="s">
        <v>66</v>
      </c>
      <c r="E100" s="28" t="s">
        <v>15</v>
      </c>
      <c r="G100" s="30">
        <v>41.33</v>
      </c>
      <c r="I100" s="30">
        <v>65.82</v>
      </c>
      <c r="K100" s="30">
        <v>72.96</v>
      </c>
      <c r="O100" s="38">
        <f t="shared" si="1"/>
        <v>60.03666666666666</v>
      </c>
    </row>
    <row r="101" spans="2:15" ht="12.75">
      <c r="B101" s="30" t="s">
        <v>104</v>
      </c>
      <c r="C101" s="28" t="s">
        <v>255</v>
      </c>
      <c r="D101" s="28" t="s">
        <v>66</v>
      </c>
      <c r="E101" s="28" t="s">
        <v>15</v>
      </c>
      <c r="G101" s="30">
        <v>40.55</v>
      </c>
      <c r="I101" s="30">
        <v>25.77</v>
      </c>
      <c r="K101" s="30">
        <v>21.19</v>
      </c>
      <c r="O101" s="38">
        <f t="shared" si="1"/>
        <v>29.169999999999998</v>
      </c>
    </row>
    <row r="102" spans="2:15" ht="12.75">
      <c r="B102" s="30" t="s">
        <v>138</v>
      </c>
      <c r="C102" s="28" t="s">
        <v>255</v>
      </c>
      <c r="D102" s="28" t="s">
        <v>66</v>
      </c>
      <c r="E102" s="28" t="s">
        <v>15</v>
      </c>
      <c r="F102" s="29" t="s">
        <v>13</v>
      </c>
      <c r="G102" s="30">
        <v>6.63</v>
      </c>
      <c r="H102" s="29" t="s">
        <v>13</v>
      </c>
      <c r="I102" s="30">
        <v>5.58</v>
      </c>
      <c r="J102" s="29" t="s">
        <v>13</v>
      </c>
      <c r="K102" s="30">
        <v>6.17</v>
      </c>
      <c r="N102" s="29">
        <v>100</v>
      </c>
      <c r="O102" s="38">
        <f t="shared" si="1"/>
        <v>6.126666666666668</v>
      </c>
    </row>
    <row r="103" spans="2:15" ht="12.75">
      <c r="B103" s="30" t="s">
        <v>101</v>
      </c>
      <c r="C103" s="28" t="s">
        <v>255</v>
      </c>
      <c r="D103" s="28" t="s">
        <v>66</v>
      </c>
      <c r="E103" s="28" t="s">
        <v>15</v>
      </c>
      <c r="F103" s="29" t="s">
        <v>13</v>
      </c>
      <c r="G103" s="30">
        <v>3.96</v>
      </c>
      <c r="H103" s="29" t="s">
        <v>13</v>
      </c>
      <c r="I103" s="30">
        <v>3.34</v>
      </c>
      <c r="J103" s="29" t="s">
        <v>13</v>
      </c>
      <c r="K103" s="30">
        <v>3.72</v>
      </c>
      <c r="N103" s="29">
        <v>100</v>
      </c>
      <c r="O103" s="38">
        <f t="shared" si="1"/>
        <v>3.6733333333333333</v>
      </c>
    </row>
    <row r="104" ht="12.75">
      <c r="C104" s="28"/>
    </row>
    <row r="105" spans="2:15" ht="12.75">
      <c r="B105" s="28" t="s">
        <v>75</v>
      </c>
      <c r="C105" s="28" t="s">
        <v>255</v>
      </c>
      <c r="D105" s="28" t="s">
        <v>66</v>
      </c>
      <c r="E105" s="28" t="s">
        <v>15</v>
      </c>
      <c r="G105" s="30">
        <f>G96+G100</f>
        <v>41.93</v>
      </c>
      <c r="I105" s="30">
        <f>I96+I100</f>
        <v>66.55</v>
      </c>
      <c r="K105" s="30">
        <f>K96+K100</f>
        <v>73.63</v>
      </c>
      <c r="O105" s="38">
        <f>AVERAGE(G105,I105,K105)</f>
        <v>60.703333333333326</v>
      </c>
    </row>
    <row r="106" spans="2:15" ht="12.75">
      <c r="B106" s="28" t="s">
        <v>76</v>
      </c>
      <c r="C106" s="28" t="s">
        <v>255</v>
      </c>
      <c r="D106" s="28" t="s">
        <v>66</v>
      </c>
      <c r="E106" s="28" t="s">
        <v>15</v>
      </c>
      <c r="F106" s="29">
        <f>G95/G106*100</f>
        <v>0.25800398733434976</v>
      </c>
      <c r="G106" s="48">
        <f>G97+G94+G95</f>
        <v>25.581</v>
      </c>
      <c r="H106" s="29">
        <f>(I94+I95)/I106*100</f>
        <v>8.495052049865057</v>
      </c>
      <c r="I106" s="48">
        <f>I97+I94+I95</f>
        <v>46.68599999999999</v>
      </c>
      <c r="J106" s="29">
        <f>(K94+K95)/K106*100</f>
        <v>11.649249376690893</v>
      </c>
      <c r="K106" s="48">
        <f>K97+K94+K95</f>
        <v>37.702</v>
      </c>
      <c r="N106" s="29">
        <f>(F106*G106+H106*I106+J106*K106)/(3*O106)</f>
        <v>7.660340641453502</v>
      </c>
      <c r="O106" s="38">
        <f>AVERAGE(G106,I106,K106)</f>
        <v>36.65633333333333</v>
      </c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H135"/>
  <sheetViews>
    <sheetView zoomScale="80" zoomScaleNormal="80" workbookViewId="0" topLeftCell="B1">
      <selection activeCell="S32" sqref="S32"/>
    </sheetView>
  </sheetViews>
  <sheetFormatPr defaultColWidth="9.140625" defaultRowHeight="12.75"/>
  <cols>
    <col min="1" max="1" width="3.28125" style="24" hidden="1" customWidth="1"/>
    <col min="2" max="2" width="21.7109375" style="0" customWidth="1"/>
    <col min="3" max="3" width="7.8515625" style="0" customWidth="1"/>
    <col min="5" max="5" width="3.57421875" style="0" customWidth="1"/>
    <col min="6" max="6" width="3.421875" style="3" bestFit="1" customWidth="1"/>
    <col min="7" max="7" width="8.140625" style="0" customWidth="1"/>
    <col min="8" max="8" width="3.00390625" style="3" bestFit="1" customWidth="1"/>
    <col min="9" max="9" width="8.7109375" style="0" customWidth="1"/>
    <col min="10" max="10" width="3.00390625" style="3" bestFit="1" customWidth="1"/>
    <col min="11" max="11" width="7.8515625" style="0" customWidth="1"/>
    <col min="12" max="12" width="3.00390625" style="3" bestFit="1" customWidth="1"/>
    <col min="13" max="13" width="8.57421875" style="0" customWidth="1"/>
    <col min="14" max="14" width="3.00390625" style="0" bestFit="1" customWidth="1"/>
    <col min="15" max="15" width="7.7109375" style="0" customWidth="1"/>
    <col min="16" max="16" width="2.7109375" style="0" customWidth="1"/>
    <col min="18" max="18" width="4.140625" style="0" customWidth="1"/>
    <col min="19" max="19" width="10.00390625" style="0" customWidth="1"/>
    <col min="20" max="20" width="0" style="0" hidden="1" customWidth="1"/>
    <col min="21" max="21" width="2.140625" style="0" hidden="1" customWidth="1"/>
    <col min="22" max="23" width="9.140625" style="0" hidden="1" customWidth="1"/>
    <col min="24" max="31" width="0" style="0" hidden="1" customWidth="1"/>
  </cols>
  <sheetData>
    <row r="1" ht="12.75">
      <c r="B1" s="2" t="s">
        <v>243</v>
      </c>
    </row>
    <row r="2" ht="12.75">
      <c r="B2" s="2"/>
    </row>
    <row r="4" spans="1:19" ht="12.75">
      <c r="A4" s="24">
        <v>1</v>
      </c>
      <c r="B4" s="2" t="s">
        <v>175</v>
      </c>
      <c r="G4" s="3" t="s">
        <v>124</v>
      </c>
      <c r="I4" s="3" t="s">
        <v>125</v>
      </c>
      <c r="K4" s="3" t="s">
        <v>126</v>
      </c>
      <c r="M4" s="3" t="s">
        <v>186</v>
      </c>
      <c r="N4" s="3"/>
      <c r="O4" s="3" t="s">
        <v>187</v>
      </c>
      <c r="P4" s="3"/>
      <c r="Q4" s="3" t="s">
        <v>188</v>
      </c>
      <c r="R4" s="3"/>
      <c r="S4" s="3" t="s">
        <v>67</v>
      </c>
    </row>
    <row r="5" spans="2:19" ht="12.75">
      <c r="B5" s="2"/>
      <c r="G5" s="3"/>
      <c r="I5" s="3"/>
      <c r="K5" s="3"/>
      <c r="M5" s="3"/>
      <c r="N5" s="3"/>
      <c r="O5" s="3"/>
      <c r="P5" s="3"/>
      <c r="Q5" s="3"/>
      <c r="R5" s="3"/>
      <c r="S5" s="3"/>
    </row>
    <row r="6" spans="1:60" s="52" customFormat="1" ht="12.75">
      <c r="A6" s="57"/>
      <c r="B6" s="52" t="s">
        <v>18</v>
      </c>
      <c r="C6" s="52" t="s">
        <v>252</v>
      </c>
      <c r="D6" s="52" t="s">
        <v>19</v>
      </c>
      <c r="E6" s="52" t="s">
        <v>15</v>
      </c>
      <c r="F6" s="68" t="s">
        <v>189</v>
      </c>
      <c r="G6" s="58">
        <v>0.01284150669682759</v>
      </c>
      <c r="H6" s="69" t="s">
        <v>189</v>
      </c>
      <c r="I6" s="58">
        <v>0.01402961285658947</v>
      </c>
      <c r="J6" s="69" t="s">
        <v>189</v>
      </c>
      <c r="K6" s="58">
        <v>0.015325683944170209</v>
      </c>
      <c r="L6" s="69" t="s">
        <v>189</v>
      </c>
      <c r="M6" s="58">
        <v>0.01382329502046316</v>
      </c>
      <c r="N6" s="53" t="s">
        <v>189</v>
      </c>
      <c r="P6" s="53" t="s">
        <v>189</v>
      </c>
      <c r="R6" s="53" t="s">
        <v>189</v>
      </c>
      <c r="S6" s="58">
        <f aca="true" t="shared" si="0" ref="S6:S25">AVERAGE(G6,I6,K6,M6)</f>
        <v>0.014005024629512607</v>
      </c>
      <c r="U6" s="53" t="s">
        <v>189</v>
      </c>
      <c r="W6" s="53" t="s">
        <v>189</v>
      </c>
      <c r="Y6" s="53" t="s">
        <v>189</v>
      </c>
      <c r="AA6" s="53" t="s">
        <v>189</v>
      </c>
      <c r="AC6" s="53" t="s">
        <v>189</v>
      </c>
      <c r="AE6" s="53" t="s">
        <v>189</v>
      </c>
      <c r="BH6"/>
    </row>
    <row r="7" spans="1:60" s="54" customFormat="1" ht="12.75">
      <c r="A7" s="57"/>
      <c r="B7" s="54" t="s">
        <v>119</v>
      </c>
      <c r="C7" s="52" t="s">
        <v>252</v>
      </c>
      <c r="D7" s="54" t="s">
        <v>63</v>
      </c>
      <c r="E7" s="52" t="s">
        <v>15</v>
      </c>
      <c r="F7" s="68" t="s">
        <v>189</v>
      </c>
      <c r="G7" s="54">
        <v>48</v>
      </c>
      <c r="H7" s="68" t="s">
        <v>189</v>
      </c>
      <c r="I7" s="54">
        <v>51</v>
      </c>
      <c r="J7" s="68" t="s">
        <v>189</v>
      </c>
      <c r="K7" s="54">
        <v>48</v>
      </c>
      <c r="L7" s="68" t="s">
        <v>189</v>
      </c>
      <c r="M7" s="54">
        <v>52</v>
      </c>
      <c r="N7" s="53" t="s">
        <v>189</v>
      </c>
      <c r="P7" s="53" t="s">
        <v>189</v>
      </c>
      <c r="R7" s="53" t="s">
        <v>189</v>
      </c>
      <c r="S7" s="54">
        <f t="shared" si="0"/>
        <v>49.75</v>
      </c>
      <c r="U7" s="53" t="s">
        <v>189</v>
      </c>
      <c r="W7" s="53" t="s">
        <v>189</v>
      </c>
      <c r="Y7" s="53" t="s">
        <v>189</v>
      </c>
      <c r="AA7" s="53" t="s">
        <v>189</v>
      </c>
      <c r="AC7" s="53" t="s">
        <v>189</v>
      </c>
      <c r="AE7" s="53" t="s">
        <v>189</v>
      </c>
      <c r="BH7"/>
    </row>
    <row r="8" spans="1:60" s="54" customFormat="1" ht="12.75">
      <c r="A8" s="57"/>
      <c r="B8" s="54" t="s">
        <v>190</v>
      </c>
      <c r="C8" s="52" t="s">
        <v>252</v>
      </c>
      <c r="D8" s="54" t="s">
        <v>63</v>
      </c>
      <c r="E8" s="52" t="s">
        <v>15</v>
      </c>
      <c r="F8" s="68" t="s">
        <v>189</v>
      </c>
      <c r="G8" s="54">
        <v>47</v>
      </c>
      <c r="H8" s="68" t="s">
        <v>189</v>
      </c>
      <c r="I8" s="54">
        <v>47</v>
      </c>
      <c r="J8" s="68" t="s">
        <v>189</v>
      </c>
      <c r="K8" s="54">
        <v>45</v>
      </c>
      <c r="L8" s="68" t="s">
        <v>189</v>
      </c>
      <c r="M8" s="54">
        <v>50</v>
      </c>
      <c r="N8" s="53" t="s">
        <v>189</v>
      </c>
      <c r="P8" s="53" t="s">
        <v>189</v>
      </c>
      <c r="R8" s="53" t="s">
        <v>189</v>
      </c>
      <c r="S8" s="54">
        <f t="shared" si="0"/>
        <v>47.25</v>
      </c>
      <c r="U8" s="53" t="s">
        <v>189</v>
      </c>
      <c r="W8" s="53" t="s">
        <v>189</v>
      </c>
      <c r="Y8" s="53" t="s">
        <v>189</v>
      </c>
      <c r="AA8" s="53" t="s">
        <v>189</v>
      </c>
      <c r="AC8" s="53" t="s">
        <v>189</v>
      </c>
      <c r="AE8" s="53" t="s">
        <v>189</v>
      </c>
      <c r="BH8"/>
    </row>
    <row r="9" spans="1:60" s="54" customFormat="1" ht="12.75">
      <c r="A9" s="57"/>
      <c r="B9" s="54" t="s">
        <v>20</v>
      </c>
      <c r="C9" s="52" t="s">
        <v>254</v>
      </c>
      <c r="D9" s="54" t="s">
        <v>63</v>
      </c>
      <c r="E9" s="52" t="s">
        <v>15</v>
      </c>
      <c r="F9" s="68" t="s">
        <v>189</v>
      </c>
      <c r="G9" s="54">
        <v>4.634482758620689</v>
      </c>
      <c r="H9" s="68" t="s">
        <v>189</v>
      </c>
      <c r="I9" s="54">
        <v>2.4905263157894733</v>
      </c>
      <c r="J9" s="68" t="s">
        <v>189</v>
      </c>
      <c r="K9" s="54">
        <v>3.425531914893616</v>
      </c>
      <c r="L9" s="68" t="s">
        <v>189</v>
      </c>
      <c r="M9" s="54">
        <v>5.806315789473683</v>
      </c>
      <c r="N9" s="53" t="s">
        <v>189</v>
      </c>
      <c r="P9" s="53" t="s">
        <v>189</v>
      </c>
      <c r="R9" s="53" t="s">
        <v>189</v>
      </c>
      <c r="S9" s="54">
        <f t="shared" si="0"/>
        <v>4.089214194694366</v>
      </c>
      <c r="U9" s="53" t="s">
        <v>189</v>
      </c>
      <c r="W9" s="53" t="s">
        <v>189</v>
      </c>
      <c r="Y9" s="53" t="s">
        <v>189</v>
      </c>
      <c r="AA9" s="53" t="s">
        <v>189</v>
      </c>
      <c r="AC9" s="53" t="s">
        <v>189</v>
      </c>
      <c r="AE9" s="53" t="s">
        <v>189</v>
      </c>
      <c r="BH9"/>
    </row>
    <row r="10" spans="1:60" s="54" customFormat="1" ht="12.75">
      <c r="A10" s="57"/>
      <c r="B10" s="54" t="s">
        <v>65</v>
      </c>
      <c r="C10" s="52" t="s">
        <v>254</v>
      </c>
      <c r="D10" s="54" t="s">
        <v>63</v>
      </c>
      <c r="E10" s="52" t="s">
        <v>15</v>
      </c>
      <c r="F10" s="68" t="s">
        <v>189</v>
      </c>
      <c r="G10" s="54">
        <v>0.29770114942528725</v>
      </c>
      <c r="H10" s="68" t="s">
        <v>189</v>
      </c>
      <c r="I10" s="54">
        <v>0.22694736842105262</v>
      </c>
      <c r="J10" s="68" t="s">
        <v>189</v>
      </c>
      <c r="K10" s="54">
        <v>0.24127659574468</v>
      </c>
      <c r="L10" s="68" t="s">
        <v>189</v>
      </c>
      <c r="M10" s="54">
        <v>0.196</v>
      </c>
      <c r="N10" s="53" t="s">
        <v>189</v>
      </c>
      <c r="P10" s="53" t="s">
        <v>189</v>
      </c>
      <c r="R10" s="53" t="s">
        <v>189</v>
      </c>
      <c r="S10" s="54">
        <f t="shared" si="0"/>
        <v>0.24048127839775496</v>
      </c>
      <c r="U10" s="53" t="s">
        <v>189</v>
      </c>
      <c r="W10" s="53" t="s">
        <v>189</v>
      </c>
      <c r="Y10" s="53" t="s">
        <v>189</v>
      </c>
      <c r="AA10" s="53" t="s">
        <v>189</v>
      </c>
      <c r="AC10" s="53" t="s">
        <v>189</v>
      </c>
      <c r="AE10" s="53" t="s">
        <v>189</v>
      </c>
      <c r="BH10"/>
    </row>
    <row r="11" spans="1:60" s="54" customFormat="1" ht="12.75">
      <c r="A11" s="57"/>
      <c r="B11" s="54" t="s">
        <v>253</v>
      </c>
      <c r="C11" s="52" t="s">
        <v>254</v>
      </c>
      <c r="D11" s="54" t="s">
        <v>63</v>
      </c>
      <c r="E11" s="52" t="s">
        <v>15</v>
      </c>
      <c r="F11" s="68"/>
      <c r="G11" s="54">
        <f>G9+2*G10</f>
        <v>5.229885057471264</v>
      </c>
      <c r="H11" s="68"/>
      <c r="I11" s="54">
        <f>I9+2*I10</f>
        <v>2.9444210526315784</v>
      </c>
      <c r="J11" s="68"/>
      <c r="K11" s="54">
        <f>K9+2*K10</f>
        <v>3.908085106382976</v>
      </c>
      <c r="L11" s="68"/>
      <c r="M11" s="54">
        <f>M9+2*M10</f>
        <v>6.198315789473684</v>
      </c>
      <c r="N11" s="53"/>
      <c r="P11" s="53"/>
      <c r="R11" s="53"/>
      <c r="S11" s="54">
        <f t="shared" si="0"/>
        <v>4.570176751489875</v>
      </c>
      <c r="U11" s="53"/>
      <c r="W11" s="53"/>
      <c r="Y11" s="53"/>
      <c r="AA11" s="53"/>
      <c r="AC11" s="53"/>
      <c r="AE11" s="53"/>
      <c r="BH11"/>
    </row>
    <row r="12" spans="1:60" s="54" customFormat="1" ht="12.75">
      <c r="A12" s="57"/>
      <c r="B12" s="54" t="s">
        <v>102</v>
      </c>
      <c r="C12" s="54" t="s">
        <v>255</v>
      </c>
      <c r="D12" s="54" t="s">
        <v>66</v>
      </c>
      <c r="E12" s="52" t="s">
        <v>15</v>
      </c>
      <c r="F12" s="68" t="s">
        <v>13</v>
      </c>
      <c r="G12" s="54">
        <v>0.6377908269662921</v>
      </c>
      <c r="H12" s="68" t="s">
        <v>13</v>
      </c>
      <c r="I12" s="54">
        <v>0.6494666315789474</v>
      </c>
      <c r="J12" s="68" t="s">
        <v>13</v>
      </c>
      <c r="K12" s="54">
        <v>0.6348944595744681</v>
      </c>
      <c r="L12" s="68" t="s">
        <v>13</v>
      </c>
      <c r="M12" s="54">
        <v>0.6211262694736841</v>
      </c>
      <c r="N12" s="53" t="s">
        <v>189</v>
      </c>
      <c r="P12" s="53" t="s">
        <v>189</v>
      </c>
      <c r="R12" s="53">
        <v>100</v>
      </c>
      <c r="S12" s="54">
        <f t="shared" si="0"/>
        <v>0.6358195468983479</v>
      </c>
      <c r="U12" s="53" t="s">
        <v>189</v>
      </c>
      <c r="W12" s="53" t="s">
        <v>189</v>
      </c>
      <c r="Y12" s="53" t="s">
        <v>189</v>
      </c>
      <c r="AA12" s="53" t="s">
        <v>189</v>
      </c>
      <c r="AC12" s="53" t="s">
        <v>189</v>
      </c>
      <c r="AE12" s="53" t="s">
        <v>189</v>
      </c>
      <c r="BH12"/>
    </row>
    <row r="13" spans="1:60" s="54" customFormat="1" ht="12.75">
      <c r="A13" s="57"/>
      <c r="B13" s="54" t="s">
        <v>98</v>
      </c>
      <c r="C13" s="54" t="s">
        <v>255</v>
      </c>
      <c r="D13" s="54" t="s">
        <v>66</v>
      </c>
      <c r="E13" s="52" t="s">
        <v>15</v>
      </c>
      <c r="F13" s="68" t="s">
        <v>13</v>
      </c>
      <c r="G13" s="54">
        <v>0.6377908269662921</v>
      </c>
      <c r="H13" s="68" t="s">
        <v>13</v>
      </c>
      <c r="I13" s="54">
        <v>0.6494666315789474</v>
      </c>
      <c r="J13" s="68" t="s">
        <v>13</v>
      </c>
      <c r="K13" s="54">
        <v>0.6348944595744681</v>
      </c>
      <c r="L13" s="68" t="s">
        <v>13</v>
      </c>
      <c r="M13" s="54">
        <v>0.6211262694736841</v>
      </c>
      <c r="N13" s="53" t="s">
        <v>189</v>
      </c>
      <c r="P13" s="53" t="s">
        <v>189</v>
      </c>
      <c r="R13" s="53">
        <v>100</v>
      </c>
      <c r="S13" s="54">
        <f t="shared" si="0"/>
        <v>0.6358195468983479</v>
      </c>
      <c r="U13" s="53" t="s">
        <v>189</v>
      </c>
      <c r="W13" s="53" t="s">
        <v>189</v>
      </c>
      <c r="Y13" s="53" t="s">
        <v>189</v>
      </c>
      <c r="AA13" s="53" t="s">
        <v>189</v>
      </c>
      <c r="AC13" s="53" t="s">
        <v>189</v>
      </c>
      <c r="AE13" s="53" t="s">
        <v>189</v>
      </c>
      <c r="BH13"/>
    </row>
    <row r="14" spans="1:60" s="54" customFormat="1" ht="12.75">
      <c r="A14" s="57"/>
      <c r="B14" s="54" t="s">
        <v>99</v>
      </c>
      <c r="C14" s="54" t="s">
        <v>255</v>
      </c>
      <c r="D14" s="54" t="s">
        <v>66</v>
      </c>
      <c r="E14" s="52" t="s">
        <v>15</v>
      </c>
      <c r="F14" s="68" t="s">
        <v>189</v>
      </c>
      <c r="G14" s="54">
        <v>23.62094880898876</v>
      </c>
      <c r="H14" s="68" t="s">
        <v>189</v>
      </c>
      <c r="I14" s="54">
        <v>17.5474075368421</v>
      </c>
      <c r="J14" s="68" t="s">
        <v>189</v>
      </c>
      <c r="K14" s="54">
        <v>14.010640893617</v>
      </c>
      <c r="L14" s="68" t="s">
        <v>189</v>
      </c>
      <c r="M14" s="54">
        <v>13.934011368421</v>
      </c>
      <c r="N14" s="53" t="s">
        <v>189</v>
      </c>
      <c r="P14" s="53" t="s">
        <v>189</v>
      </c>
      <c r="R14" s="53" t="s">
        <v>189</v>
      </c>
      <c r="S14" s="54">
        <f t="shared" si="0"/>
        <v>17.278252151967216</v>
      </c>
      <c r="U14" s="53" t="s">
        <v>189</v>
      </c>
      <c r="W14" s="53" t="s">
        <v>189</v>
      </c>
      <c r="Y14" s="53" t="s">
        <v>189</v>
      </c>
      <c r="AA14" s="53" t="s">
        <v>189</v>
      </c>
      <c r="AC14" s="53" t="s">
        <v>189</v>
      </c>
      <c r="AE14" s="53" t="s">
        <v>189</v>
      </c>
      <c r="BH14"/>
    </row>
    <row r="15" spans="1:60" s="54" customFormat="1" ht="12.75">
      <c r="A15" s="57"/>
      <c r="B15" s="54" t="s">
        <v>100</v>
      </c>
      <c r="C15" s="54" t="s">
        <v>255</v>
      </c>
      <c r="D15" s="54" t="s">
        <v>66</v>
      </c>
      <c r="E15" s="52" t="s">
        <v>15</v>
      </c>
      <c r="F15" s="68" t="s">
        <v>13</v>
      </c>
      <c r="G15" s="54">
        <v>0.0637790826966292</v>
      </c>
      <c r="H15" s="68" t="s">
        <v>13</v>
      </c>
      <c r="I15" s="54">
        <v>0.06494666315789473</v>
      </c>
      <c r="J15" s="68" t="s">
        <v>13</v>
      </c>
      <c r="K15" s="54">
        <v>0.06348944595744681</v>
      </c>
      <c r="L15" s="68" t="s">
        <v>13</v>
      </c>
      <c r="M15" s="54">
        <v>0.06211262694736842</v>
      </c>
      <c r="N15" s="53" t="s">
        <v>189</v>
      </c>
      <c r="P15" s="53" t="s">
        <v>189</v>
      </c>
      <c r="R15" s="53">
        <v>100</v>
      </c>
      <c r="S15" s="54">
        <f t="shared" si="0"/>
        <v>0.06358195468983478</v>
      </c>
      <c r="U15" s="53" t="s">
        <v>189</v>
      </c>
      <c r="W15" s="53" t="s">
        <v>189</v>
      </c>
      <c r="Y15" s="53" t="s">
        <v>189</v>
      </c>
      <c r="AA15" s="53" t="s">
        <v>189</v>
      </c>
      <c r="AC15" s="53" t="s">
        <v>189</v>
      </c>
      <c r="AE15" s="53" t="s">
        <v>189</v>
      </c>
      <c r="BH15"/>
    </row>
    <row r="16" spans="1:60" s="54" customFormat="1" ht="12.75">
      <c r="A16" s="57"/>
      <c r="B16" s="54" t="s">
        <v>105</v>
      </c>
      <c r="C16" s="54" t="s">
        <v>255</v>
      </c>
      <c r="D16" s="54" t="s">
        <v>66</v>
      </c>
      <c r="E16" s="52" t="s">
        <v>15</v>
      </c>
      <c r="F16" s="68" t="s">
        <v>189</v>
      </c>
      <c r="G16" s="54">
        <v>28.990492134831456</v>
      </c>
      <c r="H16" s="68" t="s">
        <v>189</v>
      </c>
      <c r="I16" s="54">
        <v>31.882907368421</v>
      </c>
      <c r="J16" s="68" t="s">
        <v>189</v>
      </c>
      <c r="K16" s="54">
        <v>26.255034042553184</v>
      </c>
      <c r="L16" s="68" t="s">
        <v>189</v>
      </c>
      <c r="M16" s="54">
        <v>35.425452631579</v>
      </c>
      <c r="N16" s="53" t="s">
        <v>189</v>
      </c>
      <c r="P16" s="53" t="s">
        <v>189</v>
      </c>
      <c r="R16" s="53" t="s">
        <v>189</v>
      </c>
      <c r="S16" s="54">
        <f t="shared" si="0"/>
        <v>30.63847154434616</v>
      </c>
      <c r="U16" s="53" t="s">
        <v>189</v>
      </c>
      <c r="W16" s="53" t="s">
        <v>189</v>
      </c>
      <c r="Y16" s="53" t="s">
        <v>189</v>
      </c>
      <c r="AA16" s="53" t="s">
        <v>189</v>
      </c>
      <c r="AC16" s="53" t="s">
        <v>189</v>
      </c>
      <c r="AE16" s="53" t="s">
        <v>189</v>
      </c>
      <c r="BH16"/>
    </row>
    <row r="17" spans="1:60" s="54" customFormat="1" ht="12.75">
      <c r="A17" s="57"/>
      <c r="B17" s="54" t="s">
        <v>107</v>
      </c>
      <c r="C17" s="54" t="s">
        <v>255</v>
      </c>
      <c r="D17" s="54" t="s">
        <v>66</v>
      </c>
      <c r="E17" s="52" t="s">
        <v>15</v>
      </c>
      <c r="F17" s="68" t="s">
        <v>189</v>
      </c>
      <c r="G17" s="54">
        <v>9.100493617977527</v>
      </c>
      <c r="H17" s="68" t="s">
        <v>189</v>
      </c>
      <c r="I17" s="54">
        <v>8.809129221052633</v>
      </c>
      <c r="J17" s="68" t="s">
        <v>189</v>
      </c>
      <c r="K17" s="54">
        <v>6.778572425531913</v>
      </c>
      <c r="L17" s="68" t="s">
        <v>189</v>
      </c>
      <c r="M17" s="54">
        <v>9.635723115789473</v>
      </c>
      <c r="N17" s="53" t="s">
        <v>189</v>
      </c>
      <c r="P17" s="53" t="s">
        <v>189</v>
      </c>
      <c r="R17" s="53" t="s">
        <v>189</v>
      </c>
      <c r="S17" s="54">
        <f t="shared" si="0"/>
        <v>8.580979595087886</v>
      </c>
      <c r="U17" s="53" t="s">
        <v>189</v>
      </c>
      <c r="W17" s="53" t="s">
        <v>189</v>
      </c>
      <c r="Y17" s="53" t="s">
        <v>189</v>
      </c>
      <c r="AA17" s="53" t="s">
        <v>189</v>
      </c>
      <c r="AC17" s="53" t="s">
        <v>189</v>
      </c>
      <c r="AE17" s="53" t="s">
        <v>189</v>
      </c>
      <c r="BH17"/>
    </row>
    <row r="18" spans="1:60" s="54" customFormat="1" ht="12.75">
      <c r="A18" s="57"/>
      <c r="B18" s="54" t="s">
        <v>191</v>
      </c>
      <c r="C18" s="54" t="s">
        <v>256</v>
      </c>
      <c r="D18" s="54" t="s">
        <v>66</v>
      </c>
      <c r="E18" s="52" t="s">
        <v>15</v>
      </c>
      <c r="F18" s="68" t="s">
        <v>189</v>
      </c>
      <c r="G18" s="54">
        <v>0.8581237649484535</v>
      </c>
      <c r="H18" s="68" t="s">
        <v>189</v>
      </c>
      <c r="I18" s="54">
        <v>1.160332670707071</v>
      </c>
      <c r="J18" s="68" t="s">
        <v>189</v>
      </c>
      <c r="K18" s="54">
        <v>0.8072377195876288</v>
      </c>
      <c r="L18" s="68" t="s">
        <v>189</v>
      </c>
      <c r="M18" s="54">
        <v>0.925785162105263</v>
      </c>
      <c r="N18" s="53" t="s">
        <v>189</v>
      </c>
      <c r="P18" s="53" t="s">
        <v>189</v>
      </c>
      <c r="R18" s="53" t="s">
        <v>189</v>
      </c>
      <c r="S18" s="54">
        <f t="shared" si="0"/>
        <v>0.937869829337104</v>
      </c>
      <c r="U18" s="53" t="s">
        <v>189</v>
      </c>
      <c r="W18" s="53" t="s">
        <v>189</v>
      </c>
      <c r="Y18" s="53" t="s">
        <v>189</v>
      </c>
      <c r="AA18" s="53" t="s">
        <v>189</v>
      </c>
      <c r="AC18" s="53" t="s">
        <v>189</v>
      </c>
      <c r="AE18" s="53" t="s">
        <v>189</v>
      </c>
      <c r="BH18"/>
    </row>
    <row r="19" spans="1:60" s="54" customFormat="1" ht="12.75">
      <c r="A19" s="57"/>
      <c r="B19" s="54" t="s">
        <v>103</v>
      </c>
      <c r="C19" s="54" t="s">
        <v>255</v>
      </c>
      <c r="D19" s="54" t="s">
        <v>66</v>
      </c>
      <c r="E19" s="52" t="s">
        <v>15</v>
      </c>
      <c r="F19" s="68" t="s">
        <v>189</v>
      </c>
      <c r="G19" s="54">
        <v>50.67033842696629</v>
      </c>
      <c r="H19" s="68" t="s">
        <v>189</v>
      </c>
      <c r="I19" s="54">
        <v>41.56586442105263</v>
      </c>
      <c r="J19" s="68" t="s">
        <v>189</v>
      </c>
      <c r="K19" s="54">
        <v>72.7980489361702</v>
      </c>
      <c r="L19" s="68" t="s">
        <v>189</v>
      </c>
      <c r="M19" s="54">
        <v>106.04018821052631</v>
      </c>
      <c r="N19" s="53" t="s">
        <v>189</v>
      </c>
      <c r="P19" s="53" t="s">
        <v>189</v>
      </c>
      <c r="R19" s="53" t="s">
        <v>189</v>
      </c>
      <c r="S19" s="54">
        <f t="shared" si="0"/>
        <v>67.76860999867885</v>
      </c>
      <c r="U19" s="53" t="s">
        <v>189</v>
      </c>
      <c r="W19" s="53" t="s">
        <v>189</v>
      </c>
      <c r="Y19" s="53" t="s">
        <v>189</v>
      </c>
      <c r="AA19" s="53" t="s">
        <v>189</v>
      </c>
      <c r="AC19" s="53" t="s">
        <v>189</v>
      </c>
      <c r="AE19" s="53" t="s">
        <v>189</v>
      </c>
      <c r="BH19"/>
    </row>
    <row r="20" spans="1:60" s="54" customFormat="1" ht="12.75">
      <c r="A20" s="57"/>
      <c r="B20" s="54" t="s">
        <v>110</v>
      </c>
      <c r="C20" s="54" t="s">
        <v>255</v>
      </c>
      <c r="D20" s="54" t="s">
        <v>66</v>
      </c>
      <c r="E20" s="52" t="s">
        <v>15</v>
      </c>
      <c r="F20" s="68" t="s">
        <v>13</v>
      </c>
      <c r="G20" s="54">
        <v>12.07517020224719</v>
      </c>
      <c r="H20" s="68" t="s">
        <v>189</v>
      </c>
      <c r="I20" s="54">
        <v>21.46782429473684</v>
      </c>
      <c r="J20" s="68" t="s">
        <v>189</v>
      </c>
      <c r="K20" s="54">
        <v>19.977694085106382</v>
      </c>
      <c r="L20" s="68" t="s">
        <v>189</v>
      </c>
      <c r="M20" s="54">
        <v>25.03398652631579</v>
      </c>
      <c r="N20" s="53" t="s">
        <v>189</v>
      </c>
      <c r="P20" s="53" t="s">
        <v>189</v>
      </c>
      <c r="R20" s="53">
        <f>G20/(4*S20)*100</f>
        <v>15.371676078582643</v>
      </c>
      <c r="S20" s="54">
        <f t="shared" si="0"/>
        <v>19.63866877710155</v>
      </c>
      <c r="U20" s="53" t="s">
        <v>189</v>
      </c>
      <c r="W20" s="53" t="s">
        <v>189</v>
      </c>
      <c r="Y20" s="53" t="s">
        <v>189</v>
      </c>
      <c r="AA20" s="53" t="s">
        <v>189</v>
      </c>
      <c r="AC20" s="53" t="s">
        <v>189</v>
      </c>
      <c r="AE20" s="53" t="s">
        <v>189</v>
      </c>
      <c r="BH20"/>
    </row>
    <row r="21" spans="1:60" s="54" customFormat="1" ht="12.75">
      <c r="A21" s="57"/>
      <c r="B21" s="54" t="s">
        <v>104</v>
      </c>
      <c r="C21" s="54" t="s">
        <v>255</v>
      </c>
      <c r="D21" s="54" t="s">
        <v>66</v>
      </c>
      <c r="E21" s="52" t="s">
        <v>15</v>
      </c>
      <c r="F21" s="68" t="s">
        <v>189</v>
      </c>
      <c r="G21" s="54">
        <v>8.394638157303369</v>
      </c>
      <c r="H21" s="68" t="s">
        <v>189</v>
      </c>
      <c r="I21" s="54">
        <v>5.361051831578947</v>
      </c>
      <c r="J21" s="68" t="s">
        <v>189</v>
      </c>
      <c r="K21" s="54">
        <v>4.176937234042553</v>
      </c>
      <c r="L21" s="68" t="s">
        <v>189</v>
      </c>
      <c r="M21" s="54">
        <v>5.9278590736842105</v>
      </c>
      <c r="N21" s="53" t="s">
        <v>189</v>
      </c>
      <c r="P21" s="53" t="s">
        <v>189</v>
      </c>
      <c r="R21" s="53" t="s">
        <v>189</v>
      </c>
      <c r="S21" s="54">
        <f t="shared" si="0"/>
        <v>5.9651215741522705</v>
      </c>
      <c r="U21" s="53" t="s">
        <v>189</v>
      </c>
      <c r="W21" s="53" t="s">
        <v>189</v>
      </c>
      <c r="Y21" s="53" t="s">
        <v>189</v>
      </c>
      <c r="AA21" s="53" t="s">
        <v>189</v>
      </c>
      <c r="AC21" s="53" t="s">
        <v>189</v>
      </c>
      <c r="AE21" s="53" t="s">
        <v>189</v>
      </c>
      <c r="BH21"/>
    </row>
    <row r="22" spans="1:60" s="54" customFormat="1" ht="12.75">
      <c r="A22" s="57"/>
      <c r="B22" s="54" t="s">
        <v>106</v>
      </c>
      <c r="C22" s="54" t="s">
        <v>255</v>
      </c>
      <c r="D22" s="54" t="s">
        <v>66</v>
      </c>
      <c r="E22" s="52" t="s">
        <v>15</v>
      </c>
      <c r="F22" s="68" t="s">
        <v>189</v>
      </c>
      <c r="G22" s="54">
        <v>0.34536499325842696</v>
      </c>
      <c r="H22" s="68" t="s">
        <v>189</v>
      </c>
      <c r="I22" s="54">
        <v>0.37787149473684206</v>
      </c>
      <c r="J22" s="68" t="s">
        <v>189</v>
      </c>
      <c r="K22" s="54">
        <v>0.4630433276595744</v>
      </c>
      <c r="L22" s="68" t="s">
        <v>189</v>
      </c>
      <c r="M22" s="54">
        <v>0.4227437347368421</v>
      </c>
      <c r="N22" s="53" t="s">
        <v>189</v>
      </c>
      <c r="P22" s="53" t="s">
        <v>189</v>
      </c>
      <c r="R22" s="53" t="s">
        <v>189</v>
      </c>
      <c r="S22" s="54">
        <f t="shared" si="0"/>
        <v>0.4022558875979214</v>
      </c>
      <c r="U22" s="53" t="s">
        <v>189</v>
      </c>
      <c r="W22" s="53" t="s">
        <v>189</v>
      </c>
      <c r="Y22" s="53" t="s">
        <v>189</v>
      </c>
      <c r="AA22" s="53" t="s">
        <v>189</v>
      </c>
      <c r="AC22" s="53" t="s">
        <v>189</v>
      </c>
      <c r="AE22" s="53" t="s">
        <v>189</v>
      </c>
      <c r="BH22"/>
    </row>
    <row r="23" spans="1:60" s="54" customFormat="1" ht="12.75">
      <c r="A23" s="57"/>
      <c r="B23" s="54" t="s">
        <v>101</v>
      </c>
      <c r="C23" s="54" t="s">
        <v>255</v>
      </c>
      <c r="D23" s="54" t="s">
        <v>66</v>
      </c>
      <c r="E23" s="52" t="s">
        <v>15</v>
      </c>
      <c r="F23" s="68" t="s">
        <v>13</v>
      </c>
      <c r="G23" s="54">
        <v>0.6377908269662921</v>
      </c>
      <c r="H23" s="68" t="s">
        <v>13</v>
      </c>
      <c r="I23" s="54">
        <v>0.6494666315789474</v>
      </c>
      <c r="J23" s="68" t="s">
        <v>13</v>
      </c>
      <c r="K23" s="54">
        <v>0.6348944595744681</v>
      </c>
      <c r="L23" s="68" t="s">
        <v>13</v>
      </c>
      <c r="M23" s="54">
        <v>0.6211262694736841</v>
      </c>
      <c r="N23" s="53" t="s">
        <v>189</v>
      </c>
      <c r="P23" s="53" t="s">
        <v>189</v>
      </c>
      <c r="R23" s="53">
        <v>100</v>
      </c>
      <c r="S23" s="54">
        <f t="shared" si="0"/>
        <v>0.6358195468983479</v>
      </c>
      <c r="U23" s="53" t="s">
        <v>189</v>
      </c>
      <c r="W23" s="53" t="s">
        <v>189</v>
      </c>
      <c r="Y23" s="53" t="s">
        <v>189</v>
      </c>
      <c r="AA23" s="53" t="s">
        <v>189</v>
      </c>
      <c r="AC23" s="53" t="s">
        <v>189</v>
      </c>
      <c r="AE23" s="53" t="s">
        <v>189</v>
      </c>
      <c r="BH23"/>
    </row>
    <row r="24" spans="1:60" s="54" customFormat="1" ht="12.75">
      <c r="A24" s="57"/>
      <c r="B24" s="54" t="s">
        <v>75</v>
      </c>
      <c r="C24" s="54" t="s">
        <v>255</v>
      </c>
      <c r="D24" s="54" t="s">
        <v>66</v>
      </c>
      <c r="E24" s="52" t="s">
        <v>15</v>
      </c>
      <c r="F24" s="68"/>
      <c r="G24" s="54">
        <f>G19+G16</f>
        <v>79.66083056179775</v>
      </c>
      <c r="H24" s="68"/>
      <c r="I24" s="54">
        <f>I19+I16</f>
        <v>73.44877178947362</v>
      </c>
      <c r="J24" s="68"/>
      <c r="K24" s="54">
        <f>K19+K16</f>
        <v>99.05308297872338</v>
      </c>
      <c r="L24" s="68"/>
      <c r="M24" s="54">
        <f>M19+M16</f>
        <v>141.4656408421053</v>
      </c>
      <c r="N24" s="53"/>
      <c r="P24" s="53"/>
      <c r="R24" s="53"/>
      <c r="S24" s="54">
        <f t="shared" si="0"/>
        <v>98.40708154302501</v>
      </c>
      <c r="U24" s="53"/>
      <c r="W24" s="53"/>
      <c r="Y24" s="53"/>
      <c r="AA24" s="53"/>
      <c r="AC24" s="53"/>
      <c r="AE24" s="53"/>
      <c r="BH24"/>
    </row>
    <row r="25" spans="1:60" s="54" customFormat="1" ht="12.75">
      <c r="A25" s="57"/>
      <c r="B25" s="54" t="s">
        <v>76</v>
      </c>
      <c r="C25" s="54" t="s">
        <v>255</v>
      </c>
      <c r="D25" s="54" t="s">
        <v>66</v>
      </c>
      <c r="E25" s="52" t="s">
        <v>15</v>
      </c>
      <c r="F25" s="68">
        <f>(G13+G15)/G25*100</f>
        <v>7.157369544531029</v>
      </c>
      <c r="G25" s="54">
        <f>G13+G15+G17</f>
        <v>9.802063527640449</v>
      </c>
      <c r="H25" s="68">
        <f>(I13+I15)/I25*100</f>
        <v>7.50154990700558</v>
      </c>
      <c r="I25" s="54">
        <f>I13+I15+I17</f>
        <v>9.523542515789474</v>
      </c>
      <c r="J25" s="68">
        <f>(K13+K15)/K25*100</f>
        <v>9.340483943050502</v>
      </c>
      <c r="K25" s="54">
        <f>K13+K15+K17</f>
        <v>7.476956331063828</v>
      </c>
      <c r="L25" s="68">
        <f>(M13+M15)/M25*100</f>
        <v>6.621197903554345</v>
      </c>
      <c r="M25" s="54">
        <f>M13+M15+M17</f>
        <v>10.318962012210525</v>
      </c>
      <c r="N25" s="53"/>
      <c r="P25" s="53"/>
      <c r="R25" s="53">
        <f>(F25*G25+H25*I25+J25*K25+L25*M25)/(4*S25)</f>
        <v>7.5363446210057665</v>
      </c>
      <c r="S25" s="54">
        <f t="shared" si="0"/>
        <v>9.280381096676068</v>
      </c>
      <c r="U25" s="53"/>
      <c r="W25" s="53"/>
      <c r="Y25" s="53"/>
      <c r="AA25" s="53"/>
      <c r="AC25" s="53"/>
      <c r="AE25" s="53"/>
      <c r="BH25"/>
    </row>
    <row r="26" spans="1:60" s="55" customFormat="1" ht="12.75">
      <c r="A26" s="57"/>
      <c r="F26" s="59"/>
      <c r="G26" s="53"/>
      <c r="H26" s="68"/>
      <c r="I26" s="53"/>
      <c r="J26" s="68"/>
      <c r="K26" s="53"/>
      <c r="L26" s="68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BH26"/>
    </row>
    <row r="27" spans="1:60" s="55" customFormat="1" ht="12.75">
      <c r="A27" s="57"/>
      <c r="B27" s="55" t="s">
        <v>97</v>
      </c>
      <c r="C27" s="55" t="s">
        <v>195</v>
      </c>
      <c r="D27" s="54" t="s">
        <v>252</v>
      </c>
      <c r="F27" s="59"/>
      <c r="G27" s="53"/>
      <c r="H27" s="68"/>
      <c r="I27" s="53"/>
      <c r="J27" s="68"/>
      <c r="K27" s="53"/>
      <c r="L27" s="68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BH27"/>
    </row>
    <row r="28" spans="1:60" s="55" customFormat="1" ht="12.75">
      <c r="A28" s="57"/>
      <c r="B28" s="28" t="s">
        <v>92</v>
      </c>
      <c r="C28" s="28"/>
      <c r="D28" s="28" t="s">
        <v>16</v>
      </c>
      <c r="F28" s="59"/>
      <c r="G28" s="53">
        <v>152500</v>
      </c>
      <c r="H28" s="68"/>
      <c r="I28" s="53">
        <v>155000</v>
      </c>
      <c r="J28" s="68"/>
      <c r="K28" s="53">
        <v>150300</v>
      </c>
      <c r="L28" s="68"/>
      <c r="M28" s="53">
        <v>152700</v>
      </c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BH28"/>
    </row>
    <row r="29" spans="1:60" s="55" customFormat="1" ht="12.75">
      <c r="A29" s="57"/>
      <c r="B29" s="28" t="s">
        <v>95</v>
      </c>
      <c r="C29" s="28"/>
      <c r="D29" s="28" t="s">
        <v>14</v>
      </c>
      <c r="F29" s="59"/>
      <c r="G29" s="53">
        <v>12.3</v>
      </c>
      <c r="H29" s="68"/>
      <c r="I29" s="53">
        <v>11.5</v>
      </c>
      <c r="J29" s="68"/>
      <c r="K29" s="53">
        <v>11.6</v>
      </c>
      <c r="L29" s="68"/>
      <c r="M29" s="53">
        <v>11.5</v>
      </c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BH29"/>
    </row>
    <row r="30" spans="1:60" s="55" customFormat="1" ht="12.75">
      <c r="A30" s="57"/>
      <c r="B30" s="28" t="s">
        <v>96</v>
      </c>
      <c r="C30" s="28"/>
      <c r="D30" s="28" t="s">
        <v>14</v>
      </c>
      <c r="F30" s="59"/>
      <c r="G30" s="53">
        <v>26.4</v>
      </c>
      <c r="H30" s="68"/>
      <c r="I30" s="53">
        <v>26.5</v>
      </c>
      <c r="J30" s="68"/>
      <c r="K30" s="53">
        <v>26.8</v>
      </c>
      <c r="L30" s="68"/>
      <c r="M30" s="53">
        <v>26.4</v>
      </c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BH30"/>
    </row>
    <row r="31" spans="1:60" s="55" customFormat="1" ht="12.75">
      <c r="A31" s="57"/>
      <c r="B31" s="28" t="s">
        <v>91</v>
      </c>
      <c r="C31" s="28"/>
      <c r="D31" s="28" t="s">
        <v>17</v>
      </c>
      <c r="F31" s="59"/>
      <c r="G31" s="53">
        <v>326</v>
      </c>
      <c r="H31" s="68"/>
      <c r="I31" s="53">
        <v>339</v>
      </c>
      <c r="J31" s="68"/>
      <c r="K31" s="53">
        <v>340</v>
      </c>
      <c r="L31" s="68"/>
      <c r="M31" s="53">
        <v>342</v>
      </c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BH31"/>
    </row>
    <row r="32" spans="1:60" s="55" customFormat="1" ht="12.75">
      <c r="A32" s="57"/>
      <c r="F32" s="59"/>
      <c r="G32" s="53"/>
      <c r="H32" s="68"/>
      <c r="I32" s="53"/>
      <c r="J32" s="68"/>
      <c r="K32" s="53"/>
      <c r="L32" s="68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BH32"/>
    </row>
    <row r="33" spans="1:60" s="55" customFormat="1" ht="12.75">
      <c r="A33" s="57"/>
      <c r="B33" s="55" t="s">
        <v>97</v>
      </c>
      <c r="C33" s="55" t="s">
        <v>194</v>
      </c>
      <c r="D33" s="28" t="s">
        <v>254</v>
      </c>
      <c r="F33" s="59"/>
      <c r="G33" s="53"/>
      <c r="H33" s="68"/>
      <c r="I33" s="53"/>
      <c r="J33" s="68"/>
      <c r="K33" s="53"/>
      <c r="L33" s="68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BH33"/>
    </row>
    <row r="34" spans="1:60" s="55" customFormat="1" ht="12.75">
      <c r="A34" s="57"/>
      <c r="B34" s="28" t="s">
        <v>92</v>
      </c>
      <c r="C34" s="28"/>
      <c r="D34" s="28" t="s">
        <v>16</v>
      </c>
      <c r="F34" s="59"/>
      <c r="G34" s="53">
        <v>159600</v>
      </c>
      <c r="H34" s="68"/>
      <c r="I34" s="53">
        <v>155200</v>
      </c>
      <c r="J34" s="68"/>
      <c r="K34" s="53">
        <v>152300</v>
      </c>
      <c r="L34" s="68"/>
      <c r="M34" s="53">
        <v>151900</v>
      </c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BH34"/>
    </row>
    <row r="35" spans="1:60" s="55" customFormat="1" ht="12.75">
      <c r="A35" s="57"/>
      <c r="B35" s="28" t="s">
        <v>95</v>
      </c>
      <c r="C35" s="28"/>
      <c r="D35" s="28" t="s">
        <v>14</v>
      </c>
      <c r="F35" s="59"/>
      <c r="G35" s="53">
        <v>27</v>
      </c>
      <c r="H35" s="68"/>
      <c r="I35" s="53">
        <v>27.1</v>
      </c>
      <c r="J35" s="68"/>
      <c r="K35" s="53">
        <v>27.3</v>
      </c>
      <c r="L35" s="68"/>
      <c r="M35" s="53">
        <v>26.7</v>
      </c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BH35"/>
    </row>
    <row r="36" spans="1:60" s="55" customFormat="1" ht="12.75">
      <c r="A36" s="57"/>
      <c r="B36" s="28" t="s">
        <v>96</v>
      </c>
      <c r="C36" s="28"/>
      <c r="D36" s="28" t="s">
        <v>14</v>
      </c>
      <c r="F36" s="59"/>
      <c r="G36" s="53">
        <v>12.3</v>
      </c>
      <c r="H36" s="68"/>
      <c r="I36" s="53">
        <v>11.5</v>
      </c>
      <c r="J36" s="68"/>
      <c r="K36" s="53">
        <v>11.6</v>
      </c>
      <c r="L36" s="68"/>
      <c r="M36" s="53">
        <v>11.5</v>
      </c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BH36"/>
    </row>
    <row r="37" spans="1:60" s="55" customFormat="1" ht="12.75">
      <c r="A37" s="57"/>
      <c r="B37" s="28" t="s">
        <v>91</v>
      </c>
      <c r="C37" s="28"/>
      <c r="D37" s="28" t="s">
        <v>17</v>
      </c>
      <c r="F37" s="59"/>
      <c r="G37" s="53">
        <v>325</v>
      </c>
      <c r="H37" s="68"/>
      <c r="I37" s="53">
        <v>336</v>
      </c>
      <c r="J37" s="68"/>
      <c r="K37" s="53">
        <v>339</v>
      </c>
      <c r="L37" s="68"/>
      <c r="M37" s="53">
        <v>340</v>
      </c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BH37"/>
    </row>
    <row r="38" spans="1:60" s="55" customFormat="1" ht="12.75">
      <c r="A38" s="57"/>
      <c r="F38" s="59"/>
      <c r="G38" s="53"/>
      <c r="H38" s="68"/>
      <c r="I38" s="53"/>
      <c r="J38" s="68"/>
      <c r="K38" s="53"/>
      <c r="L38" s="68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BH38"/>
    </row>
    <row r="39" spans="1:60" s="55" customFormat="1" ht="12.75">
      <c r="A39" s="57"/>
      <c r="B39" s="55" t="s">
        <v>97</v>
      </c>
      <c r="C39" s="55" t="s">
        <v>118</v>
      </c>
      <c r="D39" s="28" t="s">
        <v>255</v>
      </c>
      <c r="F39" s="59"/>
      <c r="G39" s="53"/>
      <c r="H39" s="68"/>
      <c r="I39" s="53"/>
      <c r="J39" s="68"/>
      <c r="K39" s="53"/>
      <c r="L39" s="68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BH39"/>
    </row>
    <row r="40" spans="1:60" s="55" customFormat="1" ht="12.75">
      <c r="A40" s="57"/>
      <c r="B40" s="28" t="s">
        <v>92</v>
      </c>
      <c r="C40" s="28"/>
      <c r="D40" s="28" t="s">
        <v>16</v>
      </c>
      <c r="F40" s="59"/>
      <c r="G40" s="53">
        <v>155800</v>
      </c>
      <c r="H40" s="68"/>
      <c r="I40" s="53">
        <v>143300</v>
      </c>
      <c r="J40" s="68"/>
      <c r="K40" s="53">
        <v>147600</v>
      </c>
      <c r="L40" s="68"/>
      <c r="M40" s="53">
        <v>148200</v>
      </c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BH40"/>
    </row>
    <row r="41" spans="1:60" s="55" customFormat="1" ht="12.75">
      <c r="A41" s="57"/>
      <c r="B41" s="28" t="s">
        <v>95</v>
      </c>
      <c r="C41" s="28"/>
      <c r="D41" s="28" t="s">
        <v>14</v>
      </c>
      <c r="F41" s="59"/>
      <c r="G41" s="53">
        <v>12.1</v>
      </c>
      <c r="H41" s="68"/>
      <c r="I41" s="53">
        <v>11.5</v>
      </c>
      <c r="J41" s="68"/>
      <c r="K41" s="53">
        <v>11.6</v>
      </c>
      <c r="L41" s="68"/>
      <c r="M41" s="53">
        <v>11.5</v>
      </c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BH41"/>
    </row>
    <row r="42" spans="1:60" s="55" customFormat="1" ht="12.75">
      <c r="A42" s="57"/>
      <c r="B42" s="28" t="s">
        <v>96</v>
      </c>
      <c r="C42" s="28"/>
      <c r="D42" s="28" t="s">
        <v>14</v>
      </c>
      <c r="F42" s="59"/>
      <c r="G42" s="53">
        <v>27.7</v>
      </c>
      <c r="H42" s="68"/>
      <c r="I42" s="53">
        <v>28</v>
      </c>
      <c r="J42" s="68"/>
      <c r="K42" s="53">
        <v>27.9</v>
      </c>
      <c r="L42" s="68"/>
      <c r="M42" s="53">
        <v>27.8</v>
      </c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BH42"/>
    </row>
    <row r="43" spans="1:60" s="55" customFormat="1" ht="12.75">
      <c r="A43" s="57"/>
      <c r="B43" s="28" t="s">
        <v>91</v>
      </c>
      <c r="C43" s="28"/>
      <c r="D43" s="28" t="s">
        <v>17</v>
      </c>
      <c r="F43" s="59"/>
      <c r="G43" s="53">
        <v>325</v>
      </c>
      <c r="H43" s="68"/>
      <c r="I43" s="53">
        <v>337</v>
      </c>
      <c r="J43" s="68"/>
      <c r="K43" s="53">
        <v>337</v>
      </c>
      <c r="L43" s="68"/>
      <c r="M43" s="53">
        <v>340</v>
      </c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BH43"/>
    </row>
    <row r="44" spans="1:60" s="54" customFormat="1" ht="12.75">
      <c r="A44" s="57"/>
      <c r="F44" s="68"/>
      <c r="H44" s="68"/>
      <c r="J44" s="68"/>
      <c r="L44" s="68"/>
      <c r="N44" s="53"/>
      <c r="P44" s="53"/>
      <c r="R44" s="53"/>
      <c r="U44" s="53"/>
      <c r="W44" s="53"/>
      <c r="Y44" s="53"/>
      <c r="AA44" s="53"/>
      <c r="AC44" s="53"/>
      <c r="AE44" s="53"/>
      <c r="BH44"/>
    </row>
    <row r="45" spans="1:60" s="54" customFormat="1" ht="12.75">
      <c r="A45" s="57"/>
      <c r="B45" s="55" t="s">
        <v>97</v>
      </c>
      <c r="C45" s="55" t="s">
        <v>192</v>
      </c>
      <c r="D45" s="54" t="s">
        <v>256</v>
      </c>
      <c r="F45" s="68"/>
      <c r="H45" s="68"/>
      <c r="J45" s="68"/>
      <c r="L45" s="68"/>
      <c r="N45" s="53"/>
      <c r="P45" s="53"/>
      <c r="R45" s="53"/>
      <c r="U45" s="53"/>
      <c r="W45" s="53"/>
      <c r="Y45" s="53"/>
      <c r="AA45" s="53"/>
      <c r="AC45" s="53"/>
      <c r="AE45" s="53"/>
      <c r="BH45"/>
    </row>
    <row r="46" spans="1:60" s="55" customFormat="1" ht="12.75">
      <c r="A46" s="57"/>
      <c r="B46" s="28" t="s">
        <v>92</v>
      </c>
      <c r="C46" s="28"/>
      <c r="D46" s="28" t="s">
        <v>16</v>
      </c>
      <c r="F46" s="59"/>
      <c r="G46" s="53">
        <v>149800</v>
      </c>
      <c r="H46" s="68"/>
      <c r="I46" s="53">
        <v>145700</v>
      </c>
      <c r="J46" s="68"/>
      <c r="K46" s="53">
        <v>149800</v>
      </c>
      <c r="L46" s="68"/>
      <c r="M46" s="53">
        <v>157700</v>
      </c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BH46"/>
    </row>
    <row r="47" spans="1:60" s="55" customFormat="1" ht="12.75">
      <c r="A47" s="57"/>
      <c r="B47" s="28" t="s">
        <v>95</v>
      </c>
      <c r="C47" s="28"/>
      <c r="D47" s="28" t="s">
        <v>14</v>
      </c>
      <c r="F47" s="59"/>
      <c r="G47" s="53">
        <v>11.3</v>
      </c>
      <c r="H47" s="68"/>
      <c r="I47" s="53">
        <v>11.1</v>
      </c>
      <c r="J47" s="68"/>
      <c r="K47" s="53">
        <v>11.3</v>
      </c>
      <c r="L47" s="68"/>
      <c r="M47" s="53">
        <v>11.5</v>
      </c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BH47"/>
    </row>
    <row r="48" spans="1:60" s="55" customFormat="1" ht="12.75">
      <c r="A48" s="57"/>
      <c r="B48" s="28" t="s">
        <v>96</v>
      </c>
      <c r="C48" s="28"/>
      <c r="D48" s="28" t="s">
        <v>14</v>
      </c>
      <c r="F48" s="59"/>
      <c r="G48" s="53">
        <v>27.5</v>
      </c>
      <c r="H48" s="68"/>
      <c r="I48" s="53">
        <v>27.7</v>
      </c>
      <c r="J48" s="68"/>
      <c r="K48" s="53">
        <v>27.5</v>
      </c>
      <c r="L48" s="68"/>
      <c r="M48" s="53">
        <v>25.7</v>
      </c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BH48"/>
    </row>
    <row r="49" spans="1:60" s="55" customFormat="1" ht="12.75">
      <c r="A49" s="57"/>
      <c r="B49" s="28" t="s">
        <v>91</v>
      </c>
      <c r="C49" s="28"/>
      <c r="D49" s="28" t="s">
        <v>17</v>
      </c>
      <c r="F49" s="59"/>
      <c r="G49" s="53">
        <v>329</v>
      </c>
      <c r="H49" s="68"/>
      <c r="I49" s="53">
        <v>335</v>
      </c>
      <c r="J49" s="68"/>
      <c r="K49" s="53">
        <v>329</v>
      </c>
      <c r="L49" s="68"/>
      <c r="M49" s="53">
        <v>333</v>
      </c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BH49"/>
    </row>
    <row r="50" spans="1:60" s="55" customFormat="1" ht="12.75">
      <c r="A50" s="57"/>
      <c r="F50" s="59"/>
      <c r="G50" s="53"/>
      <c r="H50" s="68"/>
      <c r="I50" s="53"/>
      <c r="J50" s="68"/>
      <c r="K50" s="53"/>
      <c r="L50" s="68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BH50"/>
    </row>
    <row r="51" spans="1:60" s="55" customFormat="1" ht="12.75">
      <c r="A51" s="57"/>
      <c r="B51" s="55" t="s">
        <v>97</v>
      </c>
      <c r="C51" s="55" t="s">
        <v>193</v>
      </c>
      <c r="D51" s="28" t="s">
        <v>257</v>
      </c>
      <c r="F51" s="59"/>
      <c r="G51" s="53"/>
      <c r="H51" s="68"/>
      <c r="I51" s="53"/>
      <c r="J51" s="68"/>
      <c r="K51" s="53"/>
      <c r="L51" s="68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BH51"/>
    </row>
    <row r="52" spans="1:60" s="55" customFormat="1" ht="12.75">
      <c r="A52" s="57"/>
      <c r="B52" s="28" t="s">
        <v>92</v>
      </c>
      <c r="C52" s="28"/>
      <c r="D52" s="28" t="s">
        <v>16</v>
      </c>
      <c r="F52" s="59"/>
      <c r="G52" s="53">
        <v>161000</v>
      </c>
      <c r="H52" s="68"/>
      <c r="I52" s="53">
        <v>152100</v>
      </c>
      <c r="J52" s="68"/>
      <c r="K52" s="53">
        <v>156800</v>
      </c>
      <c r="L52" s="68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BH52"/>
    </row>
    <row r="53" spans="1:60" s="55" customFormat="1" ht="12.75">
      <c r="A53" s="57"/>
      <c r="B53" s="28" t="s">
        <v>95</v>
      </c>
      <c r="C53" s="28"/>
      <c r="D53" s="28" t="s">
        <v>14</v>
      </c>
      <c r="F53" s="59"/>
      <c r="G53" s="53">
        <v>12.3</v>
      </c>
      <c r="H53" s="68"/>
      <c r="I53" s="53">
        <v>11.1</v>
      </c>
      <c r="J53" s="68"/>
      <c r="K53" s="53">
        <v>11.7</v>
      </c>
      <c r="L53" s="68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BH53"/>
    </row>
    <row r="54" spans="1:60" s="55" customFormat="1" ht="12.75">
      <c r="A54" s="57"/>
      <c r="B54" s="28" t="s">
        <v>96</v>
      </c>
      <c r="C54" s="28"/>
      <c r="D54" s="28" t="s">
        <v>14</v>
      </c>
      <c r="F54" s="59"/>
      <c r="G54" s="53">
        <v>27.2</v>
      </c>
      <c r="H54" s="68"/>
      <c r="I54" s="53">
        <v>27.7</v>
      </c>
      <c r="J54" s="68"/>
      <c r="K54" s="53">
        <v>27.4</v>
      </c>
      <c r="L54" s="68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BH54"/>
    </row>
    <row r="55" spans="1:60" s="55" customFormat="1" ht="12.75">
      <c r="A55" s="57"/>
      <c r="B55" s="28" t="s">
        <v>91</v>
      </c>
      <c r="C55" s="28"/>
      <c r="D55" s="28" t="s">
        <v>17</v>
      </c>
      <c r="F55" s="59"/>
      <c r="G55" s="53">
        <v>324</v>
      </c>
      <c r="H55" s="68"/>
      <c r="I55" s="53">
        <v>335</v>
      </c>
      <c r="J55" s="68"/>
      <c r="K55" s="53">
        <v>335</v>
      </c>
      <c r="L55" s="68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BH55"/>
    </row>
    <row r="56" spans="1:60" s="54" customFormat="1" ht="12.75">
      <c r="A56" s="57"/>
      <c r="F56" s="68"/>
      <c r="H56" s="68"/>
      <c r="J56" s="68"/>
      <c r="L56" s="68"/>
      <c r="N56" s="53"/>
      <c r="P56" s="53"/>
      <c r="R56" s="53"/>
      <c r="U56" s="53"/>
      <c r="W56" s="53"/>
      <c r="Y56" s="53"/>
      <c r="AA56" s="53"/>
      <c r="AC56" s="53"/>
      <c r="AE56" s="53"/>
      <c r="BH56"/>
    </row>
    <row r="57" spans="1:60" s="54" customFormat="1" ht="12.75">
      <c r="A57" s="57">
        <v>2</v>
      </c>
      <c r="B57" s="56" t="s">
        <v>179</v>
      </c>
      <c r="F57" s="68"/>
      <c r="G57" s="3" t="s">
        <v>124</v>
      </c>
      <c r="H57" s="3"/>
      <c r="I57" s="3" t="s">
        <v>125</v>
      </c>
      <c r="J57" s="3"/>
      <c r="K57" s="3" t="s">
        <v>126</v>
      </c>
      <c r="L57" s="3"/>
      <c r="M57" s="3" t="s">
        <v>186</v>
      </c>
      <c r="N57" s="3"/>
      <c r="O57" s="3" t="s">
        <v>187</v>
      </c>
      <c r="P57" s="3"/>
      <c r="Q57" s="3" t="s">
        <v>188</v>
      </c>
      <c r="R57" s="3"/>
      <c r="S57" s="3" t="s">
        <v>67</v>
      </c>
      <c r="U57" s="53"/>
      <c r="W57" s="53"/>
      <c r="Y57" s="53"/>
      <c r="AA57" s="53"/>
      <c r="AC57" s="53"/>
      <c r="AE57" s="53"/>
      <c r="BH57"/>
    </row>
    <row r="58" spans="1:60" s="54" customFormat="1" ht="12.75">
      <c r="A58" s="57"/>
      <c r="F58" s="68"/>
      <c r="H58" s="68"/>
      <c r="J58" s="68"/>
      <c r="L58" s="68"/>
      <c r="N58" s="53"/>
      <c r="P58" s="53"/>
      <c r="R58" s="53"/>
      <c r="U58" s="53"/>
      <c r="W58" s="53"/>
      <c r="Y58" s="53"/>
      <c r="AA58" s="53"/>
      <c r="AC58" s="53"/>
      <c r="AE58" s="53"/>
      <c r="BH58"/>
    </row>
    <row r="59" spans="1:60" s="52" customFormat="1" ht="12.75">
      <c r="A59" s="57"/>
      <c r="B59" s="52" t="s">
        <v>18</v>
      </c>
      <c r="C59" s="52" t="s">
        <v>252</v>
      </c>
      <c r="D59" s="52" t="s">
        <v>19</v>
      </c>
      <c r="E59" s="52" t="s">
        <v>15</v>
      </c>
      <c r="F59" s="68" t="s">
        <v>189</v>
      </c>
      <c r="G59" s="52">
        <v>0.014752834518709677</v>
      </c>
      <c r="H59" s="68" t="s">
        <v>189</v>
      </c>
      <c r="I59" s="52">
        <v>0.010728527478568419</v>
      </c>
      <c r="J59" s="68" t="s">
        <v>189</v>
      </c>
      <c r="K59" s="52">
        <v>0.024995753573393252</v>
      </c>
      <c r="L59" s="68" t="s">
        <v>189</v>
      </c>
      <c r="M59" s="52">
        <v>0.014858211908129</v>
      </c>
      <c r="N59" s="53" t="s">
        <v>189</v>
      </c>
      <c r="O59" s="58">
        <v>0.012022799677360826</v>
      </c>
      <c r="P59" s="58" t="s">
        <v>189</v>
      </c>
      <c r="Q59" s="58">
        <v>0.01591198580232258</v>
      </c>
      <c r="R59" s="53" t="s">
        <v>189</v>
      </c>
      <c r="S59" s="58">
        <f aca="true" t="shared" si="1" ref="S59:S71">AVERAGE(Q59,O59,M59,K59,I59,G59)</f>
        <v>0.015545018826413959</v>
      </c>
      <c r="U59" s="53" t="s">
        <v>189</v>
      </c>
      <c r="W59" s="53" t="s">
        <v>189</v>
      </c>
      <c r="Y59" s="53" t="s">
        <v>189</v>
      </c>
      <c r="AA59" s="53" t="s">
        <v>189</v>
      </c>
      <c r="AC59" s="53" t="s">
        <v>189</v>
      </c>
      <c r="AE59" s="53" t="s">
        <v>189</v>
      </c>
      <c r="BH59"/>
    </row>
    <row r="60" spans="1:60" s="54" customFormat="1" ht="12.75">
      <c r="A60" s="57"/>
      <c r="B60" s="54" t="s">
        <v>119</v>
      </c>
      <c r="C60" s="52" t="s">
        <v>252</v>
      </c>
      <c r="D60" s="54" t="s">
        <v>63</v>
      </c>
      <c r="E60" s="52" t="s">
        <v>15</v>
      </c>
      <c r="F60" s="68" t="s">
        <v>189</v>
      </c>
      <c r="G60" s="54">
        <v>62</v>
      </c>
      <c r="H60" s="68" t="s">
        <v>189</v>
      </c>
      <c r="I60" s="54">
        <v>54</v>
      </c>
      <c r="J60" s="68" t="s">
        <v>189</v>
      </c>
      <c r="K60" s="54">
        <v>49</v>
      </c>
      <c r="L60" s="68" t="s">
        <v>189</v>
      </c>
      <c r="M60" s="54">
        <v>49</v>
      </c>
      <c r="N60" s="53" t="s">
        <v>189</v>
      </c>
      <c r="O60" s="54">
        <v>52</v>
      </c>
      <c r="P60" s="53" t="s">
        <v>189</v>
      </c>
      <c r="Q60" s="54">
        <v>57</v>
      </c>
      <c r="R60" s="53" t="s">
        <v>189</v>
      </c>
      <c r="S60" s="54">
        <f t="shared" si="1"/>
        <v>53.833333333333336</v>
      </c>
      <c r="U60" s="53" t="s">
        <v>189</v>
      </c>
      <c r="W60" s="53" t="s">
        <v>189</v>
      </c>
      <c r="Y60" s="53" t="s">
        <v>189</v>
      </c>
      <c r="AA60" s="53" t="s">
        <v>189</v>
      </c>
      <c r="AC60" s="53" t="s">
        <v>189</v>
      </c>
      <c r="AE60" s="53" t="s">
        <v>189</v>
      </c>
      <c r="BH60"/>
    </row>
    <row r="61" spans="1:60" s="54" customFormat="1" ht="12.75">
      <c r="A61" s="57"/>
      <c r="B61" s="54" t="s">
        <v>190</v>
      </c>
      <c r="C61" s="52" t="s">
        <v>252</v>
      </c>
      <c r="D61" s="54" t="s">
        <v>63</v>
      </c>
      <c r="E61" s="52" t="s">
        <v>15</v>
      </c>
      <c r="F61" s="68" t="s">
        <v>189</v>
      </c>
      <c r="G61" s="54">
        <v>48</v>
      </c>
      <c r="H61" s="68" t="s">
        <v>189</v>
      </c>
      <c r="I61" s="54">
        <v>49</v>
      </c>
      <c r="J61" s="68" t="s">
        <v>189</v>
      </c>
      <c r="K61" s="54">
        <v>48</v>
      </c>
      <c r="L61" s="68" t="s">
        <v>189</v>
      </c>
      <c r="M61" s="54">
        <v>44</v>
      </c>
      <c r="N61" s="53" t="s">
        <v>189</v>
      </c>
      <c r="O61" s="54">
        <v>52</v>
      </c>
      <c r="P61" s="53" t="s">
        <v>189</v>
      </c>
      <c r="Q61" s="54">
        <v>57</v>
      </c>
      <c r="R61" s="53" t="s">
        <v>189</v>
      </c>
      <c r="S61" s="54">
        <f t="shared" si="1"/>
        <v>49.666666666666664</v>
      </c>
      <c r="U61" s="53" t="s">
        <v>189</v>
      </c>
      <c r="W61" s="53" t="s">
        <v>189</v>
      </c>
      <c r="Y61" s="53" t="s">
        <v>189</v>
      </c>
      <c r="AA61" s="53" t="s">
        <v>189</v>
      </c>
      <c r="AC61" s="53" t="s">
        <v>189</v>
      </c>
      <c r="AE61" s="53" t="s">
        <v>189</v>
      </c>
      <c r="BH61"/>
    </row>
    <row r="62" spans="1:60" s="54" customFormat="1" ht="12.75">
      <c r="A62" s="57"/>
      <c r="B62" s="54" t="s">
        <v>102</v>
      </c>
      <c r="C62" s="54" t="s">
        <v>254</v>
      </c>
      <c r="D62" s="54" t="s">
        <v>66</v>
      </c>
      <c r="E62" s="52" t="s">
        <v>15</v>
      </c>
      <c r="F62" s="68" t="s">
        <v>13</v>
      </c>
      <c r="G62" s="54">
        <v>0.6909305136363635</v>
      </c>
      <c r="H62" s="68" t="s">
        <v>13</v>
      </c>
      <c r="I62" s="54">
        <v>0.61876457263158</v>
      </c>
      <c r="J62" s="68" t="s">
        <v>189</v>
      </c>
      <c r="K62" s="54">
        <v>0.6240851770114942</v>
      </c>
      <c r="L62" s="68" t="s">
        <v>189</v>
      </c>
      <c r="M62" s="54">
        <v>0.5515546166666667</v>
      </c>
      <c r="N62" s="53" t="s">
        <v>189</v>
      </c>
      <c r="O62" s="54">
        <v>1.0108316430107527</v>
      </c>
      <c r="P62" s="53" t="s">
        <v>13</v>
      </c>
      <c r="Q62" s="54">
        <v>0.6831672494382021</v>
      </c>
      <c r="R62" s="53" t="s">
        <v>189</v>
      </c>
      <c r="S62" s="54">
        <f t="shared" si="1"/>
        <v>0.69655562873251</v>
      </c>
      <c r="U62" s="53" t="s">
        <v>189</v>
      </c>
      <c r="W62" s="53" t="s">
        <v>189</v>
      </c>
      <c r="Y62" s="53" t="s">
        <v>189</v>
      </c>
      <c r="AA62" s="53" t="s">
        <v>189</v>
      </c>
      <c r="AC62" s="53" t="s">
        <v>189</v>
      </c>
      <c r="AE62" s="53" t="s">
        <v>189</v>
      </c>
      <c r="BH62"/>
    </row>
    <row r="63" spans="1:60" s="54" customFormat="1" ht="12.75">
      <c r="A63" s="57"/>
      <c r="B63" s="54" t="s">
        <v>98</v>
      </c>
      <c r="C63" s="54" t="s">
        <v>254</v>
      </c>
      <c r="D63" s="54" t="s">
        <v>66</v>
      </c>
      <c r="E63" s="52" t="s">
        <v>15</v>
      </c>
      <c r="F63" s="68" t="s">
        <v>13</v>
      </c>
      <c r="G63" s="54">
        <v>0.6909305136363635</v>
      </c>
      <c r="H63" s="68" t="s">
        <v>13</v>
      </c>
      <c r="I63" s="54">
        <v>0.61876457263158</v>
      </c>
      <c r="J63" s="68" t="s">
        <v>13</v>
      </c>
      <c r="K63" s="54">
        <v>0.6730836</v>
      </c>
      <c r="L63" s="68" t="s">
        <v>13</v>
      </c>
      <c r="M63" s="54">
        <v>0.5936223416666668</v>
      </c>
      <c r="N63" s="53" t="s">
        <v>13</v>
      </c>
      <c r="O63" s="54">
        <v>0.6272463655913979</v>
      </c>
      <c r="P63" s="53" t="s">
        <v>13</v>
      </c>
      <c r="Q63" s="54">
        <v>0.6831672494382021</v>
      </c>
      <c r="R63" s="53" t="s">
        <v>189</v>
      </c>
      <c r="S63" s="54">
        <f t="shared" si="1"/>
        <v>0.647802440494035</v>
      </c>
      <c r="U63" s="53" t="s">
        <v>189</v>
      </c>
      <c r="W63" s="53" t="s">
        <v>189</v>
      </c>
      <c r="Y63" s="53" t="s">
        <v>189</v>
      </c>
      <c r="AA63" s="53" t="s">
        <v>189</v>
      </c>
      <c r="AC63" s="53" t="s">
        <v>189</v>
      </c>
      <c r="AE63" s="53" t="s">
        <v>189</v>
      </c>
      <c r="BH63"/>
    </row>
    <row r="64" spans="1:60" s="54" customFormat="1" ht="12.75">
      <c r="A64" s="57"/>
      <c r="B64" s="54" t="s">
        <v>100</v>
      </c>
      <c r="C64" s="54" t="s">
        <v>254</v>
      </c>
      <c r="D64" s="54" t="s">
        <v>66</v>
      </c>
      <c r="E64" s="52" t="s">
        <v>15</v>
      </c>
      <c r="F64" s="68" t="s">
        <v>13</v>
      </c>
      <c r="G64" s="54">
        <v>0.06909305136363636</v>
      </c>
      <c r="H64" s="68" t="s">
        <v>13</v>
      </c>
      <c r="I64" s="54">
        <v>0.061876457263157894</v>
      </c>
      <c r="J64" s="68" t="s">
        <v>13</v>
      </c>
      <c r="K64" s="54">
        <v>0.06730836</v>
      </c>
      <c r="L64" s="68" t="s">
        <v>13</v>
      </c>
      <c r="M64" s="54">
        <v>0.05936223416666667</v>
      </c>
      <c r="N64" s="53" t="s">
        <v>13</v>
      </c>
      <c r="O64" s="54">
        <v>0.06272463655913978</v>
      </c>
      <c r="P64" s="53" t="s">
        <v>13</v>
      </c>
      <c r="Q64" s="54">
        <v>0.06831672494382021</v>
      </c>
      <c r="R64" s="53" t="s">
        <v>189</v>
      </c>
      <c r="S64" s="54">
        <f t="shared" si="1"/>
        <v>0.06478024404940348</v>
      </c>
      <c r="U64" s="53" t="s">
        <v>189</v>
      </c>
      <c r="W64" s="53" t="s">
        <v>189</v>
      </c>
      <c r="Y64" s="53" t="s">
        <v>189</v>
      </c>
      <c r="AA64" s="53" t="s">
        <v>189</v>
      </c>
      <c r="AC64" s="53" t="s">
        <v>189</v>
      </c>
      <c r="AE64" s="53" t="s">
        <v>189</v>
      </c>
      <c r="BH64"/>
    </row>
    <row r="65" spans="1:60" s="54" customFormat="1" ht="12.75">
      <c r="A65" s="57"/>
      <c r="B65" s="54" t="s">
        <v>105</v>
      </c>
      <c r="C65" s="54" t="s">
        <v>254</v>
      </c>
      <c r="D65" s="54" t="s">
        <v>66</v>
      </c>
      <c r="E65" s="52" t="s">
        <v>15</v>
      </c>
      <c r="F65" s="68" t="s">
        <v>189</v>
      </c>
      <c r="G65" s="54">
        <v>29.574885454545452</v>
      </c>
      <c r="H65" s="68" t="s">
        <v>189</v>
      </c>
      <c r="I65" s="54">
        <v>18.56293717894737</v>
      </c>
      <c r="J65" s="68" t="s">
        <v>189</v>
      </c>
      <c r="K65" s="54">
        <v>24.550788781609196</v>
      </c>
      <c r="L65" s="68" t="s">
        <v>189</v>
      </c>
      <c r="M65" s="54">
        <v>13.999204041666669</v>
      </c>
      <c r="N65" s="53" t="s">
        <v>189</v>
      </c>
      <c r="O65" s="54">
        <v>12.231304129032258</v>
      </c>
      <c r="P65" s="53" t="s">
        <v>189</v>
      </c>
      <c r="Q65" s="54">
        <v>13.915436224719</v>
      </c>
      <c r="R65" s="53" t="s">
        <v>189</v>
      </c>
      <c r="S65" s="54">
        <f t="shared" si="1"/>
        <v>18.805759301753323</v>
      </c>
      <c r="U65" s="53" t="s">
        <v>189</v>
      </c>
      <c r="W65" s="53" t="s">
        <v>189</v>
      </c>
      <c r="Y65" s="53" t="s">
        <v>189</v>
      </c>
      <c r="AA65" s="53" t="s">
        <v>189</v>
      </c>
      <c r="AC65" s="53" t="s">
        <v>189</v>
      </c>
      <c r="AE65" s="53" t="s">
        <v>189</v>
      </c>
      <c r="BH65"/>
    </row>
    <row r="66" spans="1:60" s="54" customFormat="1" ht="12.75">
      <c r="A66" s="57"/>
      <c r="B66" s="54" t="s">
        <v>107</v>
      </c>
      <c r="C66" s="54" t="s">
        <v>254</v>
      </c>
      <c r="D66" s="54" t="s">
        <v>66</v>
      </c>
      <c r="E66" s="52" t="s">
        <v>15</v>
      </c>
      <c r="F66" s="68" t="s">
        <v>189</v>
      </c>
      <c r="G66" s="54">
        <v>24.9601835</v>
      </c>
      <c r="H66" s="68" t="s">
        <v>189</v>
      </c>
      <c r="I66" s="54">
        <v>4.912329431578947</v>
      </c>
      <c r="J66" s="68" t="s">
        <v>189</v>
      </c>
      <c r="K66" s="54">
        <v>13.513249287356324</v>
      </c>
      <c r="L66" s="68" t="s">
        <v>189</v>
      </c>
      <c r="M66" s="54">
        <v>6.987916541666668</v>
      </c>
      <c r="N66" s="53" t="s">
        <v>189</v>
      </c>
      <c r="O66" s="54">
        <v>12.569052172043</v>
      </c>
      <c r="P66" s="53" t="s">
        <v>189</v>
      </c>
      <c r="Q66" s="54">
        <v>12.579352674157303</v>
      </c>
      <c r="R66" s="53" t="s">
        <v>189</v>
      </c>
      <c r="S66" s="54">
        <f t="shared" si="1"/>
        <v>12.58701393446704</v>
      </c>
      <c r="U66" s="53" t="s">
        <v>189</v>
      </c>
      <c r="W66" s="53" t="s">
        <v>189</v>
      </c>
      <c r="Y66" s="53" t="s">
        <v>189</v>
      </c>
      <c r="AA66" s="53" t="s">
        <v>189</v>
      </c>
      <c r="AC66" s="53" t="s">
        <v>189</v>
      </c>
      <c r="AE66" s="53" t="s">
        <v>189</v>
      </c>
      <c r="BH66"/>
    </row>
    <row r="67" spans="1:60" s="54" customFormat="1" ht="12.75">
      <c r="A67" s="57"/>
      <c r="B67" s="54" t="s">
        <v>191</v>
      </c>
      <c r="C67" s="54" t="s">
        <v>255</v>
      </c>
      <c r="D67" s="54" t="s">
        <v>66</v>
      </c>
      <c r="E67" s="52" t="s">
        <v>15</v>
      </c>
      <c r="F67" s="68" t="s">
        <v>189</v>
      </c>
      <c r="G67" s="54">
        <v>1.4499040989247314</v>
      </c>
      <c r="H67" s="68" t="s">
        <v>189</v>
      </c>
      <c r="I67" s="54">
        <v>0.8974448</v>
      </c>
      <c r="J67" s="68" t="s">
        <v>189</v>
      </c>
      <c r="K67" s="54">
        <v>1.5301938022472</v>
      </c>
      <c r="L67" s="68" t="s">
        <v>189</v>
      </c>
      <c r="M67" s="54">
        <v>1.9951259397849461</v>
      </c>
      <c r="N67" s="53" t="s">
        <v>189</v>
      </c>
      <c r="O67" s="54">
        <v>1.4965123340206186</v>
      </c>
      <c r="P67" s="53" t="s">
        <v>189</v>
      </c>
      <c r="Q67" s="54">
        <v>2.103687810752688</v>
      </c>
      <c r="R67" s="53" t="s">
        <v>189</v>
      </c>
      <c r="S67" s="54">
        <f t="shared" si="1"/>
        <v>1.578811464288364</v>
      </c>
      <c r="U67" s="53" t="s">
        <v>189</v>
      </c>
      <c r="W67" s="53" t="s">
        <v>189</v>
      </c>
      <c r="Y67" s="53" t="s">
        <v>189</v>
      </c>
      <c r="AA67" s="53" t="s">
        <v>189</v>
      </c>
      <c r="AC67" s="53" t="s">
        <v>189</v>
      </c>
      <c r="AE67" s="53" t="s">
        <v>189</v>
      </c>
      <c r="BH67"/>
    </row>
    <row r="68" spans="1:60" s="54" customFormat="1" ht="12.75">
      <c r="A68" s="57"/>
      <c r="B68" s="54" t="s">
        <v>103</v>
      </c>
      <c r="C68" s="54" t="s">
        <v>254</v>
      </c>
      <c r="D68" s="54" t="s">
        <v>66</v>
      </c>
      <c r="E68" s="52" t="s">
        <v>15</v>
      </c>
      <c r="F68" s="68" t="s">
        <v>189</v>
      </c>
      <c r="G68" s="54">
        <v>91.52917136363635</v>
      </c>
      <c r="H68" s="68" t="s">
        <v>189</v>
      </c>
      <c r="I68" s="54">
        <v>68.48920842105262</v>
      </c>
      <c r="J68" s="68" t="s">
        <v>189</v>
      </c>
      <c r="K68" s="54">
        <v>90.51813931034482</v>
      </c>
      <c r="L68" s="68" t="s">
        <v>189</v>
      </c>
      <c r="M68" s="54">
        <v>64.503845</v>
      </c>
      <c r="N68" s="53" t="s">
        <v>189</v>
      </c>
      <c r="O68" s="54">
        <v>50.90345505376344</v>
      </c>
      <c r="P68" s="53" t="s">
        <v>189</v>
      </c>
      <c r="Q68" s="54">
        <v>50.41824719101123</v>
      </c>
      <c r="R68" s="53" t="s">
        <v>189</v>
      </c>
      <c r="S68" s="54">
        <f t="shared" si="1"/>
        <v>69.39367772330141</v>
      </c>
      <c r="U68" s="53" t="s">
        <v>189</v>
      </c>
      <c r="W68" s="53" t="s">
        <v>189</v>
      </c>
      <c r="Y68" s="53" t="s">
        <v>189</v>
      </c>
      <c r="AA68" s="53" t="s">
        <v>189</v>
      </c>
      <c r="AC68" s="53" t="s">
        <v>189</v>
      </c>
      <c r="AE68" s="53" t="s">
        <v>189</v>
      </c>
      <c r="BH68"/>
    </row>
    <row r="69" spans="1:60" s="54" customFormat="1" ht="12.75">
      <c r="A69" s="57"/>
      <c r="B69" s="54" t="s">
        <v>101</v>
      </c>
      <c r="C69" s="54" t="s">
        <v>254</v>
      </c>
      <c r="D69" s="54" t="s">
        <v>66</v>
      </c>
      <c r="E69" s="52" t="s">
        <v>15</v>
      </c>
      <c r="F69" s="68" t="s">
        <v>13</v>
      </c>
      <c r="G69" s="54">
        <v>0.6909305136363635</v>
      </c>
      <c r="H69" s="68" t="s">
        <v>13</v>
      </c>
      <c r="I69" s="54">
        <v>0.61876457263158</v>
      </c>
      <c r="J69" s="68" t="s">
        <v>13</v>
      </c>
      <c r="K69" s="54">
        <v>0.6730836</v>
      </c>
      <c r="L69" s="68" t="s">
        <v>13</v>
      </c>
      <c r="M69" s="54">
        <v>0.5936223416666668</v>
      </c>
      <c r="N69" s="53" t="s">
        <v>13</v>
      </c>
      <c r="O69" s="54">
        <v>0.6272463655913979</v>
      </c>
      <c r="P69" s="53" t="s">
        <v>13</v>
      </c>
      <c r="Q69" s="54">
        <v>0.6831672494382021</v>
      </c>
      <c r="R69" s="53" t="s">
        <v>189</v>
      </c>
      <c r="S69" s="54">
        <f t="shared" si="1"/>
        <v>0.647802440494035</v>
      </c>
      <c r="U69" s="53" t="s">
        <v>189</v>
      </c>
      <c r="W69" s="53" t="s">
        <v>189</v>
      </c>
      <c r="Y69" s="53" t="s">
        <v>189</v>
      </c>
      <c r="AA69" s="53" t="s">
        <v>189</v>
      </c>
      <c r="AC69" s="53" t="s">
        <v>189</v>
      </c>
      <c r="AE69" s="53" t="s">
        <v>189</v>
      </c>
      <c r="BH69"/>
    </row>
    <row r="70" spans="1:60" s="54" customFormat="1" ht="12.75">
      <c r="A70" s="57"/>
      <c r="B70" s="54" t="s">
        <v>75</v>
      </c>
      <c r="C70" s="54" t="s">
        <v>254</v>
      </c>
      <c r="D70" s="54" t="s">
        <v>66</v>
      </c>
      <c r="E70" s="52" t="s">
        <v>15</v>
      </c>
      <c r="F70" s="68"/>
      <c r="G70" s="54">
        <f>G68+G65</f>
        <v>121.1040568181818</v>
      </c>
      <c r="H70" s="68"/>
      <c r="I70" s="54">
        <f>I68+I65</f>
        <v>87.05214559999999</v>
      </c>
      <c r="J70" s="68"/>
      <c r="K70" s="54">
        <f>K68+K65</f>
        <v>115.06892809195402</v>
      </c>
      <c r="L70" s="68"/>
      <c r="M70" s="54">
        <f>M68+M65</f>
        <v>78.50304904166667</v>
      </c>
      <c r="N70" s="53"/>
      <c r="O70" s="54">
        <f>O68+O65</f>
        <v>63.1347591827957</v>
      </c>
      <c r="P70" s="53"/>
      <c r="Q70" s="54">
        <f>Q68+Q65</f>
        <v>64.33368341573023</v>
      </c>
      <c r="R70" s="53"/>
      <c r="S70" s="54">
        <f t="shared" si="1"/>
        <v>88.19943702505473</v>
      </c>
      <c r="U70" s="53"/>
      <c r="W70" s="53"/>
      <c r="Y70" s="53"/>
      <c r="AA70" s="53"/>
      <c r="AC70" s="53"/>
      <c r="AE70" s="53"/>
      <c r="BH70"/>
    </row>
    <row r="71" spans="1:60" s="54" customFormat="1" ht="12.75">
      <c r="A71" s="57"/>
      <c r="B71" s="54" t="s">
        <v>76</v>
      </c>
      <c r="C71" s="54" t="s">
        <v>254</v>
      </c>
      <c r="D71" s="54" t="s">
        <v>66</v>
      </c>
      <c r="E71" s="52" t="s">
        <v>15</v>
      </c>
      <c r="F71" s="68">
        <f>(G63+G64)/G71*100</f>
        <v>2.95496674299422</v>
      </c>
      <c r="G71" s="54">
        <f>G63+G64+G66</f>
        <v>25.720207065</v>
      </c>
      <c r="H71" s="68">
        <f>(I63+I64)/I71*100</f>
        <v>12.16958027193651</v>
      </c>
      <c r="I71" s="54">
        <f>I63+I64+I66</f>
        <v>5.592970461473685</v>
      </c>
      <c r="J71" s="68">
        <f>(K63+K64)/K71*100</f>
        <v>5.1944057462322</v>
      </c>
      <c r="K71" s="54">
        <f>K63+K64+K66</f>
        <v>14.253641247356324</v>
      </c>
      <c r="L71" s="68">
        <f>(M63+M64)/M71*100</f>
        <v>8.545910564629596</v>
      </c>
      <c r="M71" s="54">
        <f>M63+M64+M66</f>
        <v>7.640901117500002</v>
      </c>
      <c r="N71" s="53">
        <f>(O63+O64)/O71*100</f>
        <v>5.2037845705968016</v>
      </c>
      <c r="O71" s="54">
        <f>O63+O64+O66</f>
        <v>13.259023174193537</v>
      </c>
      <c r="P71" s="53">
        <f>(Q63+Q64)/Q71*100</f>
        <v>5.637185378491329</v>
      </c>
      <c r="Q71" s="54">
        <f>Q63+Q64+Q66</f>
        <v>13.330836648539325</v>
      </c>
      <c r="R71" s="53">
        <f>(F71*G71+H71*I71+J71*K71+L71*M71+N71*O71+P71*Q71)/(6*S71)</f>
        <v>5.3579270481397225</v>
      </c>
      <c r="S71" s="54">
        <f t="shared" si="1"/>
        <v>13.299596619010478</v>
      </c>
      <c r="U71" s="53"/>
      <c r="W71" s="53"/>
      <c r="Y71" s="53"/>
      <c r="AA71" s="53"/>
      <c r="AC71" s="53"/>
      <c r="AE71" s="53"/>
      <c r="BH71"/>
    </row>
    <row r="72" spans="1:60" s="55" customFormat="1" ht="12.75">
      <c r="A72" s="57"/>
      <c r="F72" s="59"/>
      <c r="G72" s="53"/>
      <c r="H72" s="68"/>
      <c r="I72" s="53"/>
      <c r="J72" s="68"/>
      <c r="K72" s="53"/>
      <c r="L72" s="68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BH72"/>
    </row>
    <row r="73" spans="1:60" s="55" customFormat="1" ht="12.75">
      <c r="A73" s="57"/>
      <c r="B73" s="55" t="s">
        <v>97</v>
      </c>
      <c r="C73" s="55" t="s">
        <v>195</v>
      </c>
      <c r="D73" s="54" t="s">
        <v>252</v>
      </c>
      <c r="F73" s="59"/>
      <c r="G73" s="53"/>
      <c r="H73" s="68"/>
      <c r="I73" s="53"/>
      <c r="J73" s="68"/>
      <c r="K73" s="53"/>
      <c r="L73" s="68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BH73"/>
    </row>
    <row r="74" spans="1:60" s="55" customFormat="1" ht="12.75">
      <c r="A74" s="57"/>
      <c r="B74" s="28" t="s">
        <v>92</v>
      </c>
      <c r="C74" s="28"/>
      <c r="D74" s="28" t="s">
        <v>16</v>
      </c>
      <c r="F74" s="59"/>
      <c r="G74" s="53">
        <v>144600</v>
      </c>
      <c r="H74" s="68"/>
      <c r="I74" s="53">
        <v>148300</v>
      </c>
      <c r="J74" s="68"/>
      <c r="K74" s="53">
        <v>148200</v>
      </c>
      <c r="L74" s="68"/>
      <c r="M74" s="53">
        <v>149300</v>
      </c>
      <c r="N74" s="53"/>
      <c r="O74" s="53">
        <v>153500</v>
      </c>
      <c r="P74" s="53"/>
      <c r="Q74" s="53">
        <v>153200</v>
      </c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BH74"/>
    </row>
    <row r="75" spans="1:60" s="55" customFormat="1" ht="12.75">
      <c r="A75" s="57"/>
      <c r="B75" s="28" t="s">
        <v>95</v>
      </c>
      <c r="C75" s="28"/>
      <c r="D75" s="28" t="s">
        <v>14</v>
      </c>
      <c r="F75" s="59"/>
      <c r="G75" s="53">
        <v>11.7</v>
      </c>
      <c r="H75" s="68"/>
      <c r="I75" s="53">
        <v>11.5</v>
      </c>
      <c r="J75" s="68"/>
      <c r="K75" s="53">
        <v>12.1</v>
      </c>
      <c r="L75" s="68"/>
      <c r="M75" s="53">
        <v>11.7</v>
      </c>
      <c r="N75" s="53"/>
      <c r="O75" s="53">
        <v>11.3</v>
      </c>
      <c r="P75" s="53"/>
      <c r="Q75" s="53">
        <v>11.7</v>
      </c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BH75"/>
    </row>
    <row r="76" spans="1:60" s="55" customFormat="1" ht="12.75">
      <c r="A76" s="57"/>
      <c r="B76" s="28" t="s">
        <v>96</v>
      </c>
      <c r="C76" s="28"/>
      <c r="D76" s="28" t="s">
        <v>14</v>
      </c>
      <c r="F76" s="59"/>
      <c r="G76" s="53">
        <v>26.3</v>
      </c>
      <c r="H76" s="68"/>
      <c r="I76" s="53">
        <v>26.7</v>
      </c>
      <c r="J76" s="68"/>
      <c r="K76" s="53">
        <v>26.8</v>
      </c>
      <c r="L76" s="68"/>
      <c r="M76" s="53">
        <v>27.1</v>
      </c>
      <c r="N76" s="53"/>
      <c r="O76" s="53">
        <v>26.4</v>
      </c>
      <c r="P76" s="53"/>
      <c r="Q76" s="53">
        <v>25.3</v>
      </c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BH76"/>
    </row>
    <row r="77" spans="1:60" s="55" customFormat="1" ht="12.75">
      <c r="A77" s="57"/>
      <c r="B77" s="28" t="s">
        <v>91</v>
      </c>
      <c r="C77" s="28"/>
      <c r="D77" s="28" t="s">
        <v>17</v>
      </c>
      <c r="F77" s="59"/>
      <c r="G77" s="53">
        <v>318</v>
      </c>
      <c r="H77" s="68"/>
      <c r="I77" s="53">
        <v>331</v>
      </c>
      <c r="J77" s="68"/>
      <c r="K77" s="53">
        <v>330</v>
      </c>
      <c r="L77" s="68"/>
      <c r="M77" s="53">
        <v>327</v>
      </c>
      <c r="N77" s="53"/>
      <c r="O77" s="53">
        <v>331</v>
      </c>
      <c r="P77" s="53"/>
      <c r="Q77" s="53">
        <v>330</v>
      </c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BH77"/>
    </row>
    <row r="78" spans="1:60" s="55" customFormat="1" ht="12.75">
      <c r="A78" s="57"/>
      <c r="F78" s="59"/>
      <c r="G78" s="53"/>
      <c r="H78" s="68"/>
      <c r="I78" s="53"/>
      <c r="J78" s="68"/>
      <c r="K78" s="53"/>
      <c r="L78" s="68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BH78"/>
    </row>
    <row r="79" spans="1:60" s="55" customFormat="1" ht="12.75">
      <c r="A79" s="57"/>
      <c r="B79" s="55" t="s">
        <v>97</v>
      </c>
      <c r="C79" s="55" t="s">
        <v>118</v>
      </c>
      <c r="D79" s="28" t="s">
        <v>254</v>
      </c>
      <c r="F79" s="59"/>
      <c r="G79" s="53"/>
      <c r="H79" s="68"/>
      <c r="I79" s="53"/>
      <c r="J79" s="68"/>
      <c r="K79" s="53"/>
      <c r="L79" s="68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BH79"/>
    </row>
    <row r="80" spans="1:60" s="55" customFormat="1" ht="12.75">
      <c r="A80" s="57"/>
      <c r="B80" s="28" t="s">
        <v>92</v>
      </c>
      <c r="C80" s="28"/>
      <c r="D80" s="28" t="s">
        <v>16</v>
      </c>
      <c r="F80" s="59"/>
      <c r="G80" s="53">
        <v>144600</v>
      </c>
      <c r="H80" s="68"/>
      <c r="I80" s="53">
        <v>149000</v>
      </c>
      <c r="J80" s="68"/>
      <c r="K80" s="53">
        <v>149100</v>
      </c>
      <c r="L80" s="68"/>
      <c r="M80" s="53">
        <v>152000</v>
      </c>
      <c r="N80" s="53"/>
      <c r="O80" s="53">
        <v>151800</v>
      </c>
      <c r="P80" s="53"/>
      <c r="Q80" s="53">
        <v>144700</v>
      </c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BH80"/>
    </row>
    <row r="81" spans="1:60" s="55" customFormat="1" ht="12.75">
      <c r="A81" s="57"/>
      <c r="B81" s="28" t="s">
        <v>95</v>
      </c>
      <c r="C81" s="28"/>
      <c r="D81" s="28" t="s">
        <v>14</v>
      </c>
      <c r="F81" s="59"/>
      <c r="G81" s="53">
        <v>12.2</v>
      </c>
      <c r="H81" s="68"/>
      <c r="I81" s="53">
        <v>11.5</v>
      </c>
      <c r="J81" s="68"/>
      <c r="K81" s="53">
        <v>12.3</v>
      </c>
      <c r="L81" s="68"/>
      <c r="M81" s="53">
        <v>11.4</v>
      </c>
      <c r="N81" s="53"/>
      <c r="O81" s="53">
        <v>11.7</v>
      </c>
      <c r="P81" s="53"/>
      <c r="Q81" s="53">
        <v>12.1</v>
      </c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BH81"/>
    </row>
    <row r="82" spans="1:60" s="55" customFormat="1" ht="12.75">
      <c r="A82" s="57"/>
      <c r="B82" s="28" t="s">
        <v>96</v>
      </c>
      <c r="C82" s="28"/>
      <c r="D82" s="28" t="s">
        <v>14</v>
      </c>
      <c r="F82" s="59"/>
      <c r="G82" s="53">
        <v>27.8</v>
      </c>
      <c r="H82" s="68"/>
      <c r="I82" s="53">
        <v>27.3</v>
      </c>
      <c r="J82" s="68"/>
      <c r="K82" s="53">
        <v>28</v>
      </c>
      <c r="L82" s="68"/>
      <c r="M82" s="53">
        <v>27.6</v>
      </c>
      <c r="N82" s="53"/>
      <c r="O82" s="53">
        <v>27.6</v>
      </c>
      <c r="P82" s="53"/>
      <c r="Q82" s="53">
        <v>26.9</v>
      </c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BH82"/>
    </row>
    <row r="83" spans="1:60" s="55" customFormat="1" ht="12.75">
      <c r="A83" s="57"/>
      <c r="B83" s="28" t="s">
        <v>91</v>
      </c>
      <c r="C83" s="28"/>
      <c r="D83" s="28" t="s">
        <v>17</v>
      </c>
      <c r="F83" s="59"/>
      <c r="G83" s="53">
        <v>321</v>
      </c>
      <c r="H83" s="68"/>
      <c r="I83" s="53">
        <v>332</v>
      </c>
      <c r="J83" s="68"/>
      <c r="K83" s="53">
        <v>331</v>
      </c>
      <c r="L83" s="68"/>
      <c r="M83" s="53">
        <v>327</v>
      </c>
      <c r="N83" s="53"/>
      <c r="O83" s="53">
        <v>329</v>
      </c>
      <c r="P83" s="53"/>
      <c r="Q83" s="53">
        <v>330</v>
      </c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BH83"/>
    </row>
    <row r="84" spans="1:60" s="54" customFormat="1" ht="12.75">
      <c r="A84" s="57"/>
      <c r="F84" s="68"/>
      <c r="H84" s="68"/>
      <c r="J84" s="68"/>
      <c r="L84" s="68"/>
      <c r="N84" s="53"/>
      <c r="P84" s="53"/>
      <c r="R84" s="53"/>
      <c r="U84" s="53"/>
      <c r="W84" s="53"/>
      <c r="Y84" s="53"/>
      <c r="AA84" s="53"/>
      <c r="AC84" s="53"/>
      <c r="AE84" s="53"/>
      <c r="BH84"/>
    </row>
    <row r="85" spans="1:60" s="54" customFormat="1" ht="12.75">
      <c r="A85" s="57"/>
      <c r="B85" s="55" t="s">
        <v>97</v>
      </c>
      <c r="C85" s="55" t="s">
        <v>192</v>
      </c>
      <c r="D85" s="54" t="s">
        <v>255</v>
      </c>
      <c r="F85" s="68"/>
      <c r="H85" s="68"/>
      <c r="J85" s="68"/>
      <c r="L85" s="68"/>
      <c r="N85" s="53"/>
      <c r="P85" s="53"/>
      <c r="R85" s="53"/>
      <c r="U85" s="53"/>
      <c r="W85" s="53"/>
      <c r="Y85" s="53"/>
      <c r="AA85" s="53"/>
      <c r="AC85" s="53"/>
      <c r="AE85" s="53"/>
      <c r="BH85"/>
    </row>
    <row r="86" spans="1:60" s="55" customFormat="1" ht="12.75">
      <c r="A86" s="57"/>
      <c r="B86" s="28" t="s">
        <v>92</v>
      </c>
      <c r="C86" s="28"/>
      <c r="D86" s="28" t="s">
        <v>16</v>
      </c>
      <c r="F86" s="59"/>
      <c r="G86" s="53">
        <v>141800</v>
      </c>
      <c r="H86" s="68"/>
      <c r="I86" s="53">
        <v>143800</v>
      </c>
      <c r="J86" s="68"/>
      <c r="K86" s="53">
        <v>145200</v>
      </c>
      <c r="L86" s="68"/>
      <c r="M86" s="53">
        <v>151600</v>
      </c>
      <c r="N86" s="53"/>
      <c r="O86" s="53">
        <v>150900</v>
      </c>
      <c r="P86" s="53"/>
      <c r="Q86" s="53">
        <v>158500</v>
      </c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BH86"/>
    </row>
    <row r="87" spans="1:60" s="55" customFormat="1" ht="12.75">
      <c r="A87" s="57"/>
      <c r="B87" s="28" t="s">
        <v>95</v>
      </c>
      <c r="C87" s="28"/>
      <c r="D87" s="28" t="s">
        <v>14</v>
      </c>
      <c r="F87" s="59"/>
      <c r="G87" s="53">
        <v>11.7</v>
      </c>
      <c r="H87" s="68"/>
      <c r="I87" s="53">
        <v>11.5</v>
      </c>
      <c r="J87" s="68"/>
      <c r="K87" s="53">
        <v>12.1</v>
      </c>
      <c r="L87" s="68"/>
      <c r="M87" s="53">
        <v>11.7</v>
      </c>
      <c r="N87" s="53"/>
      <c r="O87" s="53">
        <v>11.3</v>
      </c>
      <c r="P87" s="53"/>
      <c r="Q87" s="53">
        <v>11.7</v>
      </c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BH87"/>
    </row>
    <row r="88" spans="1:60" s="55" customFormat="1" ht="12.75">
      <c r="A88" s="57"/>
      <c r="B88" s="28" t="s">
        <v>96</v>
      </c>
      <c r="C88" s="28"/>
      <c r="D88" s="28" t="s">
        <v>14</v>
      </c>
      <c r="F88" s="59"/>
      <c r="G88" s="53">
        <v>27</v>
      </c>
      <c r="H88" s="68"/>
      <c r="I88" s="53">
        <v>27.1</v>
      </c>
      <c r="J88" s="68"/>
      <c r="K88" s="53">
        <v>27.1</v>
      </c>
      <c r="L88" s="68"/>
      <c r="M88" s="53">
        <v>27.2</v>
      </c>
      <c r="N88" s="53"/>
      <c r="O88" s="53">
        <v>27.3</v>
      </c>
      <c r="P88" s="53"/>
      <c r="Q88" s="53">
        <v>25.2</v>
      </c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BH88"/>
    </row>
    <row r="89" spans="1:60" s="55" customFormat="1" ht="12.75">
      <c r="A89" s="57"/>
      <c r="B89" s="28" t="s">
        <v>91</v>
      </c>
      <c r="C89" s="28"/>
      <c r="D89" s="28" t="s">
        <v>17</v>
      </c>
      <c r="F89" s="59"/>
      <c r="G89" s="53">
        <v>321</v>
      </c>
      <c r="H89" s="68"/>
      <c r="I89" s="53">
        <v>0</v>
      </c>
      <c r="J89" s="68"/>
      <c r="K89" s="53">
        <v>330</v>
      </c>
      <c r="L89" s="68"/>
      <c r="M89" s="53">
        <v>327</v>
      </c>
      <c r="N89" s="53"/>
      <c r="O89" s="53">
        <v>330</v>
      </c>
      <c r="P89" s="53"/>
      <c r="Q89" s="53">
        <v>330</v>
      </c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BH89"/>
    </row>
    <row r="90" spans="1:60" s="54" customFormat="1" ht="12.75">
      <c r="A90" s="57"/>
      <c r="F90" s="68"/>
      <c r="H90" s="68"/>
      <c r="J90" s="68"/>
      <c r="L90" s="68"/>
      <c r="N90" s="53"/>
      <c r="P90" s="53"/>
      <c r="R90" s="53"/>
      <c r="U90" s="53"/>
      <c r="W90" s="53"/>
      <c r="Y90" s="53"/>
      <c r="AA90" s="53"/>
      <c r="AC90" s="53"/>
      <c r="AE90" s="53"/>
      <c r="BH90"/>
    </row>
    <row r="91" spans="1:60" s="54" customFormat="1" ht="12.75">
      <c r="A91" s="57">
        <v>3</v>
      </c>
      <c r="B91" s="56" t="s">
        <v>181</v>
      </c>
      <c r="F91" s="68"/>
      <c r="G91" s="3" t="s">
        <v>124</v>
      </c>
      <c r="H91" s="3"/>
      <c r="I91" s="3" t="s">
        <v>125</v>
      </c>
      <c r="J91" s="3"/>
      <c r="K91" s="3" t="s">
        <v>126</v>
      </c>
      <c r="L91" s="3"/>
      <c r="M91" s="3" t="s">
        <v>186</v>
      </c>
      <c r="N91" s="3"/>
      <c r="O91" s="3" t="s">
        <v>187</v>
      </c>
      <c r="P91" s="3"/>
      <c r="Q91" s="3" t="s">
        <v>188</v>
      </c>
      <c r="R91" s="3"/>
      <c r="S91" s="3" t="s">
        <v>67</v>
      </c>
      <c r="U91" s="53"/>
      <c r="W91" s="53"/>
      <c r="Y91" s="53"/>
      <c r="AA91" s="53"/>
      <c r="AC91" s="53"/>
      <c r="AE91" s="53"/>
      <c r="BH91"/>
    </row>
    <row r="92" spans="1:60" s="54" customFormat="1" ht="12.75">
      <c r="A92" s="57"/>
      <c r="F92" s="68"/>
      <c r="H92" s="68"/>
      <c r="J92" s="68"/>
      <c r="L92" s="68"/>
      <c r="N92" s="53"/>
      <c r="P92" s="53"/>
      <c r="R92" s="53"/>
      <c r="U92" s="53"/>
      <c r="W92" s="53"/>
      <c r="Y92" s="53"/>
      <c r="AA92" s="53"/>
      <c r="AC92" s="53"/>
      <c r="AE92" s="53"/>
      <c r="BH92"/>
    </row>
    <row r="93" spans="1:60" s="52" customFormat="1" ht="12.75">
      <c r="A93" s="57"/>
      <c r="B93" s="52" t="s">
        <v>18</v>
      </c>
      <c r="C93" s="52" t="s">
        <v>252</v>
      </c>
      <c r="D93" s="52" t="s">
        <v>19</v>
      </c>
      <c r="E93" s="52" t="s">
        <v>15</v>
      </c>
      <c r="F93" s="68" t="s">
        <v>189</v>
      </c>
      <c r="G93" s="58">
        <v>0.017221409772743362</v>
      </c>
      <c r="H93" s="69" t="s">
        <v>189</v>
      </c>
      <c r="I93" s="58">
        <v>0.016230249498053</v>
      </c>
      <c r="J93" s="69" t="s">
        <v>189</v>
      </c>
      <c r="K93" s="58">
        <v>0.01712516988</v>
      </c>
      <c r="L93" s="69" t="s">
        <v>189</v>
      </c>
      <c r="M93" s="58"/>
      <c r="N93" s="58" t="s">
        <v>189</v>
      </c>
      <c r="O93" s="58"/>
      <c r="P93" s="58" t="s">
        <v>189</v>
      </c>
      <c r="Q93" s="58"/>
      <c r="R93" s="58" t="s">
        <v>189</v>
      </c>
      <c r="S93" s="58">
        <f aca="true" t="shared" si="2" ref="S93:S105">AVERAGE(G93,I93,K93)</f>
        <v>0.016858943050265456</v>
      </c>
      <c r="U93" s="53" t="s">
        <v>189</v>
      </c>
      <c r="W93" s="53" t="s">
        <v>189</v>
      </c>
      <c r="Y93" s="53" t="s">
        <v>189</v>
      </c>
      <c r="AA93" s="53" t="s">
        <v>189</v>
      </c>
      <c r="AC93" s="53" t="s">
        <v>189</v>
      </c>
      <c r="AE93" s="53" t="s">
        <v>189</v>
      </c>
      <c r="BH93"/>
    </row>
    <row r="94" spans="1:60" s="54" customFormat="1" ht="12.75">
      <c r="A94" s="57"/>
      <c r="B94" s="54" t="s">
        <v>20</v>
      </c>
      <c r="C94" s="54" t="s">
        <v>254</v>
      </c>
      <c r="D94" s="54" t="s">
        <v>63</v>
      </c>
      <c r="E94" s="52" t="s">
        <v>15</v>
      </c>
      <c r="F94" s="68" t="s">
        <v>189</v>
      </c>
      <c r="G94" s="54">
        <v>10.357522123893801</v>
      </c>
      <c r="H94" s="68" t="s">
        <v>189</v>
      </c>
      <c r="I94" s="54">
        <v>5.488495575221238</v>
      </c>
      <c r="J94" s="68" t="s">
        <v>189</v>
      </c>
      <c r="K94" s="54">
        <v>5.625</v>
      </c>
      <c r="L94" s="68" t="s">
        <v>189</v>
      </c>
      <c r="N94" s="53" t="s">
        <v>189</v>
      </c>
      <c r="P94" s="53" t="s">
        <v>189</v>
      </c>
      <c r="R94" s="53" t="s">
        <v>189</v>
      </c>
      <c r="S94" s="54">
        <f t="shared" si="2"/>
        <v>7.1570058997050126</v>
      </c>
      <c r="U94" s="53" t="s">
        <v>189</v>
      </c>
      <c r="W94" s="53" t="s">
        <v>189</v>
      </c>
      <c r="Y94" s="53" t="s">
        <v>189</v>
      </c>
      <c r="AA94" s="53" t="s">
        <v>189</v>
      </c>
      <c r="AC94" s="53" t="s">
        <v>189</v>
      </c>
      <c r="AE94" s="53" t="s">
        <v>189</v>
      </c>
      <c r="BH94"/>
    </row>
    <row r="95" spans="1:60" s="54" customFormat="1" ht="12.75">
      <c r="A95" s="57"/>
      <c r="B95" s="54" t="s">
        <v>65</v>
      </c>
      <c r="C95" s="54" t="s">
        <v>254</v>
      </c>
      <c r="D95" s="54" t="s">
        <v>63</v>
      </c>
      <c r="E95" s="52" t="s">
        <v>15</v>
      </c>
      <c r="F95" s="68" t="s">
        <v>189</v>
      </c>
      <c r="G95" s="54">
        <v>0.11150442477876105</v>
      </c>
      <c r="H95" s="68" t="s">
        <v>189</v>
      </c>
      <c r="I95" s="54">
        <v>0.08672566371681416</v>
      </c>
      <c r="J95" s="68" t="s">
        <v>189</v>
      </c>
      <c r="K95" s="54">
        <v>0.1125</v>
      </c>
      <c r="L95" s="68" t="s">
        <v>189</v>
      </c>
      <c r="N95" s="53" t="s">
        <v>189</v>
      </c>
      <c r="P95" s="53" t="s">
        <v>189</v>
      </c>
      <c r="R95" s="53" t="s">
        <v>189</v>
      </c>
      <c r="S95" s="54">
        <f t="shared" si="2"/>
        <v>0.10357669616519173</v>
      </c>
      <c r="U95" s="53" t="s">
        <v>189</v>
      </c>
      <c r="W95" s="53" t="s">
        <v>189</v>
      </c>
      <c r="Y95" s="53" t="s">
        <v>189</v>
      </c>
      <c r="AA95" s="53" t="s">
        <v>189</v>
      </c>
      <c r="AC95" s="53" t="s">
        <v>189</v>
      </c>
      <c r="AE95" s="53" t="s">
        <v>189</v>
      </c>
      <c r="BH95"/>
    </row>
    <row r="96" spans="1:60" s="54" customFormat="1" ht="12.75">
      <c r="A96" s="57"/>
      <c r="B96" s="54" t="s">
        <v>253</v>
      </c>
      <c r="C96" s="54" t="s">
        <v>254</v>
      </c>
      <c r="D96" s="54" t="s">
        <v>63</v>
      </c>
      <c r="E96" s="52" t="s">
        <v>15</v>
      </c>
      <c r="F96" s="68"/>
      <c r="G96" s="54">
        <f>G94+2*G95</f>
        <v>10.580530973451323</v>
      </c>
      <c r="H96" s="68"/>
      <c r="I96" s="54">
        <f>I94+2*I95</f>
        <v>5.661946902654867</v>
      </c>
      <c r="J96" s="68"/>
      <c r="K96" s="54">
        <f>K94+2*K95</f>
        <v>5.85</v>
      </c>
      <c r="L96" s="68"/>
      <c r="N96" s="53"/>
      <c r="P96" s="53"/>
      <c r="R96" s="53"/>
      <c r="S96" s="54">
        <f t="shared" si="2"/>
        <v>7.364159292035396</v>
      </c>
      <c r="U96" s="53"/>
      <c r="W96" s="53"/>
      <c r="Y96" s="53"/>
      <c r="AA96" s="53"/>
      <c r="AC96" s="53"/>
      <c r="AE96" s="53"/>
      <c r="BH96"/>
    </row>
    <row r="97" spans="1:60" s="54" customFormat="1" ht="12.75">
      <c r="A97" s="57"/>
      <c r="B97" s="54" t="s">
        <v>98</v>
      </c>
      <c r="C97" s="54" t="s">
        <v>255</v>
      </c>
      <c r="D97" s="54" t="s">
        <v>66</v>
      </c>
      <c r="E97" s="52" t="s">
        <v>15</v>
      </c>
      <c r="F97" s="68" t="s">
        <v>13</v>
      </c>
      <c r="G97" s="54">
        <v>0.54365056403471</v>
      </c>
      <c r="H97" s="68" t="s">
        <v>13</v>
      </c>
      <c r="I97" s="54">
        <v>0.5227461754220657</v>
      </c>
      <c r="J97" s="68" t="s">
        <v>13</v>
      </c>
      <c r="K97" s="54">
        <v>0.557429444907653</v>
      </c>
      <c r="L97" s="68" t="s">
        <v>189</v>
      </c>
      <c r="N97" s="53" t="s">
        <v>189</v>
      </c>
      <c r="P97" s="53" t="s">
        <v>189</v>
      </c>
      <c r="R97" s="53">
        <v>100</v>
      </c>
      <c r="S97" s="54">
        <f t="shared" si="2"/>
        <v>0.5412753947881429</v>
      </c>
      <c r="U97" s="53" t="s">
        <v>189</v>
      </c>
      <c r="W97" s="53" t="s">
        <v>189</v>
      </c>
      <c r="Y97" s="53" t="s">
        <v>189</v>
      </c>
      <c r="AA97" s="53" t="s">
        <v>189</v>
      </c>
      <c r="AC97" s="53" t="s">
        <v>189</v>
      </c>
      <c r="AE97" s="53" t="s">
        <v>189</v>
      </c>
      <c r="BH97"/>
    </row>
    <row r="98" spans="1:60" s="54" customFormat="1" ht="12.75">
      <c r="A98" s="57"/>
      <c r="B98" s="54" t="s">
        <v>100</v>
      </c>
      <c r="C98" s="54" t="s">
        <v>255</v>
      </c>
      <c r="D98" s="54" t="s">
        <v>66</v>
      </c>
      <c r="E98" s="52" t="s">
        <v>15</v>
      </c>
      <c r="F98" s="68" t="s">
        <v>13</v>
      </c>
      <c r="G98" s="54">
        <v>0.054365056403471</v>
      </c>
      <c r="H98" s="68" t="s">
        <v>13</v>
      </c>
      <c r="I98" s="54">
        <v>0.05227461754220657</v>
      </c>
      <c r="J98" s="68" t="s">
        <v>13</v>
      </c>
      <c r="K98" s="54">
        <v>0.055742944490765306</v>
      </c>
      <c r="L98" s="68" t="s">
        <v>189</v>
      </c>
      <c r="N98" s="53" t="s">
        <v>189</v>
      </c>
      <c r="P98" s="53" t="s">
        <v>189</v>
      </c>
      <c r="R98" s="53">
        <v>100</v>
      </c>
      <c r="S98" s="54">
        <f t="shared" si="2"/>
        <v>0.05412753947881429</v>
      </c>
      <c r="U98" s="53" t="s">
        <v>189</v>
      </c>
      <c r="W98" s="53" t="s">
        <v>189</v>
      </c>
      <c r="Y98" s="53" t="s">
        <v>189</v>
      </c>
      <c r="AA98" s="53" t="s">
        <v>189</v>
      </c>
      <c r="AC98" s="53" t="s">
        <v>189</v>
      </c>
      <c r="AE98" s="53" t="s">
        <v>189</v>
      </c>
      <c r="BH98"/>
    </row>
    <row r="99" spans="1:60" s="54" customFormat="1" ht="12.75">
      <c r="A99" s="57"/>
      <c r="B99" s="54" t="s">
        <v>105</v>
      </c>
      <c r="C99" s="54" t="s">
        <v>255</v>
      </c>
      <c r="D99" s="54" t="s">
        <v>66</v>
      </c>
      <c r="E99" s="52" t="s">
        <v>15</v>
      </c>
      <c r="F99" s="68" t="s">
        <v>189</v>
      </c>
      <c r="G99" s="54">
        <v>1.8810309515601</v>
      </c>
      <c r="H99" s="68" t="s">
        <v>189</v>
      </c>
      <c r="I99" s="54">
        <v>3.1626143613035</v>
      </c>
      <c r="J99" s="68" t="s">
        <v>189</v>
      </c>
      <c r="K99" s="54">
        <v>1.9733002349731</v>
      </c>
      <c r="L99" s="68" t="s">
        <v>189</v>
      </c>
      <c r="N99" s="53" t="s">
        <v>189</v>
      </c>
      <c r="P99" s="53" t="s">
        <v>189</v>
      </c>
      <c r="R99" s="53" t="s">
        <v>189</v>
      </c>
      <c r="S99" s="54">
        <f t="shared" si="2"/>
        <v>2.3389818492788996</v>
      </c>
      <c r="U99" s="53" t="s">
        <v>189</v>
      </c>
      <c r="W99" s="53" t="s">
        <v>189</v>
      </c>
      <c r="Y99" s="53" t="s">
        <v>189</v>
      </c>
      <c r="AA99" s="53" t="s">
        <v>189</v>
      </c>
      <c r="AC99" s="53" t="s">
        <v>189</v>
      </c>
      <c r="AE99" s="53" t="s">
        <v>189</v>
      </c>
      <c r="BH99"/>
    </row>
    <row r="100" spans="1:60" s="54" customFormat="1" ht="12.75">
      <c r="A100" s="57"/>
      <c r="B100" s="54" t="s">
        <v>191</v>
      </c>
      <c r="C100" s="54" t="s">
        <v>256</v>
      </c>
      <c r="D100" s="54" t="s">
        <v>66</v>
      </c>
      <c r="E100" s="52" t="s">
        <v>15</v>
      </c>
      <c r="F100" s="68" t="s">
        <v>13</v>
      </c>
      <c r="G100" s="54">
        <v>0.1511504424778761</v>
      </c>
      <c r="H100" s="68" t="s">
        <v>13</v>
      </c>
      <c r="I100" s="54">
        <v>0.13504424778761</v>
      </c>
      <c r="J100" s="68" t="s">
        <v>13</v>
      </c>
      <c r="K100" s="54">
        <v>0.15875</v>
      </c>
      <c r="L100" s="68" t="s">
        <v>189</v>
      </c>
      <c r="N100" s="53" t="s">
        <v>189</v>
      </c>
      <c r="P100" s="53" t="s">
        <v>189</v>
      </c>
      <c r="R100" s="53">
        <v>100</v>
      </c>
      <c r="S100" s="54">
        <f t="shared" si="2"/>
        <v>0.14831489675516205</v>
      </c>
      <c r="U100" s="53" t="s">
        <v>189</v>
      </c>
      <c r="W100" s="53" t="s">
        <v>189</v>
      </c>
      <c r="Y100" s="53" t="s">
        <v>189</v>
      </c>
      <c r="AA100" s="53" t="s">
        <v>189</v>
      </c>
      <c r="AC100" s="53" t="s">
        <v>189</v>
      </c>
      <c r="AE100" s="53" t="s">
        <v>189</v>
      </c>
      <c r="BH100"/>
    </row>
    <row r="101" spans="1:60" s="54" customFormat="1" ht="12.75">
      <c r="A101" s="57"/>
      <c r="B101" s="54" t="s">
        <v>103</v>
      </c>
      <c r="C101" s="54" t="s">
        <v>255</v>
      </c>
      <c r="D101" s="54" t="s">
        <v>66</v>
      </c>
      <c r="E101" s="52" t="s">
        <v>15</v>
      </c>
      <c r="F101" s="68" t="s">
        <v>189</v>
      </c>
      <c r="G101" s="54">
        <v>22.072212899809227</v>
      </c>
      <c r="H101" s="68" t="s">
        <v>189</v>
      </c>
      <c r="I101" s="54">
        <v>20.857572399340416</v>
      </c>
      <c r="J101" s="68" t="s">
        <v>189</v>
      </c>
      <c r="K101" s="54">
        <v>23.913723186538313</v>
      </c>
      <c r="L101" s="68" t="s">
        <v>189</v>
      </c>
      <c r="N101" s="53" t="s">
        <v>189</v>
      </c>
      <c r="P101" s="53" t="s">
        <v>189</v>
      </c>
      <c r="R101" s="53" t="s">
        <v>189</v>
      </c>
      <c r="S101" s="54">
        <f t="shared" si="2"/>
        <v>22.281169495229317</v>
      </c>
      <c r="U101" s="53" t="s">
        <v>189</v>
      </c>
      <c r="W101" s="53" t="s">
        <v>189</v>
      </c>
      <c r="Y101" s="53" t="s">
        <v>189</v>
      </c>
      <c r="AA101" s="53" t="s">
        <v>189</v>
      </c>
      <c r="AC101" s="53" t="s">
        <v>189</v>
      </c>
      <c r="AE101" s="53" t="s">
        <v>189</v>
      </c>
      <c r="BH101"/>
    </row>
    <row r="102" spans="1:60" s="54" customFormat="1" ht="12.75">
      <c r="A102" s="57"/>
      <c r="B102" s="54" t="s">
        <v>110</v>
      </c>
      <c r="C102" s="54" t="s">
        <v>255</v>
      </c>
      <c r="D102" s="54" t="s">
        <v>66</v>
      </c>
      <c r="E102" s="52" t="s">
        <v>15</v>
      </c>
      <c r="F102" s="68" t="s">
        <v>189</v>
      </c>
      <c r="G102" s="54">
        <v>2.097403876045911</v>
      </c>
      <c r="H102" s="68" t="s">
        <v>189</v>
      </c>
      <c r="I102" s="54">
        <v>2.3654264437848473</v>
      </c>
      <c r="J102" s="68" t="s">
        <v>189</v>
      </c>
      <c r="K102" s="54">
        <v>2.1739748351398465</v>
      </c>
      <c r="L102" s="68" t="s">
        <v>189</v>
      </c>
      <c r="N102" s="53" t="s">
        <v>189</v>
      </c>
      <c r="P102" s="53" t="s">
        <v>189</v>
      </c>
      <c r="R102" s="53" t="s">
        <v>189</v>
      </c>
      <c r="S102" s="54">
        <f t="shared" si="2"/>
        <v>2.2122683849902014</v>
      </c>
      <c r="U102" s="53" t="s">
        <v>189</v>
      </c>
      <c r="W102" s="53" t="s">
        <v>189</v>
      </c>
      <c r="Y102" s="53" t="s">
        <v>189</v>
      </c>
      <c r="AA102" s="53" t="s">
        <v>189</v>
      </c>
      <c r="AC102" s="53" t="s">
        <v>189</v>
      </c>
      <c r="AE102" s="53" t="s">
        <v>189</v>
      </c>
      <c r="BH102"/>
    </row>
    <row r="103" spans="1:60" s="54" customFormat="1" ht="12.75">
      <c r="A103" s="57"/>
      <c r="B103" s="54" t="s">
        <v>104</v>
      </c>
      <c r="C103" s="54" t="s">
        <v>255</v>
      </c>
      <c r="D103" s="54" t="s">
        <v>66</v>
      </c>
      <c r="E103" s="52" t="s">
        <v>15</v>
      </c>
      <c r="F103" s="68" t="s">
        <v>189</v>
      </c>
      <c r="G103" s="54">
        <v>19.51161874320574</v>
      </c>
      <c r="H103" s="68" t="s">
        <v>189</v>
      </c>
      <c r="I103" s="54">
        <v>4.751762734586577</v>
      </c>
      <c r="J103" s="68" t="s">
        <v>189</v>
      </c>
      <c r="K103" s="54">
        <v>9.582212157962557</v>
      </c>
      <c r="L103" s="68" t="s">
        <v>189</v>
      </c>
      <c r="N103" s="53" t="s">
        <v>189</v>
      </c>
      <c r="P103" s="53" t="s">
        <v>189</v>
      </c>
      <c r="R103" s="53" t="s">
        <v>189</v>
      </c>
      <c r="S103" s="54">
        <f t="shared" si="2"/>
        <v>11.281864545251624</v>
      </c>
      <c r="U103" s="53" t="s">
        <v>189</v>
      </c>
      <c r="W103" s="53" t="s">
        <v>189</v>
      </c>
      <c r="Y103" s="53" t="s">
        <v>189</v>
      </c>
      <c r="AA103" s="53" t="s">
        <v>189</v>
      </c>
      <c r="AC103" s="53" t="s">
        <v>189</v>
      </c>
      <c r="AE103" s="53" t="s">
        <v>189</v>
      </c>
      <c r="BH103"/>
    </row>
    <row r="104" spans="1:60" s="54" customFormat="1" ht="12.75">
      <c r="A104" s="57"/>
      <c r="B104" s="54" t="s">
        <v>75</v>
      </c>
      <c r="C104" s="54" t="s">
        <v>255</v>
      </c>
      <c r="D104" s="54" t="s">
        <v>66</v>
      </c>
      <c r="E104" s="52" t="s">
        <v>15</v>
      </c>
      <c r="F104" s="68"/>
      <c r="G104" s="54">
        <f>G101+G99</f>
        <v>23.953243851369326</v>
      </c>
      <c r="H104" s="68"/>
      <c r="I104" s="54">
        <f>I101+I99</f>
        <v>24.020186760643917</v>
      </c>
      <c r="J104" s="68"/>
      <c r="K104" s="54">
        <f>K101+K99</f>
        <v>25.88702342151141</v>
      </c>
      <c r="L104" s="68"/>
      <c r="N104" s="53"/>
      <c r="P104" s="53"/>
      <c r="R104" s="53"/>
      <c r="S104" s="54">
        <f t="shared" si="2"/>
        <v>24.62015134450822</v>
      </c>
      <c r="U104" s="53"/>
      <c r="W104" s="53"/>
      <c r="Y104" s="53"/>
      <c r="AA104" s="53"/>
      <c r="AC104" s="53"/>
      <c r="AE104" s="53"/>
      <c r="BH104"/>
    </row>
    <row r="105" spans="1:60" s="54" customFormat="1" ht="12.75">
      <c r="A105" s="57"/>
      <c r="B105" s="54" t="s">
        <v>258</v>
      </c>
      <c r="C105" s="54" t="s">
        <v>255</v>
      </c>
      <c r="D105" s="54" t="s">
        <v>66</v>
      </c>
      <c r="E105" s="52" t="s">
        <v>15</v>
      </c>
      <c r="F105" s="68">
        <f>(G97+G98)/G105*100</f>
        <v>79.82417384344167</v>
      </c>
      <c r="G105" s="54">
        <f>G97+G98+G100</f>
        <v>0.7491660629160571</v>
      </c>
      <c r="H105" s="68">
        <f>(I97+I98)/I105*100</f>
        <v>80.9814256388946</v>
      </c>
      <c r="I105" s="54">
        <f>I97+I98+I100</f>
        <v>0.7100650407518823</v>
      </c>
      <c r="J105" s="68">
        <f>(K97+K98)/K105*100</f>
        <v>79.43446100537147</v>
      </c>
      <c r="K105" s="54">
        <f>K97+K98+K100</f>
        <v>0.7719223893984184</v>
      </c>
      <c r="L105" s="68"/>
      <c r="N105" s="53"/>
      <c r="P105" s="53"/>
      <c r="R105" s="53">
        <f>(F105*G105+H105*I105+J105*K105)/(3*S105)</f>
        <v>80.05763872148563</v>
      </c>
      <c r="S105" s="54">
        <f t="shared" si="2"/>
        <v>0.7437178310221193</v>
      </c>
      <c r="U105" s="53"/>
      <c r="W105" s="53"/>
      <c r="Y105" s="53"/>
      <c r="AA105" s="53"/>
      <c r="AC105" s="53"/>
      <c r="AE105" s="53"/>
      <c r="BH105"/>
    </row>
    <row r="106" spans="1:60" s="55" customFormat="1" ht="12.75">
      <c r="A106" s="57"/>
      <c r="F106" s="59"/>
      <c r="G106" s="53"/>
      <c r="H106" s="68"/>
      <c r="I106" s="53"/>
      <c r="J106" s="68"/>
      <c r="K106" s="53"/>
      <c r="L106" s="68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BH106"/>
    </row>
    <row r="107" spans="1:60" s="55" customFormat="1" ht="12.75">
      <c r="A107" s="57"/>
      <c r="B107" s="55" t="s">
        <v>97</v>
      </c>
      <c r="C107" s="55" t="s">
        <v>195</v>
      </c>
      <c r="D107" s="54" t="s">
        <v>252</v>
      </c>
      <c r="F107" s="59"/>
      <c r="G107" s="53"/>
      <c r="H107" s="68"/>
      <c r="I107" s="53"/>
      <c r="J107" s="68"/>
      <c r="K107" s="53"/>
      <c r="L107" s="68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BH107"/>
    </row>
    <row r="108" spans="1:60" s="55" customFormat="1" ht="12.75">
      <c r="A108" s="57"/>
      <c r="B108" s="28" t="s">
        <v>92</v>
      </c>
      <c r="C108" s="28"/>
      <c r="D108" s="28" t="s">
        <v>16</v>
      </c>
      <c r="F108" s="59"/>
      <c r="G108" s="53">
        <v>134300</v>
      </c>
      <c r="H108" s="68"/>
      <c r="I108" s="53">
        <v>136700</v>
      </c>
      <c r="J108" s="68"/>
      <c r="K108" s="53">
        <v>133400</v>
      </c>
      <c r="L108" s="68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BH108"/>
    </row>
    <row r="109" spans="1:60" s="55" customFormat="1" ht="12.75">
      <c r="A109" s="57"/>
      <c r="B109" s="28" t="s">
        <v>95</v>
      </c>
      <c r="C109" s="28"/>
      <c r="D109" s="28" t="s">
        <v>14</v>
      </c>
      <c r="F109" s="59"/>
      <c r="G109" s="53">
        <v>9.7</v>
      </c>
      <c r="H109" s="68"/>
      <c r="I109" s="53">
        <v>9.7</v>
      </c>
      <c r="J109" s="68"/>
      <c r="K109" s="53">
        <v>9.8</v>
      </c>
      <c r="L109" s="68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BH109"/>
    </row>
    <row r="110" spans="1:60" s="55" customFormat="1" ht="12.75">
      <c r="A110" s="57"/>
      <c r="B110" s="28" t="s">
        <v>96</v>
      </c>
      <c r="C110" s="28"/>
      <c r="D110" s="28" t="s">
        <v>14</v>
      </c>
      <c r="F110" s="59"/>
      <c r="G110" s="53">
        <v>30.4</v>
      </c>
      <c r="H110" s="68"/>
      <c r="I110" s="53">
        <v>29.4</v>
      </c>
      <c r="J110" s="68"/>
      <c r="K110" s="53">
        <v>30</v>
      </c>
      <c r="L110" s="68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BH110"/>
    </row>
    <row r="111" spans="1:60" s="55" customFormat="1" ht="12.75">
      <c r="A111" s="57"/>
      <c r="B111" s="28" t="s">
        <v>91</v>
      </c>
      <c r="C111" s="28"/>
      <c r="D111" s="28" t="s">
        <v>17</v>
      </c>
      <c r="F111" s="59"/>
      <c r="G111" s="53">
        <v>301</v>
      </c>
      <c r="H111" s="68"/>
      <c r="I111" s="53">
        <v>303</v>
      </c>
      <c r="J111" s="68"/>
      <c r="K111" s="53">
        <v>305</v>
      </c>
      <c r="L111" s="68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BH111"/>
    </row>
    <row r="112" spans="1:60" s="55" customFormat="1" ht="12.75">
      <c r="A112" s="57"/>
      <c r="F112" s="59"/>
      <c r="G112" s="53"/>
      <c r="H112" s="68"/>
      <c r="I112" s="53"/>
      <c r="J112" s="68"/>
      <c r="K112" s="53"/>
      <c r="L112" s="68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BH112"/>
    </row>
    <row r="113" spans="1:60" s="55" customFormat="1" ht="12.75">
      <c r="A113" s="57"/>
      <c r="B113" s="55" t="s">
        <v>97</v>
      </c>
      <c r="C113" s="55" t="s">
        <v>194</v>
      </c>
      <c r="D113" s="55" t="s">
        <v>254</v>
      </c>
      <c r="F113" s="59"/>
      <c r="G113" s="53"/>
      <c r="H113" s="68"/>
      <c r="I113" s="53"/>
      <c r="J113" s="68"/>
      <c r="K113" s="53"/>
      <c r="L113" s="68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BH113"/>
    </row>
    <row r="114" spans="1:60" s="55" customFormat="1" ht="12.75">
      <c r="A114" s="57"/>
      <c r="B114" s="28" t="s">
        <v>92</v>
      </c>
      <c r="C114" s="28"/>
      <c r="D114" s="28" t="s">
        <v>16</v>
      </c>
      <c r="F114" s="59"/>
      <c r="G114" s="53">
        <v>137600</v>
      </c>
      <c r="H114" s="68"/>
      <c r="I114" s="53">
        <v>148200</v>
      </c>
      <c r="J114" s="68"/>
      <c r="K114" s="53">
        <v>143400</v>
      </c>
      <c r="L114" s="68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BH114"/>
    </row>
    <row r="115" spans="1:60" s="55" customFormat="1" ht="12.75">
      <c r="A115" s="57"/>
      <c r="B115" s="28" t="s">
        <v>95</v>
      </c>
      <c r="C115" s="28"/>
      <c r="D115" s="28" t="s">
        <v>14</v>
      </c>
      <c r="F115" s="59"/>
      <c r="G115" s="53">
        <v>9.7</v>
      </c>
      <c r="H115" s="68"/>
      <c r="I115" s="53">
        <v>9.7</v>
      </c>
      <c r="J115" s="68"/>
      <c r="K115" s="53">
        <v>9.8</v>
      </c>
      <c r="L115" s="68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BH115"/>
    </row>
    <row r="116" spans="1:60" s="55" customFormat="1" ht="12.75">
      <c r="A116" s="57"/>
      <c r="B116" s="28" t="s">
        <v>96</v>
      </c>
      <c r="C116" s="28"/>
      <c r="D116" s="28" t="s">
        <v>14</v>
      </c>
      <c r="F116" s="59"/>
      <c r="G116" s="53">
        <v>28.8</v>
      </c>
      <c r="H116" s="68"/>
      <c r="I116" s="53">
        <v>27.3</v>
      </c>
      <c r="J116" s="68"/>
      <c r="K116" s="53">
        <v>27.5</v>
      </c>
      <c r="L116" s="68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BH116"/>
    </row>
    <row r="117" spans="1:60" s="55" customFormat="1" ht="12.75">
      <c r="A117" s="57"/>
      <c r="B117" s="28" t="s">
        <v>91</v>
      </c>
      <c r="C117" s="28"/>
      <c r="D117" s="28" t="s">
        <v>17</v>
      </c>
      <c r="F117" s="59"/>
      <c r="G117" s="53">
        <v>303</v>
      </c>
      <c r="H117" s="68"/>
      <c r="I117" s="53">
        <v>304</v>
      </c>
      <c r="J117" s="68"/>
      <c r="K117" s="53">
        <v>306</v>
      </c>
      <c r="L117" s="68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BH117"/>
    </row>
    <row r="118" spans="1:60" s="55" customFormat="1" ht="12.75">
      <c r="A118" s="57"/>
      <c r="F118" s="59"/>
      <c r="G118" s="53"/>
      <c r="H118" s="68"/>
      <c r="I118" s="53"/>
      <c r="J118" s="68"/>
      <c r="K118" s="53"/>
      <c r="L118" s="68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BH118"/>
    </row>
    <row r="119" spans="1:60" s="55" customFormat="1" ht="12.75">
      <c r="A119" s="57"/>
      <c r="B119" s="55" t="s">
        <v>97</v>
      </c>
      <c r="C119" s="55" t="s">
        <v>118</v>
      </c>
      <c r="D119" s="55" t="s">
        <v>255</v>
      </c>
      <c r="F119" s="59"/>
      <c r="G119" s="53"/>
      <c r="H119" s="68"/>
      <c r="I119" s="53"/>
      <c r="J119" s="68"/>
      <c r="K119" s="53"/>
      <c r="L119" s="68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BH119"/>
    </row>
    <row r="120" spans="1:60" s="55" customFormat="1" ht="12.75">
      <c r="A120" s="57"/>
      <c r="B120" s="28" t="s">
        <v>92</v>
      </c>
      <c r="C120" s="28"/>
      <c r="D120" s="28" t="s">
        <v>16</v>
      </c>
      <c r="F120" s="59"/>
      <c r="G120" s="53">
        <v>139700</v>
      </c>
      <c r="H120" s="68"/>
      <c r="I120" s="53">
        <v>146000</v>
      </c>
      <c r="J120" s="68"/>
      <c r="K120" s="53">
        <v>148200</v>
      </c>
      <c r="L120" s="68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BH120"/>
    </row>
    <row r="121" spans="1:60" s="55" customFormat="1" ht="12.75">
      <c r="A121" s="57"/>
      <c r="B121" s="28" t="s">
        <v>95</v>
      </c>
      <c r="C121" s="28"/>
      <c r="D121" s="28" t="s">
        <v>14</v>
      </c>
      <c r="F121" s="59"/>
      <c r="G121" s="53">
        <v>9.7</v>
      </c>
      <c r="H121" s="68"/>
      <c r="I121" s="53">
        <v>9.7</v>
      </c>
      <c r="J121" s="68"/>
      <c r="K121" s="53">
        <v>9.8</v>
      </c>
      <c r="L121" s="68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BH121"/>
    </row>
    <row r="122" spans="1:60" s="55" customFormat="1" ht="12.75">
      <c r="A122" s="57"/>
      <c r="B122" s="28" t="s">
        <v>96</v>
      </c>
      <c r="C122" s="28"/>
      <c r="D122" s="28" t="s">
        <v>14</v>
      </c>
      <c r="F122" s="59"/>
      <c r="G122" s="53">
        <v>29.8</v>
      </c>
      <c r="H122" s="68"/>
      <c r="I122" s="53">
        <v>28.7</v>
      </c>
      <c r="J122" s="68"/>
      <c r="K122" s="53">
        <v>28.1</v>
      </c>
      <c r="L122" s="68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BH122"/>
    </row>
    <row r="123" spans="1:60" s="55" customFormat="1" ht="12.75">
      <c r="A123" s="57"/>
      <c r="B123" s="28" t="s">
        <v>91</v>
      </c>
      <c r="C123" s="28"/>
      <c r="D123" s="28" t="s">
        <v>17</v>
      </c>
      <c r="F123" s="59"/>
      <c r="G123" s="53">
        <v>304</v>
      </c>
      <c r="H123" s="68"/>
      <c r="I123" s="53">
        <v>306</v>
      </c>
      <c r="J123" s="68"/>
      <c r="K123" s="53">
        <v>308</v>
      </c>
      <c r="L123" s="68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BH123"/>
    </row>
    <row r="124" ht="12.75">
      <c r="Q124" s="54"/>
    </row>
    <row r="125" spans="2:4" ht="12.75">
      <c r="B125" s="55" t="s">
        <v>97</v>
      </c>
      <c r="C125" s="55" t="s">
        <v>192</v>
      </c>
      <c r="D125" t="s">
        <v>256</v>
      </c>
    </row>
    <row r="126" spans="1:60" s="55" customFormat="1" ht="12.75">
      <c r="A126" s="57"/>
      <c r="B126" s="28" t="s">
        <v>92</v>
      </c>
      <c r="C126" s="28"/>
      <c r="D126" s="28" t="s">
        <v>16</v>
      </c>
      <c r="F126" s="59"/>
      <c r="G126" s="53">
        <v>133400</v>
      </c>
      <c r="H126" s="68"/>
      <c r="I126" s="53">
        <v>145800</v>
      </c>
      <c r="J126" s="68"/>
      <c r="K126" s="53">
        <v>140500</v>
      </c>
      <c r="L126" s="68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BH126"/>
    </row>
    <row r="127" spans="1:60" s="55" customFormat="1" ht="12.75">
      <c r="A127" s="57"/>
      <c r="B127" s="28" t="s">
        <v>95</v>
      </c>
      <c r="C127" s="28"/>
      <c r="D127" s="28" t="s">
        <v>14</v>
      </c>
      <c r="F127" s="59"/>
      <c r="G127" s="53">
        <v>9.7</v>
      </c>
      <c r="H127" s="68"/>
      <c r="I127" s="53">
        <v>9.7</v>
      </c>
      <c r="J127" s="68"/>
      <c r="K127" s="53">
        <v>9.8</v>
      </c>
      <c r="L127" s="68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BH127"/>
    </row>
    <row r="128" spans="1:60" s="55" customFormat="1" ht="12.75">
      <c r="A128" s="57"/>
      <c r="B128" s="28" t="s">
        <v>96</v>
      </c>
      <c r="C128" s="28"/>
      <c r="D128" s="28" t="s">
        <v>14</v>
      </c>
      <c r="F128" s="59"/>
      <c r="G128" s="53">
        <v>30.9</v>
      </c>
      <c r="H128" s="68"/>
      <c r="I128" s="53">
        <v>27.8</v>
      </c>
      <c r="J128" s="68"/>
      <c r="K128" s="53">
        <v>29.9</v>
      </c>
      <c r="L128" s="68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BH128"/>
    </row>
    <row r="129" spans="1:60" s="55" customFormat="1" ht="12.75">
      <c r="A129" s="57"/>
      <c r="B129" s="28" t="s">
        <v>91</v>
      </c>
      <c r="C129" s="28"/>
      <c r="D129" s="28" t="s">
        <v>17</v>
      </c>
      <c r="F129" s="59"/>
      <c r="G129" s="53">
        <v>303</v>
      </c>
      <c r="H129" s="68"/>
      <c r="I129" s="53">
        <v>304</v>
      </c>
      <c r="J129" s="68"/>
      <c r="K129" s="53">
        <v>306</v>
      </c>
      <c r="L129" s="68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BH129"/>
    </row>
    <row r="130" spans="1:60" s="55" customFormat="1" ht="12.75">
      <c r="A130" s="57"/>
      <c r="F130" s="59"/>
      <c r="G130" s="53"/>
      <c r="H130" s="68"/>
      <c r="I130" s="53"/>
      <c r="J130" s="68"/>
      <c r="K130" s="53"/>
      <c r="L130" s="68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BH130"/>
    </row>
    <row r="131" spans="1:60" s="55" customFormat="1" ht="12.75">
      <c r="A131" s="57"/>
      <c r="B131" s="55" t="s">
        <v>97</v>
      </c>
      <c r="C131" s="55" t="s">
        <v>193</v>
      </c>
      <c r="D131" s="55" t="s">
        <v>257</v>
      </c>
      <c r="F131" s="59"/>
      <c r="G131" s="53"/>
      <c r="H131" s="68"/>
      <c r="I131" s="53"/>
      <c r="J131" s="68"/>
      <c r="K131" s="53"/>
      <c r="L131" s="68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BH131"/>
    </row>
    <row r="132" spans="1:60" s="55" customFormat="1" ht="12.75">
      <c r="A132" s="57"/>
      <c r="B132" s="28" t="s">
        <v>92</v>
      </c>
      <c r="C132" s="28"/>
      <c r="D132" s="28" t="s">
        <v>16</v>
      </c>
      <c r="F132" s="59"/>
      <c r="G132" s="53">
        <v>130900</v>
      </c>
      <c r="H132" s="68"/>
      <c r="I132" s="53">
        <v>141700</v>
      </c>
      <c r="J132" s="68"/>
      <c r="K132" s="53">
        <v>135800</v>
      </c>
      <c r="L132" s="68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BH132"/>
    </row>
    <row r="133" spans="1:60" s="55" customFormat="1" ht="12.75">
      <c r="A133" s="57"/>
      <c r="B133" s="28" t="s">
        <v>95</v>
      </c>
      <c r="C133" s="28"/>
      <c r="D133" s="28" t="s">
        <v>14</v>
      </c>
      <c r="F133" s="59"/>
      <c r="G133" s="53">
        <v>9.7</v>
      </c>
      <c r="H133" s="68"/>
      <c r="I133" s="53">
        <v>9.7</v>
      </c>
      <c r="J133" s="68"/>
      <c r="K133" s="53">
        <v>9.8</v>
      </c>
      <c r="L133" s="68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BH133"/>
    </row>
    <row r="134" spans="1:60" s="55" customFormat="1" ht="12.75">
      <c r="A134" s="57"/>
      <c r="B134" s="28" t="s">
        <v>96</v>
      </c>
      <c r="C134" s="28"/>
      <c r="D134" s="28" t="s">
        <v>14</v>
      </c>
      <c r="F134" s="59"/>
      <c r="G134" s="53">
        <v>29.7</v>
      </c>
      <c r="H134" s="68"/>
      <c r="I134" s="53">
        <v>28.7</v>
      </c>
      <c r="J134" s="68"/>
      <c r="K134" s="53">
        <v>28.4</v>
      </c>
      <c r="L134" s="68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BH134"/>
    </row>
    <row r="135" spans="1:60" s="55" customFormat="1" ht="12.75">
      <c r="A135" s="57"/>
      <c r="B135" s="28" t="s">
        <v>91</v>
      </c>
      <c r="C135" s="28"/>
      <c r="D135" s="28" t="s">
        <v>17</v>
      </c>
      <c r="F135" s="59"/>
      <c r="G135" s="53">
        <v>303</v>
      </c>
      <c r="H135" s="68"/>
      <c r="I135" s="53">
        <v>304</v>
      </c>
      <c r="J135" s="68"/>
      <c r="K135" s="53">
        <v>307</v>
      </c>
      <c r="L135" s="68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BH135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R52"/>
  <sheetViews>
    <sheetView workbookViewId="0" topLeftCell="B1">
      <selection activeCell="C1" sqref="C1"/>
    </sheetView>
  </sheetViews>
  <sheetFormatPr defaultColWidth="9.140625" defaultRowHeight="12.75"/>
  <cols>
    <col min="1" max="1" width="3.421875" style="4" hidden="1" customWidth="1"/>
    <col min="2" max="2" width="19.00390625" style="9" customWidth="1"/>
    <col min="3" max="3" width="5.28125" style="9" customWidth="1"/>
    <col min="4" max="4" width="8.57421875" style="9" customWidth="1"/>
    <col min="5" max="5" width="2.8515625" style="5" customWidth="1"/>
    <col min="6" max="6" width="11.140625" style="40" customWidth="1"/>
    <col min="7" max="7" width="2.8515625" style="5" customWidth="1"/>
    <col min="8" max="8" width="11.140625" style="40" customWidth="1"/>
    <col min="9" max="9" width="1.8515625" style="40" customWidth="1"/>
    <col min="10" max="10" width="11.140625" style="40" customWidth="1"/>
    <col min="11" max="11" width="2.421875" style="40" customWidth="1"/>
    <col min="12" max="12" width="11.00390625" style="4" customWidth="1"/>
    <col min="13" max="13" width="2.28125" style="4" customWidth="1"/>
    <col min="14" max="14" width="9.28125" style="5" customWidth="1"/>
    <col min="15" max="15" width="2.140625" style="5" customWidth="1"/>
    <col min="16" max="16" width="8.8515625" style="5" customWidth="1"/>
    <col min="17" max="17" width="2.57421875" style="5" customWidth="1"/>
    <col min="18" max="18" width="9.8515625" style="5" customWidth="1"/>
    <col min="19" max="19" width="2.421875" style="5" customWidth="1"/>
    <col min="20" max="20" width="8.8515625" style="40" customWidth="1"/>
    <col min="21" max="21" width="1.8515625" style="40" customWidth="1"/>
    <col min="22" max="22" width="9.421875" style="5" customWidth="1"/>
    <col min="23" max="23" width="2.28125" style="5" customWidth="1"/>
    <col min="24" max="24" width="9.7109375" style="5" customWidth="1"/>
    <col min="25" max="25" width="2.421875" style="5" customWidth="1"/>
    <col min="26" max="26" width="10.57421875" style="5" customWidth="1"/>
    <col min="27" max="27" width="2.7109375" style="5" customWidth="1"/>
    <col min="28" max="28" width="9.28125" style="4" customWidth="1"/>
    <col min="29" max="29" width="2.140625" style="4" customWidth="1"/>
    <col min="30" max="30" width="11.8515625" style="5" customWidth="1"/>
    <col min="31" max="31" width="2.57421875" style="5" customWidth="1"/>
    <col min="32" max="32" width="11.8515625" style="5" customWidth="1"/>
    <col min="33" max="33" width="2.57421875" style="5" customWidth="1"/>
    <col min="34" max="34" width="12.140625" style="5" customWidth="1"/>
    <col min="35" max="35" width="2.8515625" style="5" customWidth="1"/>
    <col min="36" max="36" width="11.00390625" style="4" customWidth="1"/>
    <col min="37" max="37" width="2.8515625" style="4" customWidth="1"/>
    <col min="38" max="38" width="12.421875" style="4" customWidth="1"/>
    <col min="39" max="39" width="2.140625" style="4" customWidth="1"/>
    <col min="40" max="40" width="12.421875" style="4" customWidth="1"/>
    <col min="41" max="41" width="2.140625" style="4" customWidth="1"/>
    <col min="42" max="42" width="11.8515625" style="4" customWidth="1"/>
    <col min="43" max="43" width="2.28125" style="4" customWidth="1"/>
    <col min="44" max="44" width="13.00390625" style="4" customWidth="1"/>
    <col min="45" max="16384" width="8.8515625" style="4" customWidth="1"/>
  </cols>
  <sheetData>
    <row r="1" spans="2:3" ht="12.75">
      <c r="B1" s="39" t="s">
        <v>251</v>
      </c>
      <c r="C1" s="39"/>
    </row>
    <row r="3" spans="1:44" ht="12.75">
      <c r="A3" s="4" t="s">
        <v>109</v>
      </c>
      <c r="B3" s="39" t="s">
        <v>152</v>
      </c>
      <c r="C3" s="9" t="str">
        <f>'emiss 1'!C6</f>
        <v>Max comb temp, max metals, chlorine</v>
      </c>
      <c r="F3" s="5" t="s">
        <v>124</v>
      </c>
      <c r="H3" s="5" t="s">
        <v>125</v>
      </c>
      <c r="I3" s="5"/>
      <c r="J3" s="5" t="s">
        <v>126</v>
      </c>
      <c r="K3" s="5"/>
      <c r="L3" s="4" t="s">
        <v>67</v>
      </c>
      <c r="N3" s="5" t="s">
        <v>124</v>
      </c>
      <c r="P3" s="5" t="s">
        <v>125</v>
      </c>
      <c r="R3" s="5" t="s">
        <v>126</v>
      </c>
      <c r="T3" s="40" t="s">
        <v>67</v>
      </c>
      <c r="V3" s="5" t="s">
        <v>124</v>
      </c>
      <c r="X3" s="5" t="s">
        <v>125</v>
      </c>
      <c r="Z3" s="5" t="s">
        <v>126</v>
      </c>
      <c r="AB3" s="4" t="s">
        <v>67</v>
      </c>
      <c r="AD3" s="5" t="s">
        <v>124</v>
      </c>
      <c r="AF3" s="5" t="s">
        <v>125</v>
      </c>
      <c r="AH3" s="5" t="s">
        <v>126</v>
      </c>
      <c r="AJ3" s="4" t="s">
        <v>67</v>
      </c>
      <c r="AL3" s="5" t="s">
        <v>124</v>
      </c>
      <c r="AM3" s="5"/>
      <c r="AN3" s="5" t="s">
        <v>125</v>
      </c>
      <c r="AO3" s="5"/>
      <c r="AP3" s="5" t="s">
        <v>126</v>
      </c>
      <c r="AQ3" s="5"/>
      <c r="AR3" s="5" t="s">
        <v>67</v>
      </c>
    </row>
    <row r="4" spans="2:44" ht="12.75">
      <c r="B4" s="39"/>
      <c r="F4" s="5"/>
      <c r="H4" s="5"/>
      <c r="I4" s="5"/>
      <c r="J4" s="5"/>
      <c r="K4" s="5"/>
      <c r="AL4" s="5"/>
      <c r="AM4" s="5"/>
      <c r="AN4" s="5"/>
      <c r="AO4" s="5"/>
      <c r="AP4" s="5"/>
      <c r="AQ4" s="5"/>
      <c r="AR4" s="5"/>
    </row>
    <row r="5" spans="2:44" ht="12.75">
      <c r="B5" s="9" t="s">
        <v>276</v>
      </c>
      <c r="F5" s="5" t="s">
        <v>279</v>
      </c>
      <c r="H5" s="5" t="s">
        <v>279</v>
      </c>
      <c r="I5" s="5"/>
      <c r="J5" s="5" t="s">
        <v>279</v>
      </c>
      <c r="K5" s="5"/>
      <c r="L5" s="4" t="s">
        <v>279</v>
      </c>
      <c r="N5" s="5" t="s">
        <v>281</v>
      </c>
      <c r="P5" s="5" t="s">
        <v>281</v>
      </c>
      <c r="R5" s="5" t="s">
        <v>281</v>
      </c>
      <c r="T5" s="40" t="s">
        <v>281</v>
      </c>
      <c r="V5" s="5" t="s">
        <v>283</v>
      </c>
      <c r="X5" s="5" t="s">
        <v>283</v>
      </c>
      <c r="Z5" s="5" t="s">
        <v>283</v>
      </c>
      <c r="AB5" s="4" t="s">
        <v>283</v>
      </c>
      <c r="AD5" s="5" t="s">
        <v>284</v>
      </c>
      <c r="AF5" s="5" t="s">
        <v>284</v>
      </c>
      <c r="AH5" s="5" t="s">
        <v>284</v>
      </c>
      <c r="AJ5" s="4" t="s">
        <v>284</v>
      </c>
      <c r="AL5" s="5" t="s">
        <v>285</v>
      </c>
      <c r="AM5" s="5"/>
      <c r="AN5" s="5" t="s">
        <v>285</v>
      </c>
      <c r="AO5" s="5"/>
      <c r="AP5" s="5" t="s">
        <v>285</v>
      </c>
      <c r="AQ5" s="5"/>
      <c r="AR5" s="5" t="s">
        <v>285</v>
      </c>
    </row>
    <row r="6" spans="2:44" ht="12.75">
      <c r="B6" s="9" t="s">
        <v>277</v>
      </c>
      <c r="F6" s="5" t="s">
        <v>280</v>
      </c>
      <c r="H6" s="5" t="s">
        <v>280</v>
      </c>
      <c r="I6" s="5"/>
      <c r="J6" s="5" t="s">
        <v>280</v>
      </c>
      <c r="K6" s="5"/>
      <c r="L6" s="5" t="s">
        <v>280</v>
      </c>
      <c r="M6" s="5"/>
      <c r="N6" s="5" t="s">
        <v>123</v>
      </c>
      <c r="P6" s="5" t="s">
        <v>123</v>
      </c>
      <c r="R6" s="5" t="s">
        <v>123</v>
      </c>
      <c r="T6" s="5" t="s">
        <v>123</v>
      </c>
      <c r="U6" s="5"/>
      <c r="V6" s="5" t="s">
        <v>282</v>
      </c>
      <c r="X6" s="5" t="s">
        <v>282</v>
      </c>
      <c r="Z6" s="5" t="s">
        <v>282</v>
      </c>
      <c r="AB6" s="5" t="s">
        <v>282</v>
      </c>
      <c r="AC6" s="5"/>
      <c r="AD6" s="5" t="s">
        <v>64</v>
      </c>
      <c r="AF6" s="5" t="s">
        <v>64</v>
      </c>
      <c r="AH6" s="5" t="s">
        <v>64</v>
      </c>
      <c r="AJ6" s="5" t="s">
        <v>64</v>
      </c>
      <c r="AK6" s="5"/>
      <c r="AL6" s="5" t="s">
        <v>30</v>
      </c>
      <c r="AM6" s="5"/>
      <c r="AN6" s="5" t="s">
        <v>30</v>
      </c>
      <c r="AO6" s="5"/>
      <c r="AP6" s="5" t="s">
        <v>30</v>
      </c>
      <c r="AQ6" s="5"/>
      <c r="AR6" s="5" t="s">
        <v>30</v>
      </c>
    </row>
    <row r="7" spans="2:44" ht="12.75">
      <c r="B7" s="9" t="s">
        <v>290</v>
      </c>
      <c r="F7" s="5" t="s">
        <v>291</v>
      </c>
      <c r="H7" s="5" t="s">
        <v>291</v>
      </c>
      <c r="I7" s="5"/>
      <c r="J7" s="5" t="s">
        <v>291</v>
      </c>
      <c r="K7" s="5"/>
      <c r="L7" s="5" t="s">
        <v>291</v>
      </c>
      <c r="M7" s="5"/>
      <c r="N7" s="5" t="s">
        <v>123</v>
      </c>
      <c r="P7" s="5" t="s">
        <v>123</v>
      </c>
      <c r="R7" s="5" t="s">
        <v>123</v>
      </c>
      <c r="T7" s="5" t="s">
        <v>123</v>
      </c>
      <c r="U7" s="5"/>
      <c r="V7" s="5" t="s">
        <v>77</v>
      </c>
      <c r="X7" s="5" t="s">
        <v>77</v>
      </c>
      <c r="Z7" s="5" t="s">
        <v>77</v>
      </c>
      <c r="AB7" s="5" t="s">
        <v>77</v>
      </c>
      <c r="AC7" s="5"/>
      <c r="AD7" s="5" t="s">
        <v>64</v>
      </c>
      <c r="AF7" s="5" t="s">
        <v>64</v>
      </c>
      <c r="AH7" s="5" t="s">
        <v>64</v>
      </c>
      <c r="AJ7" s="5" t="s">
        <v>64</v>
      </c>
      <c r="AK7" s="5"/>
      <c r="AL7" s="5" t="s">
        <v>30</v>
      </c>
      <c r="AM7" s="5"/>
      <c r="AN7" s="5" t="s">
        <v>30</v>
      </c>
      <c r="AO7" s="5"/>
      <c r="AP7" s="5" t="s">
        <v>30</v>
      </c>
      <c r="AQ7" s="5"/>
      <c r="AR7" s="5" t="s">
        <v>30</v>
      </c>
    </row>
    <row r="8" spans="2:44" ht="12.75">
      <c r="B8" s="9" t="s">
        <v>108</v>
      </c>
      <c r="F8" s="5" t="s">
        <v>122</v>
      </c>
      <c r="H8" s="5" t="s">
        <v>122</v>
      </c>
      <c r="I8" s="5"/>
      <c r="J8" s="5" t="s">
        <v>122</v>
      </c>
      <c r="K8" s="5"/>
      <c r="L8" s="5" t="s">
        <v>122</v>
      </c>
      <c r="M8" s="5"/>
      <c r="N8" s="5" t="s">
        <v>123</v>
      </c>
      <c r="P8" s="5" t="s">
        <v>123</v>
      </c>
      <c r="R8" s="5" t="s">
        <v>123</v>
      </c>
      <c r="T8" s="5" t="s">
        <v>123</v>
      </c>
      <c r="U8" s="5"/>
      <c r="V8" s="5" t="s">
        <v>137</v>
      </c>
      <c r="X8" s="5" t="s">
        <v>137</v>
      </c>
      <c r="Z8" s="5" t="s">
        <v>137</v>
      </c>
      <c r="AB8" s="5" t="s">
        <v>137</v>
      </c>
      <c r="AC8" s="5"/>
      <c r="AD8" s="5" t="s">
        <v>64</v>
      </c>
      <c r="AF8" s="5" t="s">
        <v>64</v>
      </c>
      <c r="AH8" s="5" t="s">
        <v>64</v>
      </c>
      <c r="AJ8" s="5" t="s">
        <v>64</v>
      </c>
      <c r="AK8" s="5"/>
      <c r="AL8" s="5" t="s">
        <v>30</v>
      </c>
      <c r="AM8" s="5"/>
      <c r="AN8" s="5" t="s">
        <v>30</v>
      </c>
      <c r="AO8" s="5"/>
      <c r="AP8" s="5" t="s">
        <v>30</v>
      </c>
      <c r="AQ8" s="5"/>
      <c r="AR8" s="5" t="s">
        <v>30</v>
      </c>
    </row>
    <row r="9" spans="2:44" ht="12.75">
      <c r="B9" s="9" t="s">
        <v>111</v>
      </c>
      <c r="D9" s="9" t="s">
        <v>121</v>
      </c>
      <c r="F9" s="65">
        <v>202000000</v>
      </c>
      <c r="G9" s="70"/>
      <c r="H9" s="65">
        <v>202700000</v>
      </c>
      <c r="I9" s="65"/>
      <c r="J9" s="65">
        <v>196000000</v>
      </c>
      <c r="K9" s="65"/>
      <c r="L9" s="65">
        <f aca="true" t="shared" si="0" ref="L9:L24">AVERAGE(F9:J9)</f>
        <v>200233333.33333334</v>
      </c>
      <c r="M9" s="65"/>
      <c r="N9" s="65">
        <v>5180000</v>
      </c>
      <c r="O9" s="65"/>
      <c r="P9" s="65">
        <v>5580000</v>
      </c>
      <c r="Q9" s="65"/>
      <c r="R9" s="65">
        <v>5760000</v>
      </c>
      <c r="S9" s="65"/>
      <c r="T9" s="65">
        <f>AVERAGE(N9:R9)</f>
        <v>5506666.666666667</v>
      </c>
      <c r="U9" s="65"/>
      <c r="V9" s="65">
        <v>8480000</v>
      </c>
      <c r="W9" s="65"/>
      <c r="X9" s="65">
        <v>8820000</v>
      </c>
      <c r="Y9" s="65"/>
      <c r="Z9" s="65">
        <v>8740000</v>
      </c>
      <c r="AA9" s="65"/>
      <c r="AB9" s="65">
        <f aca="true" t="shared" si="1" ref="AB9:AB24">AVERAGE(V9:Z9)</f>
        <v>8680000</v>
      </c>
      <c r="AC9" s="65"/>
      <c r="AD9" s="65"/>
      <c r="AE9" s="65"/>
      <c r="AF9" s="65"/>
      <c r="AG9" s="65"/>
      <c r="AH9" s="65"/>
      <c r="AI9" s="65"/>
      <c r="AJ9" s="65"/>
      <c r="AK9" s="71"/>
      <c r="AL9" s="71"/>
      <c r="AM9" s="71"/>
      <c r="AN9" s="71"/>
      <c r="AO9" s="71"/>
      <c r="AP9" s="71"/>
      <c r="AQ9" s="71"/>
      <c r="AR9" s="71"/>
    </row>
    <row r="10" spans="2:44" ht="12.75">
      <c r="B10" s="9" t="s">
        <v>278</v>
      </c>
      <c r="D10" s="9" t="s">
        <v>200</v>
      </c>
      <c r="F10" s="65"/>
      <c r="G10" s="70"/>
      <c r="H10" s="65"/>
      <c r="I10" s="65"/>
      <c r="J10" s="65"/>
      <c r="K10" s="65"/>
      <c r="L10" s="65"/>
      <c r="M10" s="65"/>
      <c r="N10" s="65">
        <f>N11*1000000/N9*454</f>
        <v>11963.513513513513</v>
      </c>
      <c r="O10" s="65"/>
      <c r="P10" s="65">
        <f>P11*1000000/P9*454</f>
        <v>11870.716845878136</v>
      </c>
      <c r="Q10" s="65"/>
      <c r="R10" s="65">
        <f>R11*1000000/R9*454</f>
        <v>11728.333333333332</v>
      </c>
      <c r="S10" s="65"/>
      <c r="T10" s="65">
        <f>T11*1000000/T9*454</f>
        <v>11850.169491525421</v>
      </c>
      <c r="U10" s="65"/>
      <c r="V10" s="65">
        <f>V11/V9*1000000*454</f>
        <v>15900.707547169812</v>
      </c>
      <c r="W10" s="65"/>
      <c r="X10" s="65">
        <f>X11/X9*1000000*454</f>
        <v>14721.54195011338</v>
      </c>
      <c r="Y10" s="65"/>
      <c r="Z10" s="65">
        <f>Z11/Z9*1000000*454</f>
        <v>11272.0823798627</v>
      </c>
      <c r="AA10" s="65"/>
      <c r="AB10" s="65">
        <f>AB11/AB9*1000000*454</f>
        <v>13947.772657450078</v>
      </c>
      <c r="AC10" s="65"/>
      <c r="AD10" s="65"/>
      <c r="AE10" s="65"/>
      <c r="AF10" s="65"/>
      <c r="AG10" s="65"/>
      <c r="AH10" s="65"/>
      <c r="AI10" s="65"/>
      <c r="AJ10" s="65"/>
      <c r="AK10" s="71"/>
      <c r="AL10" s="71"/>
      <c r="AM10" s="71"/>
      <c r="AN10" s="71"/>
      <c r="AO10" s="71"/>
      <c r="AP10" s="71"/>
      <c r="AQ10" s="71"/>
      <c r="AR10" s="71"/>
    </row>
    <row r="11" spans="2:44" ht="12.75">
      <c r="B11" s="9" t="s">
        <v>141</v>
      </c>
      <c r="D11" s="9" t="s">
        <v>70</v>
      </c>
      <c r="F11" s="65">
        <v>0</v>
      </c>
      <c r="G11" s="70"/>
      <c r="H11" s="65">
        <v>0</v>
      </c>
      <c r="I11" s="65"/>
      <c r="J11" s="65">
        <v>0</v>
      </c>
      <c r="K11" s="65"/>
      <c r="L11" s="65">
        <f t="shared" si="0"/>
        <v>0</v>
      </c>
      <c r="M11" s="65"/>
      <c r="N11" s="65">
        <v>136.5</v>
      </c>
      <c r="O11" s="65"/>
      <c r="P11" s="65">
        <v>145.9</v>
      </c>
      <c r="Q11" s="65"/>
      <c r="R11" s="65">
        <v>148.8</v>
      </c>
      <c r="S11" s="65"/>
      <c r="T11" s="65">
        <f aca="true" t="shared" si="2" ref="T11:T24">AVERAGE(N11:R11)</f>
        <v>143.73333333333332</v>
      </c>
      <c r="U11" s="65"/>
      <c r="V11" s="65">
        <v>297</v>
      </c>
      <c r="W11" s="65"/>
      <c r="X11" s="65">
        <v>286</v>
      </c>
      <c r="Y11" s="65"/>
      <c r="Z11" s="65">
        <v>217</v>
      </c>
      <c r="AA11" s="65"/>
      <c r="AB11" s="65">
        <f t="shared" si="1"/>
        <v>266.6666666666667</v>
      </c>
      <c r="AC11" s="65"/>
      <c r="AD11" s="65"/>
      <c r="AE11" s="65"/>
      <c r="AF11" s="65"/>
      <c r="AG11" s="65"/>
      <c r="AH11" s="65"/>
      <c r="AI11" s="65"/>
      <c r="AJ11" s="65"/>
      <c r="AK11" s="72"/>
      <c r="AL11" s="71">
        <f>AD11+V11+N11+F11</f>
        <v>433.5</v>
      </c>
      <c r="AM11" s="71"/>
      <c r="AN11" s="71">
        <f>AF11+X11+P11+H11</f>
        <v>431.9</v>
      </c>
      <c r="AO11" s="71"/>
      <c r="AP11" s="71">
        <f>AH11+Z11+R11+J11</f>
        <v>365.8</v>
      </c>
      <c r="AQ11" s="71"/>
      <c r="AR11" s="71">
        <f>AJ11+AB11+T11+L11</f>
        <v>410.4</v>
      </c>
    </row>
    <row r="12" spans="2:44" ht="12.75">
      <c r="B12" s="9" t="s">
        <v>21</v>
      </c>
      <c r="D12" s="9" t="s">
        <v>121</v>
      </c>
      <c r="F12" s="65">
        <v>2527</v>
      </c>
      <c r="G12" s="70"/>
      <c r="H12" s="65">
        <v>3070</v>
      </c>
      <c r="I12" s="65"/>
      <c r="J12" s="65">
        <v>2453</v>
      </c>
      <c r="K12" s="65"/>
      <c r="L12" s="65">
        <f t="shared" si="0"/>
        <v>2683.3333333333335</v>
      </c>
      <c r="M12" s="65"/>
      <c r="N12" s="65">
        <v>6216</v>
      </c>
      <c r="O12" s="65"/>
      <c r="P12" s="65">
        <v>7253</v>
      </c>
      <c r="Q12" s="65"/>
      <c r="R12" s="65">
        <v>7489</v>
      </c>
      <c r="S12" s="65"/>
      <c r="T12" s="65">
        <f t="shared" si="2"/>
        <v>6986</v>
      </c>
      <c r="U12" s="65"/>
      <c r="V12" s="65">
        <f>189474-AD12</f>
        <v>65600.09999999999</v>
      </c>
      <c r="W12" s="65"/>
      <c r="X12" s="65">
        <f>205089-AF12</f>
        <v>105449.62</v>
      </c>
      <c r="Y12" s="65"/>
      <c r="Z12" s="65">
        <f>221257-AH12</f>
        <v>120382.74</v>
      </c>
      <c r="AA12" s="65"/>
      <c r="AB12" s="65">
        <f t="shared" si="1"/>
        <v>97144.15333333332</v>
      </c>
      <c r="AC12" s="65"/>
      <c r="AD12" s="65">
        <f>272.85*454</f>
        <v>123873.90000000001</v>
      </c>
      <c r="AE12" s="65"/>
      <c r="AF12" s="65">
        <f>219.47*454</f>
        <v>99639.38</v>
      </c>
      <c r="AG12" s="65"/>
      <c r="AH12" s="65">
        <f>222.19*454</f>
        <v>100874.26</v>
      </c>
      <c r="AI12" s="65"/>
      <c r="AJ12" s="65">
        <f>AVERAGE(AD12:AH12)</f>
        <v>108129.18000000001</v>
      </c>
      <c r="AK12" s="72"/>
      <c r="AL12" s="72"/>
      <c r="AM12" s="72"/>
      <c r="AN12" s="72"/>
      <c r="AO12" s="72"/>
      <c r="AP12" s="72"/>
      <c r="AQ12" s="72"/>
      <c r="AR12" s="71"/>
    </row>
    <row r="13" spans="2:43" ht="12.75">
      <c r="B13" s="9" t="s">
        <v>102</v>
      </c>
      <c r="D13" s="9" t="s">
        <v>121</v>
      </c>
      <c r="F13" s="65">
        <v>101.08</v>
      </c>
      <c r="G13" s="70"/>
      <c r="H13" s="65">
        <v>101.33</v>
      </c>
      <c r="I13" s="65"/>
      <c r="J13" s="65">
        <v>98.1</v>
      </c>
      <c r="K13" s="65"/>
      <c r="L13" s="65">
        <f t="shared" si="0"/>
        <v>100.17</v>
      </c>
      <c r="M13" s="65"/>
      <c r="N13" s="65">
        <v>4.34</v>
      </c>
      <c r="O13" s="65"/>
      <c r="P13" s="65">
        <v>5.8</v>
      </c>
      <c r="Q13" s="65"/>
      <c r="R13" s="65">
        <v>6.86</v>
      </c>
      <c r="S13" s="65"/>
      <c r="T13" s="65">
        <f t="shared" si="2"/>
        <v>5.666666666666667</v>
      </c>
      <c r="U13" s="65"/>
      <c r="V13" s="65">
        <v>11</v>
      </c>
      <c r="W13" s="65"/>
      <c r="X13" s="65">
        <v>8</v>
      </c>
      <c r="Y13" s="65"/>
      <c r="Z13" s="65">
        <v>6</v>
      </c>
      <c r="AA13" s="65"/>
      <c r="AB13" s="65">
        <f t="shared" si="1"/>
        <v>8.333333333333334</v>
      </c>
      <c r="AC13" s="65"/>
      <c r="AD13" s="65"/>
      <c r="AE13" s="65"/>
      <c r="AF13" s="65"/>
      <c r="AG13" s="65"/>
      <c r="AH13" s="65"/>
      <c r="AI13" s="65"/>
      <c r="AJ13" s="65"/>
      <c r="AK13" s="40"/>
      <c r="AL13" s="40"/>
      <c r="AM13" s="40"/>
      <c r="AN13" s="40"/>
      <c r="AO13" s="40"/>
      <c r="AP13" s="40"/>
      <c r="AQ13" s="40"/>
    </row>
    <row r="14" spans="2:43" ht="12.75">
      <c r="B14" s="9" t="s">
        <v>98</v>
      </c>
      <c r="D14" s="9" t="s">
        <v>121</v>
      </c>
      <c r="F14" s="65">
        <v>165.16</v>
      </c>
      <c r="G14" s="70"/>
      <c r="H14" s="65">
        <v>160.71</v>
      </c>
      <c r="I14" s="65"/>
      <c r="J14" s="65">
        <v>147.93</v>
      </c>
      <c r="K14" s="65"/>
      <c r="L14" s="65">
        <f t="shared" si="0"/>
        <v>157.93333333333334</v>
      </c>
      <c r="M14" s="65"/>
      <c r="N14" s="65">
        <v>137.27</v>
      </c>
      <c r="O14" s="65"/>
      <c r="P14" s="65">
        <v>78.39</v>
      </c>
      <c r="Q14" s="65"/>
      <c r="R14" s="65">
        <v>72.01</v>
      </c>
      <c r="S14" s="65"/>
      <c r="T14" s="65">
        <f t="shared" si="2"/>
        <v>95.89</v>
      </c>
      <c r="U14" s="65"/>
      <c r="V14" s="65">
        <v>0</v>
      </c>
      <c r="W14" s="65"/>
      <c r="X14" s="65">
        <f>740-AF14</f>
        <v>9.059999999999945</v>
      </c>
      <c r="Y14" s="65"/>
      <c r="Z14" s="65">
        <f>798-AH14</f>
        <v>8.039999999999964</v>
      </c>
      <c r="AA14" s="65"/>
      <c r="AB14" s="65">
        <f t="shared" si="1"/>
        <v>5.69999999999997</v>
      </c>
      <c r="AC14" s="65"/>
      <c r="AD14" s="65">
        <f>1.8*454</f>
        <v>817.2</v>
      </c>
      <c r="AE14" s="65"/>
      <c r="AF14" s="65">
        <f>1.61*454</f>
        <v>730.94</v>
      </c>
      <c r="AG14" s="65"/>
      <c r="AH14" s="65">
        <f>1.74*454</f>
        <v>789.96</v>
      </c>
      <c r="AI14" s="65"/>
      <c r="AJ14" s="65">
        <f>AVERAGE(AD14:AH14)</f>
        <v>779.3666666666668</v>
      </c>
      <c r="AK14" s="40"/>
      <c r="AL14" s="40"/>
      <c r="AM14" s="40"/>
      <c r="AN14" s="40"/>
      <c r="AO14" s="40"/>
      <c r="AP14" s="40"/>
      <c r="AQ14" s="40"/>
    </row>
    <row r="15" spans="2:43" ht="12.75">
      <c r="B15" s="9" t="s">
        <v>99</v>
      </c>
      <c r="D15" s="9" t="s">
        <v>121</v>
      </c>
      <c r="F15" s="65">
        <v>1204.87</v>
      </c>
      <c r="G15" s="70"/>
      <c r="H15" s="65">
        <v>915</v>
      </c>
      <c r="I15" s="65"/>
      <c r="J15" s="65">
        <v>951.6</v>
      </c>
      <c r="K15" s="65"/>
      <c r="L15" s="65">
        <f t="shared" si="0"/>
        <v>1023.8233333333333</v>
      </c>
      <c r="M15" s="65"/>
      <c r="N15" s="65">
        <v>543.9</v>
      </c>
      <c r="O15" s="65"/>
      <c r="P15" s="65">
        <v>586.65</v>
      </c>
      <c r="Q15" s="65"/>
      <c r="R15" s="65">
        <v>858.3</v>
      </c>
      <c r="S15" s="65"/>
      <c r="T15" s="65">
        <f t="shared" si="2"/>
        <v>662.9499999999999</v>
      </c>
      <c r="U15" s="65"/>
      <c r="V15" s="65">
        <v>66</v>
      </c>
      <c r="W15" s="65"/>
      <c r="X15" s="65">
        <v>42</v>
      </c>
      <c r="Y15" s="65"/>
      <c r="Z15" s="65">
        <v>44</v>
      </c>
      <c r="AA15" s="65"/>
      <c r="AB15" s="65">
        <f t="shared" si="1"/>
        <v>50.666666666666664</v>
      </c>
      <c r="AC15" s="65"/>
      <c r="AD15" s="65"/>
      <c r="AE15" s="65"/>
      <c r="AF15" s="65"/>
      <c r="AG15" s="65"/>
      <c r="AH15" s="65"/>
      <c r="AI15" s="65"/>
      <c r="AJ15" s="65"/>
      <c r="AK15" s="40"/>
      <c r="AL15" s="40"/>
      <c r="AM15" s="40"/>
      <c r="AN15" s="40"/>
      <c r="AO15" s="40"/>
      <c r="AP15" s="40"/>
      <c r="AQ15" s="40"/>
    </row>
    <row r="16" spans="2:43" ht="12.75">
      <c r="B16" s="9" t="s">
        <v>100</v>
      </c>
      <c r="D16" s="9" t="s">
        <v>121</v>
      </c>
      <c r="F16" s="65">
        <v>32.55</v>
      </c>
      <c r="G16" s="70"/>
      <c r="H16" s="65">
        <v>30.4</v>
      </c>
      <c r="I16" s="65"/>
      <c r="J16" s="65">
        <v>37.08</v>
      </c>
      <c r="K16" s="65"/>
      <c r="L16" s="65">
        <f t="shared" si="0"/>
        <v>33.343333333333334</v>
      </c>
      <c r="M16" s="65"/>
      <c r="N16" s="65">
        <v>6.16</v>
      </c>
      <c r="O16" s="65"/>
      <c r="P16" s="65">
        <v>6.78</v>
      </c>
      <c r="Q16" s="65"/>
      <c r="R16" s="65">
        <v>8.18</v>
      </c>
      <c r="S16" s="65"/>
      <c r="T16" s="65">
        <f t="shared" si="2"/>
        <v>7.04</v>
      </c>
      <c r="U16" s="65"/>
      <c r="V16" s="65">
        <f>227-AD16</f>
        <v>0</v>
      </c>
      <c r="W16" s="65"/>
      <c r="X16" s="65">
        <v>0</v>
      </c>
      <c r="Y16" s="65"/>
      <c r="Z16" s="65">
        <f>227-AH16</f>
        <v>0</v>
      </c>
      <c r="AA16" s="65"/>
      <c r="AB16" s="65">
        <f t="shared" si="1"/>
        <v>0</v>
      </c>
      <c r="AC16" s="65"/>
      <c r="AD16" s="65">
        <f>0.5*454</f>
        <v>227</v>
      </c>
      <c r="AE16" s="65"/>
      <c r="AF16" s="65">
        <f>0.49*454</f>
        <v>222.46</v>
      </c>
      <c r="AG16" s="65"/>
      <c r="AH16" s="65">
        <f>0.5*454</f>
        <v>227</v>
      </c>
      <c r="AI16" s="65"/>
      <c r="AJ16" s="65">
        <f>AVERAGE(AD16:AH16)</f>
        <v>225.48666666666668</v>
      </c>
      <c r="AK16" s="40"/>
      <c r="AL16" s="40"/>
      <c r="AM16" s="40"/>
      <c r="AN16" s="40"/>
      <c r="AO16" s="40"/>
      <c r="AP16" s="40"/>
      <c r="AQ16" s="40"/>
    </row>
    <row r="17" spans="2:43" ht="12.75">
      <c r="B17" s="9" t="s">
        <v>105</v>
      </c>
      <c r="D17" s="9" t="s">
        <v>121</v>
      </c>
      <c r="F17" s="65">
        <v>0</v>
      </c>
      <c r="G17" s="70"/>
      <c r="H17" s="65">
        <v>0</v>
      </c>
      <c r="I17" s="65"/>
      <c r="J17" s="65">
        <v>0</v>
      </c>
      <c r="K17" s="65"/>
      <c r="L17" s="65">
        <f t="shared" si="0"/>
        <v>0</v>
      </c>
      <c r="M17" s="65"/>
      <c r="N17" s="65">
        <v>0</v>
      </c>
      <c r="O17" s="65"/>
      <c r="P17" s="65">
        <v>0</v>
      </c>
      <c r="Q17" s="65"/>
      <c r="R17" s="65">
        <v>0</v>
      </c>
      <c r="S17" s="65"/>
      <c r="T17" s="65">
        <f t="shared" si="2"/>
        <v>0</v>
      </c>
      <c r="U17" s="65"/>
      <c r="V17" s="65">
        <v>0</v>
      </c>
      <c r="W17" s="65"/>
      <c r="X17" s="65">
        <f>3837-AF17</f>
        <v>5.2400000000002365</v>
      </c>
      <c r="Y17" s="65"/>
      <c r="Z17" s="65">
        <f>4145-AH17</f>
        <v>4.520000000000437</v>
      </c>
      <c r="AA17" s="65"/>
      <c r="AB17" s="65">
        <f t="shared" si="1"/>
        <v>3.2533333333335577</v>
      </c>
      <c r="AC17" s="65"/>
      <c r="AD17" s="65">
        <f>9.44*454</f>
        <v>4285.76</v>
      </c>
      <c r="AE17" s="65"/>
      <c r="AF17" s="65">
        <f>8.44*454</f>
        <v>3831.7599999999998</v>
      </c>
      <c r="AG17" s="65"/>
      <c r="AH17" s="65">
        <f>9.12*454</f>
        <v>4140.48</v>
      </c>
      <c r="AI17" s="65"/>
      <c r="AJ17" s="65">
        <f>AVERAGE(AD17:AH17)</f>
        <v>4086</v>
      </c>
      <c r="AK17" s="40"/>
      <c r="AL17" s="40"/>
      <c r="AM17" s="40"/>
      <c r="AN17" s="40"/>
      <c r="AO17" s="40"/>
      <c r="AP17" s="40"/>
      <c r="AQ17" s="40"/>
    </row>
    <row r="18" spans="2:43" ht="12.75">
      <c r="B18" s="9" t="s">
        <v>107</v>
      </c>
      <c r="D18" s="9" t="s">
        <v>121</v>
      </c>
      <c r="F18" s="65">
        <v>1128.05</v>
      </c>
      <c r="G18" s="70"/>
      <c r="H18" s="65">
        <v>1094</v>
      </c>
      <c r="I18" s="65"/>
      <c r="J18" s="65">
        <v>1204.7</v>
      </c>
      <c r="K18" s="65"/>
      <c r="L18" s="65">
        <f t="shared" si="0"/>
        <v>1142.25</v>
      </c>
      <c r="M18" s="65"/>
      <c r="N18" s="65">
        <v>19.32</v>
      </c>
      <c r="O18" s="65"/>
      <c r="P18" s="65">
        <v>31.38</v>
      </c>
      <c r="Q18" s="65"/>
      <c r="R18" s="65">
        <v>40.21</v>
      </c>
      <c r="S18" s="65"/>
      <c r="T18" s="65">
        <f t="shared" si="2"/>
        <v>30.30333333333333</v>
      </c>
      <c r="U18" s="65"/>
      <c r="V18" s="65">
        <f>10062-AD18</f>
        <v>24.05999999999949</v>
      </c>
      <c r="W18" s="65"/>
      <c r="X18" s="65">
        <f>9769-AF18</f>
        <v>94.26000000000022</v>
      </c>
      <c r="Y18" s="65"/>
      <c r="Z18" s="65">
        <f>9870-AH18</f>
        <v>86.29999999999927</v>
      </c>
      <c r="AA18" s="65"/>
      <c r="AB18" s="65">
        <f t="shared" si="1"/>
        <v>68.20666666666632</v>
      </c>
      <c r="AC18" s="65"/>
      <c r="AD18" s="65">
        <f>22.11*454</f>
        <v>10037.94</v>
      </c>
      <c r="AE18" s="65"/>
      <c r="AF18" s="65">
        <f>21.31*454</f>
        <v>9674.74</v>
      </c>
      <c r="AG18" s="65"/>
      <c r="AH18" s="65">
        <f>21.55*454</f>
        <v>9783.7</v>
      </c>
      <c r="AI18" s="65"/>
      <c r="AJ18" s="65">
        <f>AVERAGE(AD18:AH18)</f>
        <v>9832.126666666667</v>
      </c>
      <c r="AK18" s="40"/>
      <c r="AL18" s="40"/>
      <c r="AM18" s="40"/>
      <c r="AN18" s="40"/>
      <c r="AO18" s="40"/>
      <c r="AP18" s="40"/>
      <c r="AQ18" s="40"/>
    </row>
    <row r="19" spans="2:43" ht="12.75">
      <c r="B19" s="9" t="s">
        <v>103</v>
      </c>
      <c r="D19" s="9" t="s">
        <v>121</v>
      </c>
      <c r="F19" s="65">
        <v>612.6</v>
      </c>
      <c r="G19" s="70"/>
      <c r="H19" s="65">
        <v>607.97</v>
      </c>
      <c r="I19" s="65"/>
      <c r="J19" s="65">
        <v>580.75</v>
      </c>
      <c r="K19" s="65"/>
      <c r="L19" s="65">
        <f t="shared" si="0"/>
        <v>600.44</v>
      </c>
      <c r="M19" s="65"/>
      <c r="N19" s="65">
        <v>56.46</v>
      </c>
      <c r="O19" s="65"/>
      <c r="P19" s="65">
        <v>60.81</v>
      </c>
      <c r="Q19" s="65"/>
      <c r="R19" s="65">
        <v>69.13</v>
      </c>
      <c r="S19" s="65"/>
      <c r="T19" s="65">
        <f t="shared" si="2"/>
        <v>62.13333333333333</v>
      </c>
      <c r="U19" s="65"/>
      <c r="V19" s="65">
        <f>21324-AD19</f>
        <v>76.80000000000291</v>
      </c>
      <c r="W19" s="65"/>
      <c r="X19" s="65">
        <f>20153-AF19</f>
        <v>40.80000000000291</v>
      </c>
      <c r="Y19" s="65"/>
      <c r="Z19" s="65">
        <f>20722-AH19</f>
        <v>42.30000000000291</v>
      </c>
      <c r="AA19" s="65"/>
      <c r="AB19" s="65">
        <f t="shared" si="1"/>
        <v>53.30000000000291</v>
      </c>
      <c r="AC19" s="65"/>
      <c r="AD19" s="65">
        <f>46.8*454</f>
        <v>21247.199999999997</v>
      </c>
      <c r="AE19" s="65"/>
      <c r="AF19" s="65">
        <f>44.3*454</f>
        <v>20112.199999999997</v>
      </c>
      <c r="AG19" s="65"/>
      <c r="AH19" s="65">
        <f>45.55*454</f>
        <v>20679.699999999997</v>
      </c>
      <c r="AI19" s="65"/>
      <c r="AJ19" s="65">
        <f>AVERAGE(AD19:AH19)</f>
        <v>20679.699999999997</v>
      </c>
      <c r="AK19" s="40"/>
      <c r="AL19" s="40"/>
      <c r="AM19" s="40"/>
      <c r="AN19" s="40"/>
      <c r="AO19" s="40"/>
      <c r="AP19" s="40"/>
      <c r="AQ19" s="40"/>
    </row>
    <row r="20" spans="2:43" ht="12.75">
      <c r="B20" s="9" t="s">
        <v>110</v>
      </c>
      <c r="D20" s="9" t="s">
        <v>121</v>
      </c>
      <c r="F20" s="65">
        <v>4.04</v>
      </c>
      <c r="G20" s="70"/>
      <c r="H20" s="65">
        <v>5.07</v>
      </c>
      <c r="I20" s="65"/>
      <c r="J20" s="65">
        <v>3.92</v>
      </c>
      <c r="K20" s="65"/>
      <c r="L20" s="65">
        <f t="shared" si="0"/>
        <v>4.343333333333333</v>
      </c>
      <c r="M20" s="65"/>
      <c r="N20" s="65">
        <v>1.04</v>
      </c>
      <c r="O20" s="65"/>
      <c r="P20" s="65">
        <v>1.12</v>
      </c>
      <c r="Q20" s="65"/>
      <c r="R20" s="65">
        <v>0.58</v>
      </c>
      <c r="S20" s="65"/>
      <c r="T20" s="65">
        <f t="shared" si="2"/>
        <v>0.9133333333333334</v>
      </c>
      <c r="U20" s="65"/>
      <c r="V20" s="65">
        <f>0.03*V9/1000000</f>
        <v>0.2544</v>
      </c>
      <c r="W20" s="65"/>
      <c r="X20" s="65">
        <f>0.055*X9/1000000</f>
        <v>0.4851</v>
      </c>
      <c r="Y20" s="65"/>
      <c r="Z20" s="65">
        <f>0.3*Z9/1000000</f>
        <v>2.622</v>
      </c>
      <c r="AA20" s="65"/>
      <c r="AB20" s="65">
        <f t="shared" si="1"/>
        <v>1.1205</v>
      </c>
      <c r="AC20" s="65"/>
      <c r="AD20" s="65">
        <f>0.1*454</f>
        <v>45.400000000000006</v>
      </c>
      <c r="AE20" s="65"/>
      <c r="AF20" s="65">
        <f>0.1*454</f>
        <v>45.400000000000006</v>
      </c>
      <c r="AG20" s="65"/>
      <c r="AH20" s="65">
        <f>0.1*454</f>
        <v>45.400000000000006</v>
      </c>
      <c r="AI20" s="65"/>
      <c r="AJ20" s="65">
        <f>AVERAGE(AD20:AH20)</f>
        <v>45.400000000000006</v>
      </c>
      <c r="AK20" s="40"/>
      <c r="AL20" s="40"/>
      <c r="AM20" s="40"/>
      <c r="AN20" s="40"/>
      <c r="AO20" s="40"/>
      <c r="AP20" s="40"/>
      <c r="AQ20" s="40"/>
    </row>
    <row r="21" spans="2:43" ht="12.75">
      <c r="B21" s="9" t="s">
        <v>106</v>
      </c>
      <c r="D21" s="9" t="s">
        <v>121</v>
      </c>
      <c r="F21" s="65">
        <v>101.08</v>
      </c>
      <c r="G21" s="70"/>
      <c r="H21" s="65">
        <v>101.33</v>
      </c>
      <c r="I21" s="65"/>
      <c r="J21" s="65">
        <v>98.1</v>
      </c>
      <c r="K21" s="65"/>
      <c r="L21" s="65">
        <f t="shared" si="0"/>
        <v>100.17</v>
      </c>
      <c r="M21" s="65"/>
      <c r="N21" s="65">
        <v>2.59</v>
      </c>
      <c r="O21" s="65"/>
      <c r="P21" s="65">
        <v>2.79</v>
      </c>
      <c r="Q21" s="65"/>
      <c r="R21" s="65">
        <v>2.88</v>
      </c>
      <c r="S21" s="65"/>
      <c r="T21" s="65"/>
      <c r="U21" s="65"/>
      <c r="V21" s="65">
        <v>8</v>
      </c>
      <c r="W21" s="65"/>
      <c r="X21" s="65">
        <v>9</v>
      </c>
      <c r="Y21" s="65"/>
      <c r="Z21" s="65">
        <v>9</v>
      </c>
      <c r="AA21" s="65"/>
      <c r="AB21" s="65">
        <f t="shared" si="1"/>
        <v>8.666666666666666</v>
      </c>
      <c r="AC21" s="65"/>
      <c r="AD21" s="65"/>
      <c r="AE21" s="65"/>
      <c r="AF21" s="65"/>
      <c r="AG21" s="65"/>
      <c r="AH21" s="65"/>
      <c r="AI21" s="65"/>
      <c r="AJ21" s="65"/>
      <c r="AK21" s="40"/>
      <c r="AL21" s="40"/>
      <c r="AM21" s="40"/>
      <c r="AN21" s="40"/>
      <c r="AO21" s="40"/>
      <c r="AP21" s="40"/>
      <c r="AQ21" s="40"/>
    </row>
    <row r="22" spans="2:43" ht="12.75">
      <c r="B22" s="9" t="s">
        <v>101</v>
      </c>
      <c r="D22" s="9" t="s">
        <v>121</v>
      </c>
      <c r="F22" s="65">
        <v>101.08</v>
      </c>
      <c r="G22" s="70"/>
      <c r="H22" s="65">
        <v>101.33</v>
      </c>
      <c r="I22" s="65"/>
      <c r="J22" s="65">
        <v>98.1</v>
      </c>
      <c r="K22" s="65"/>
      <c r="L22" s="65">
        <f t="shared" si="0"/>
        <v>100.17</v>
      </c>
      <c r="M22" s="65"/>
      <c r="N22" s="65">
        <v>4.17</v>
      </c>
      <c r="O22" s="65"/>
      <c r="P22" s="65">
        <v>4.19</v>
      </c>
      <c r="Q22" s="65"/>
      <c r="R22" s="65">
        <v>4.88</v>
      </c>
      <c r="S22" s="65"/>
      <c r="T22" s="65">
        <f t="shared" si="2"/>
        <v>4.413333333333333</v>
      </c>
      <c r="U22" s="65"/>
      <c r="V22" s="65">
        <v>8</v>
      </c>
      <c r="W22" s="65"/>
      <c r="X22" s="65">
        <v>9</v>
      </c>
      <c r="Y22" s="65"/>
      <c r="Z22" s="65">
        <v>9</v>
      </c>
      <c r="AA22" s="65"/>
      <c r="AB22" s="65">
        <f t="shared" si="1"/>
        <v>8.666666666666666</v>
      </c>
      <c r="AC22" s="65"/>
      <c r="AD22" s="65"/>
      <c r="AE22" s="65"/>
      <c r="AF22" s="65"/>
      <c r="AG22" s="65"/>
      <c r="AH22" s="65"/>
      <c r="AI22" s="65"/>
      <c r="AJ22" s="65"/>
      <c r="AK22" s="40"/>
      <c r="AL22" s="40"/>
      <c r="AM22" s="40"/>
      <c r="AN22" s="40"/>
      <c r="AO22" s="40"/>
      <c r="AP22" s="40"/>
      <c r="AQ22" s="40"/>
    </row>
    <row r="23" spans="2:43" ht="12.75">
      <c r="B23" s="9" t="s">
        <v>104</v>
      </c>
      <c r="D23" s="9" t="s">
        <v>121</v>
      </c>
      <c r="F23" s="65">
        <v>1481.83</v>
      </c>
      <c r="G23" s="70"/>
      <c r="H23" s="65">
        <v>1810.73</v>
      </c>
      <c r="I23" s="65"/>
      <c r="J23" s="65">
        <v>1553.89</v>
      </c>
      <c r="K23" s="65"/>
      <c r="L23" s="65">
        <f t="shared" si="0"/>
        <v>1615.4833333333333</v>
      </c>
      <c r="M23" s="65"/>
      <c r="N23" s="65">
        <v>73.56</v>
      </c>
      <c r="O23" s="65"/>
      <c r="P23" s="65">
        <v>88.71</v>
      </c>
      <c r="Q23" s="65"/>
      <c r="R23" s="65">
        <v>101.96</v>
      </c>
      <c r="S23" s="65"/>
      <c r="T23" s="65">
        <f t="shared" si="2"/>
        <v>88.07666666666665</v>
      </c>
      <c r="U23" s="65"/>
      <c r="V23" s="65">
        <v>39</v>
      </c>
      <c r="W23" s="65"/>
      <c r="X23" s="65">
        <v>68</v>
      </c>
      <c r="Y23" s="65"/>
      <c r="Z23" s="65">
        <v>62</v>
      </c>
      <c r="AA23" s="65"/>
      <c r="AB23" s="65">
        <f t="shared" si="1"/>
        <v>56.333333333333336</v>
      </c>
      <c r="AC23" s="65"/>
      <c r="AD23" s="65"/>
      <c r="AE23" s="65"/>
      <c r="AF23" s="65"/>
      <c r="AG23" s="65"/>
      <c r="AH23" s="65"/>
      <c r="AI23" s="65"/>
      <c r="AJ23" s="65"/>
      <c r="AK23" s="40"/>
      <c r="AL23" s="40"/>
      <c r="AM23" s="40"/>
      <c r="AN23" s="40"/>
      <c r="AO23" s="40"/>
      <c r="AP23" s="40"/>
      <c r="AQ23" s="40"/>
    </row>
    <row r="24" spans="2:43" ht="12.75">
      <c r="B24" s="9" t="s">
        <v>138</v>
      </c>
      <c r="D24" s="9" t="s">
        <v>121</v>
      </c>
      <c r="F24" s="65">
        <v>101.08</v>
      </c>
      <c r="G24" s="70"/>
      <c r="H24" s="65">
        <v>101.33</v>
      </c>
      <c r="I24" s="65"/>
      <c r="J24" s="65">
        <v>98.1</v>
      </c>
      <c r="K24" s="65"/>
      <c r="L24" s="65">
        <f t="shared" si="0"/>
        <v>100.17</v>
      </c>
      <c r="M24" s="65"/>
      <c r="N24" s="65">
        <v>15.9</v>
      </c>
      <c r="O24" s="65"/>
      <c r="P24" s="65">
        <v>16.93</v>
      </c>
      <c r="Q24" s="65"/>
      <c r="R24" s="65">
        <v>17.57</v>
      </c>
      <c r="S24" s="65"/>
      <c r="T24" s="65">
        <f t="shared" si="2"/>
        <v>16.8</v>
      </c>
      <c r="U24" s="65"/>
      <c r="V24" s="65">
        <v>8</v>
      </c>
      <c r="W24" s="65"/>
      <c r="X24" s="65">
        <v>10</v>
      </c>
      <c r="Y24" s="65"/>
      <c r="Z24" s="65">
        <v>9</v>
      </c>
      <c r="AA24" s="65"/>
      <c r="AB24" s="65">
        <f t="shared" si="1"/>
        <v>9</v>
      </c>
      <c r="AC24" s="65"/>
      <c r="AD24" s="65"/>
      <c r="AE24" s="65"/>
      <c r="AF24" s="65"/>
      <c r="AG24" s="65"/>
      <c r="AH24" s="65"/>
      <c r="AI24" s="65"/>
      <c r="AJ24" s="65"/>
      <c r="AK24" s="40"/>
      <c r="AL24" s="40"/>
      <c r="AM24" s="40"/>
      <c r="AN24" s="40"/>
      <c r="AO24" s="40"/>
      <c r="AP24" s="40"/>
      <c r="AQ24" s="40"/>
    </row>
    <row r="26" spans="2:44" ht="12.75">
      <c r="B26" s="9" t="s">
        <v>68</v>
      </c>
      <c r="D26" s="9" t="s">
        <v>16</v>
      </c>
      <c r="F26" s="65">
        <f>'emiss 1'!$G$37</f>
        <v>141546</v>
      </c>
      <c r="G26" s="70"/>
      <c r="H26" s="65">
        <f>'emiss 1'!$I$37</f>
        <v>139523</v>
      </c>
      <c r="I26" s="65"/>
      <c r="J26" s="65">
        <f>'emiss 1'!$K$37</f>
        <v>139226</v>
      </c>
      <c r="K26" s="65"/>
      <c r="L26" s="65">
        <f>'emiss 1'!$O$37</f>
        <v>140098.33333333334</v>
      </c>
      <c r="M26" s="65"/>
      <c r="N26" s="65">
        <f>'emiss 1'!$G$37</f>
        <v>141546</v>
      </c>
      <c r="O26" s="65"/>
      <c r="P26" s="65">
        <f>'emiss 1'!$I$37</f>
        <v>139523</v>
      </c>
      <c r="Q26" s="65"/>
      <c r="R26" s="65">
        <f>'emiss 1'!$K$37</f>
        <v>139226</v>
      </c>
      <c r="S26" s="65"/>
      <c r="T26" s="65">
        <f>'emiss 1'!$O$37</f>
        <v>140098.33333333334</v>
      </c>
      <c r="U26" s="65"/>
      <c r="V26" s="65">
        <f>'emiss 1'!$G$37</f>
        <v>141546</v>
      </c>
      <c r="W26" s="65"/>
      <c r="X26" s="65">
        <f>'emiss 1'!$I$37</f>
        <v>139523</v>
      </c>
      <c r="Y26" s="65"/>
      <c r="Z26" s="65">
        <f>'emiss 1'!$K$37</f>
        <v>139226</v>
      </c>
      <c r="AA26" s="65"/>
      <c r="AB26" s="65">
        <f>'emiss 1'!$O$37</f>
        <v>140098.33333333334</v>
      </c>
      <c r="AC26" s="65"/>
      <c r="AD26" s="65">
        <f>'emiss 1'!$G$37</f>
        <v>141546</v>
      </c>
      <c r="AE26" s="65"/>
      <c r="AF26" s="65">
        <f>'emiss 1'!$I$37</f>
        <v>139523</v>
      </c>
      <c r="AG26" s="65"/>
      <c r="AH26" s="65">
        <f>'emiss 1'!$K$37</f>
        <v>139226</v>
      </c>
      <c r="AI26" s="65"/>
      <c r="AJ26" s="65">
        <f>'emiss 1'!$O$37</f>
        <v>140098.33333333334</v>
      </c>
      <c r="AK26"/>
      <c r="AL26"/>
      <c r="AM26"/>
      <c r="AN26"/>
      <c r="AO26"/>
      <c r="AP26"/>
      <c r="AQ26"/>
      <c r="AR26"/>
    </row>
    <row r="27" spans="2:44" ht="12.75">
      <c r="B27" s="9" t="s">
        <v>69</v>
      </c>
      <c r="D27" s="9" t="s">
        <v>14</v>
      </c>
      <c r="F27" s="1">
        <f>'emiss 1'!$G$38</f>
        <v>8.8</v>
      </c>
      <c r="H27">
        <f>'emiss 1'!$I$38</f>
        <v>8.3</v>
      </c>
      <c r="I27"/>
      <c r="J27">
        <f>'emiss 1'!$K$38</f>
        <v>9.3</v>
      </c>
      <c r="K27"/>
      <c r="L27" s="1">
        <f>'emiss 1'!$O$38</f>
        <v>8.8</v>
      </c>
      <c r="M27" s="1"/>
      <c r="N27" s="1">
        <f>'emiss 1'!$G$38</f>
        <v>8.8</v>
      </c>
      <c r="O27" s="1"/>
      <c r="P27">
        <f>'emiss 1'!$I$38</f>
        <v>8.3</v>
      </c>
      <c r="Q27"/>
      <c r="R27">
        <f>'emiss 1'!$K$38</f>
        <v>9.3</v>
      </c>
      <c r="S27"/>
      <c r="T27" s="1">
        <f>'emiss 1'!$O$38</f>
        <v>8.8</v>
      </c>
      <c r="U27" s="1"/>
      <c r="V27" s="1">
        <f>'emiss 1'!$G$38</f>
        <v>8.8</v>
      </c>
      <c r="W27" s="1"/>
      <c r="X27">
        <f>'emiss 1'!$I$38</f>
        <v>8.3</v>
      </c>
      <c r="Y27"/>
      <c r="Z27">
        <f>'emiss 1'!$K$38</f>
        <v>9.3</v>
      </c>
      <c r="AA27"/>
      <c r="AB27" s="1">
        <f>'emiss 1'!$O$38</f>
        <v>8.8</v>
      </c>
      <c r="AC27" s="1"/>
      <c r="AD27" s="1">
        <f>'emiss 1'!$G$38</f>
        <v>8.8</v>
      </c>
      <c r="AE27" s="1"/>
      <c r="AF27">
        <f>'emiss 1'!$I$38</f>
        <v>8.3</v>
      </c>
      <c r="AG27"/>
      <c r="AH27">
        <f>'emiss 1'!$K$38</f>
        <v>9.3</v>
      </c>
      <c r="AI27"/>
      <c r="AJ27" s="1">
        <f>'emiss 1'!$O$38</f>
        <v>8.8</v>
      </c>
      <c r="AK27"/>
      <c r="AL27"/>
      <c r="AM27"/>
      <c r="AN27"/>
      <c r="AO27"/>
      <c r="AP27"/>
      <c r="AQ27"/>
      <c r="AR27"/>
    </row>
    <row r="28" ht="12.75">
      <c r="AR28" s="14"/>
    </row>
    <row r="29" spans="2:44" ht="12.75">
      <c r="B29" s="43" t="s">
        <v>88</v>
      </c>
      <c r="C29" s="43"/>
      <c r="AR29" s="14"/>
    </row>
    <row r="30" spans="2:44" ht="12.75">
      <c r="B30" s="9" t="s">
        <v>21</v>
      </c>
      <c r="D30" s="9" t="s">
        <v>66</v>
      </c>
      <c r="F30" s="72">
        <f aca="true" t="shared" si="3" ref="F30:J42">F12*1000000/F$26/60/0.0283*(21-7)/(21-F$27)</f>
        <v>12065.300973688929</v>
      </c>
      <c r="G30" s="70"/>
      <c r="H30" s="72">
        <f t="shared" si="3"/>
        <v>14284.96558657632</v>
      </c>
      <c r="I30" s="72"/>
      <c r="J30" s="72">
        <f t="shared" si="3"/>
        <v>12415.999611031773</v>
      </c>
      <c r="K30" s="72"/>
      <c r="L30" s="72">
        <f aca="true" t="shared" si="4" ref="L30:AJ30">L12*1000000/L$26/60/0.0283*(21-7)/(21-L$27)</f>
        <v>12944.109434314943</v>
      </c>
      <c r="M30" s="72"/>
      <c r="N30" s="72">
        <f t="shared" si="4"/>
        <v>29678.635082093544</v>
      </c>
      <c r="O30" s="72"/>
      <c r="P30" s="72">
        <f t="shared" si="4"/>
        <v>33748.81283369318</v>
      </c>
      <c r="Q30" s="72"/>
      <c r="R30" s="72">
        <f t="shared" si="4"/>
        <v>37906.001258465934</v>
      </c>
      <c r="S30" s="72"/>
      <c r="T30" s="72">
        <f t="shared" si="4"/>
        <v>33699.707518555595</v>
      </c>
      <c r="U30" s="72"/>
      <c r="V30" s="72">
        <f t="shared" si="4"/>
        <v>313211.298141706</v>
      </c>
      <c r="W30" s="72"/>
      <c r="X30" s="72">
        <f t="shared" si="4"/>
        <v>490665.86085262214</v>
      </c>
      <c r="Y30" s="72"/>
      <c r="Z30" s="72">
        <f t="shared" si="4"/>
        <v>609324.114559698</v>
      </c>
      <c r="AA30" s="72"/>
      <c r="AB30" s="72">
        <f t="shared" si="4"/>
        <v>468612.8763915046</v>
      </c>
      <c r="AC30" s="72"/>
      <c r="AD30" s="72">
        <f t="shared" si="4"/>
        <v>591442.772570101</v>
      </c>
      <c r="AE30" s="72"/>
      <c r="AF30" s="72">
        <f t="shared" si="4"/>
        <v>463630.33041296434</v>
      </c>
      <c r="AG30" s="72"/>
      <c r="AH30" s="72">
        <f t="shared" si="4"/>
        <v>510580.8287497424</v>
      </c>
      <c r="AI30" s="72"/>
      <c r="AJ30" s="72">
        <f t="shared" si="4"/>
        <v>521603.455514064</v>
      </c>
      <c r="AK30" s="72"/>
      <c r="AL30" s="71">
        <f aca="true" t="shared" si="5" ref="AL30:AL42">AD30+V30+N30+F30</f>
        <v>946398.0067675894</v>
      </c>
      <c r="AM30" s="71"/>
      <c r="AN30" s="71">
        <f aca="true" t="shared" si="6" ref="AN30:AN42">AF30+X30+P30+H30</f>
        <v>1002329.969685856</v>
      </c>
      <c r="AO30" s="71"/>
      <c r="AP30" s="71">
        <f aca="true" t="shared" si="7" ref="AP30:AP42">AH30+Z30+R30+J30</f>
        <v>1170226.9441789382</v>
      </c>
      <c r="AQ30" s="71"/>
      <c r="AR30" s="71">
        <f>AJ30+AB30+T30+L30</f>
        <v>1036860.1488584391</v>
      </c>
    </row>
    <row r="31" spans="2:44" ht="12.75">
      <c r="B31" s="9" t="s">
        <v>102</v>
      </c>
      <c r="D31" s="9" t="s">
        <v>66</v>
      </c>
      <c r="F31" s="72">
        <f t="shared" si="3"/>
        <v>482.61203894755715</v>
      </c>
      <c r="G31" s="70"/>
      <c r="H31" s="72">
        <f t="shared" si="3"/>
        <v>471.4969260220776</v>
      </c>
      <c r="I31" s="72"/>
      <c r="J31" s="72">
        <f t="shared" si="3"/>
        <v>496.5387532989063</v>
      </c>
      <c r="K31" s="72"/>
      <c r="L31" s="72">
        <f aca="true" t="shared" si="8" ref="L31:R42">L13*1000000/L$26/60/0.0283*(21-7)/(21-L$27)</f>
        <v>483.2092330566439</v>
      </c>
      <c r="M31" s="72"/>
      <c r="N31" s="72">
        <f t="shared" si="8"/>
        <v>20.721569539299544</v>
      </c>
      <c r="O31" s="72"/>
      <c r="P31" s="72">
        <f t="shared" si="8"/>
        <v>26.987882867147444</v>
      </c>
      <c r="Q31" s="72"/>
      <c r="R31" s="72">
        <f t="shared" si="8"/>
        <v>34.722281831095785</v>
      </c>
      <c r="S31" s="72"/>
      <c r="T31" s="72">
        <f aca="true" t="shared" si="9" ref="T31:Z42">T13*1000000/T$26/60/0.0283*(21-7)/(21-T$27)</f>
        <v>27.33538638302534</v>
      </c>
      <c r="U31" s="72"/>
      <c r="V31" s="72">
        <f t="shared" si="9"/>
        <v>52.520107127256914</v>
      </c>
      <c r="W31" s="72"/>
      <c r="X31" s="72">
        <f t="shared" si="9"/>
        <v>37.22466602365164</v>
      </c>
      <c r="Y31" s="72"/>
      <c r="Z31" s="72">
        <f t="shared" si="9"/>
        <v>30.369342709413225</v>
      </c>
      <c r="AA31" s="72"/>
      <c r="AB31" s="72">
        <f aca="true" t="shared" si="10" ref="AB31:AH42">AB13*1000000/AB$26/60/0.0283*(21-7)/(21-AB$27)</f>
        <v>40.199097622096104</v>
      </c>
      <c r="AC31" s="72"/>
      <c r="AD31" s="72">
        <f t="shared" si="10"/>
        <v>0</v>
      </c>
      <c r="AE31" s="72"/>
      <c r="AF31" s="72">
        <f t="shared" si="10"/>
        <v>0</v>
      </c>
      <c r="AG31" s="72"/>
      <c r="AH31" s="72">
        <f t="shared" si="10"/>
        <v>0</v>
      </c>
      <c r="AI31" s="72"/>
      <c r="AJ31" s="72">
        <f aca="true" t="shared" si="11" ref="AJ31:AJ42">AJ13*1000000/AJ$26/60/0.0283*(21-7)/(21-AJ$27)</f>
        <v>0</v>
      </c>
      <c r="AK31" s="72"/>
      <c r="AL31" s="71">
        <f t="shared" si="5"/>
        <v>555.8537156141136</v>
      </c>
      <c r="AM31" s="71"/>
      <c r="AN31" s="71">
        <f t="shared" si="6"/>
        <v>535.7094749128767</v>
      </c>
      <c r="AO31" s="71"/>
      <c r="AP31" s="71">
        <f t="shared" si="7"/>
        <v>561.6303778394152</v>
      </c>
      <c r="AQ31" s="71"/>
      <c r="AR31" s="71">
        <f aca="true" t="shared" si="12" ref="AR31:AR42">AJ31+AB31+T31+L31</f>
        <v>550.7437170617653</v>
      </c>
    </row>
    <row r="32" spans="2:44" ht="12.75">
      <c r="B32" s="9" t="s">
        <v>98</v>
      </c>
      <c r="D32" s="9" t="s">
        <v>66</v>
      </c>
      <c r="F32" s="72">
        <f t="shared" si="3"/>
        <v>788.5655357397956</v>
      </c>
      <c r="G32" s="70"/>
      <c r="H32" s="72">
        <f t="shared" si="3"/>
        <v>747.797009582632</v>
      </c>
      <c r="I32" s="72"/>
      <c r="J32" s="72">
        <f t="shared" si="3"/>
        <v>748.756144500583</v>
      </c>
      <c r="K32" s="72"/>
      <c r="L32" s="72">
        <f t="shared" si="8"/>
        <v>761.8532981339652</v>
      </c>
      <c r="M32" s="72"/>
      <c r="N32" s="72">
        <f t="shared" si="8"/>
        <v>655.4031913962324</v>
      </c>
      <c r="O32" s="72"/>
      <c r="P32" s="72">
        <f t="shared" si="8"/>
        <v>364.75519619925655</v>
      </c>
      <c r="Q32" s="72"/>
      <c r="R32" s="72">
        <f t="shared" si="8"/>
        <v>364.48272808414106</v>
      </c>
      <c r="S32" s="72"/>
      <c r="T32" s="72">
        <f t="shared" si="9"/>
        <v>462.56297651793534</v>
      </c>
      <c r="U32" s="72"/>
      <c r="V32" s="72">
        <f t="shared" si="9"/>
        <v>0</v>
      </c>
      <c r="W32" s="72"/>
      <c r="X32" s="72">
        <f t="shared" si="9"/>
        <v>42.156934271785246</v>
      </c>
      <c r="Y32" s="72"/>
      <c r="Z32" s="72">
        <f t="shared" si="9"/>
        <v>40.694919230613536</v>
      </c>
      <c r="AA32" s="72"/>
      <c r="AB32" s="72">
        <f t="shared" si="10"/>
        <v>27.496182773513585</v>
      </c>
      <c r="AC32" s="72"/>
      <c r="AD32" s="72">
        <f t="shared" si="10"/>
        <v>3901.7665040358497</v>
      </c>
      <c r="AE32" s="72"/>
      <c r="AF32" s="72">
        <f t="shared" si="10"/>
        <v>3401.124672915991</v>
      </c>
      <c r="AG32" s="72"/>
      <c r="AH32" s="72">
        <f t="shared" si="10"/>
        <v>3998.427661121345</v>
      </c>
      <c r="AI32" s="72"/>
      <c r="AJ32" s="72">
        <f t="shared" si="11"/>
        <v>3759.580406008916</v>
      </c>
      <c r="AK32" s="72"/>
      <c r="AL32" s="71">
        <f t="shared" si="5"/>
        <v>5345.735231171878</v>
      </c>
      <c r="AM32" s="71"/>
      <c r="AN32" s="71">
        <f t="shared" si="6"/>
        <v>4555.833812969665</v>
      </c>
      <c r="AO32" s="71"/>
      <c r="AP32" s="71">
        <f t="shared" si="7"/>
        <v>5152.361452936682</v>
      </c>
      <c r="AQ32" s="71"/>
      <c r="AR32" s="71">
        <f t="shared" si="12"/>
        <v>5011.49286343433</v>
      </c>
    </row>
    <row r="33" spans="2:44" ht="12.75">
      <c r="B33" s="9" t="s">
        <v>99</v>
      </c>
      <c r="D33" s="9" t="s">
        <v>66</v>
      </c>
      <c r="F33" s="72">
        <f t="shared" si="3"/>
        <v>5752.718315856185</v>
      </c>
      <c r="G33" s="70"/>
      <c r="H33" s="72">
        <f t="shared" si="3"/>
        <v>4257.571176455158</v>
      </c>
      <c r="I33" s="72"/>
      <c r="J33" s="72">
        <f t="shared" si="3"/>
        <v>4816.577753712938</v>
      </c>
      <c r="K33" s="72"/>
      <c r="L33" s="72">
        <f t="shared" si="8"/>
        <v>4938.812894933579</v>
      </c>
      <c r="M33" s="72"/>
      <c r="N33" s="72">
        <f t="shared" si="8"/>
        <v>2596.8805696831846</v>
      </c>
      <c r="O33" s="72"/>
      <c r="P33" s="72">
        <f t="shared" si="8"/>
        <v>2729.7312903469046</v>
      </c>
      <c r="Q33" s="72"/>
      <c r="R33" s="72">
        <f t="shared" si="8"/>
        <v>4344.334474581561</v>
      </c>
      <c r="S33" s="72"/>
      <c r="T33" s="72">
        <f t="shared" si="9"/>
        <v>3197.9990122282315</v>
      </c>
      <c r="U33" s="72"/>
      <c r="V33" s="72">
        <f t="shared" si="9"/>
        <v>315.12064276354147</v>
      </c>
      <c r="W33" s="72"/>
      <c r="X33" s="72">
        <f t="shared" si="9"/>
        <v>195.42949662417115</v>
      </c>
      <c r="Y33" s="72"/>
      <c r="Z33" s="72">
        <f t="shared" si="9"/>
        <v>222.7085132023637</v>
      </c>
      <c r="AA33" s="72"/>
      <c r="AB33" s="72">
        <f t="shared" si="10"/>
        <v>244.41051354234423</v>
      </c>
      <c r="AC33" s="72"/>
      <c r="AD33" s="72">
        <f t="shared" si="10"/>
        <v>0</v>
      </c>
      <c r="AE33" s="72"/>
      <c r="AF33" s="72">
        <f t="shared" si="10"/>
        <v>0</v>
      </c>
      <c r="AG33" s="72"/>
      <c r="AH33" s="72">
        <f t="shared" si="10"/>
        <v>0</v>
      </c>
      <c r="AI33" s="72"/>
      <c r="AJ33" s="72">
        <f t="shared" si="11"/>
        <v>0</v>
      </c>
      <c r="AK33" s="72"/>
      <c r="AL33" s="71">
        <f t="shared" si="5"/>
        <v>8664.71952830291</v>
      </c>
      <c r="AM33" s="71"/>
      <c r="AN33" s="71">
        <f t="shared" si="6"/>
        <v>7182.731963426233</v>
      </c>
      <c r="AO33" s="71"/>
      <c r="AP33" s="71">
        <f t="shared" si="7"/>
        <v>9383.620741496863</v>
      </c>
      <c r="AQ33" s="71"/>
      <c r="AR33" s="71">
        <f t="shared" si="12"/>
        <v>8381.222420704155</v>
      </c>
    </row>
    <row r="34" spans="2:44" ht="12.75">
      <c r="B34" s="9" t="s">
        <v>100</v>
      </c>
      <c r="D34" s="9" t="s">
        <v>66</v>
      </c>
      <c r="F34" s="72">
        <f t="shared" si="3"/>
        <v>155.41177154474656</v>
      </c>
      <c r="G34" s="70"/>
      <c r="H34" s="72">
        <f t="shared" si="3"/>
        <v>141.45373088987623</v>
      </c>
      <c r="I34" s="72"/>
      <c r="J34" s="72">
        <f t="shared" si="3"/>
        <v>187.68253794417373</v>
      </c>
      <c r="K34" s="72"/>
      <c r="L34" s="72">
        <f t="shared" si="8"/>
        <v>160.8446294055309</v>
      </c>
      <c r="M34" s="72"/>
      <c r="N34" s="72">
        <f t="shared" si="8"/>
        <v>29.41125999126387</v>
      </c>
      <c r="O34" s="72"/>
      <c r="P34" s="72">
        <f t="shared" si="8"/>
        <v>31.547904455044772</v>
      </c>
      <c r="Q34" s="72"/>
      <c r="R34" s="72">
        <f t="shared" si="8"/>
        <v>41.403537227166694</v>
      </c>
      <c r="S34" s="72"/>
      <c r="T34" s="72">
        <f t="shared" si="9"/>
        <v>33.96019767114679</v>
      </c>
      <c r="U34" s="72"/>
      <c r="V34" s="72">
        <f t="shared" si="9"/>
        <v>0</v>
      </c>
      <c r="W34" s="72"/>
      <c r="X34" s="72">
        <f t="shared" si="9"/>
        <v>0</v>
      </c>
      <c r="Y34" s="72"/>
      <c r="Z34" s="72">
        <f t="shared" si="9"/>
        <v>0</v>
      </c>
      <c r="AA34" s="72"/>
      <c r="AB34" s="72">
        <f t="shared" si="10"/>
        <v>0</v>
      </c>
      <c r="AC34" s="72"/>
      <c r="AD34" s="72">
        <f t="shared" si="10"/>
        <v>1083.824028898847</v>
      </c>
      <c r="AE34" s="72"/>
      <c r="AF34" s="72">
        <f t="shared" si="10"/>
        <v>1035.124900452693</v>
      </c>
      <c r="AG34" s="72"/>
      <c r="AH34" s="72">
        <f t="shared" si="10"/>
        <v>1148.973465839467</v>
      </c>
      <c r="AI34" s="72"/>
      <c r="AJ34" s="72">
        <f t="shared" si="11"/>
        <v>1087.723263097725</v>
      </c>
      <c r="AK34" s="72"/>
      <c r="AL34" s="71">
        <f t="shared" si="5"/>
        <v>1268.6470604348574</v>
      </c>
      <c r="AM34" s="71"/>
      <c r="AN34" s="71">
        <f t="shared" si="6"/>
        <v>1208.126535797614</v>
      </c>
      <c r="AO34" s="71"/>
      <c r="AP34" s="71">
        <f t="shared" si="7"/>
        <v>1378.0595410108074</v>
      </c>
      <c r="AQ34" s="71"/>
      <c r="AR34" s="71">
        <f t="shared" si="12"/>
        <v>1282.5280901744027</v>
      </c>
    </row>
    <row r="35" spans="2:44" ht="12.75">
      <c r="B35" s="9" t="s">
        <v>105</v>
      </c>
      <c r="D35" s="9" t="s">
        <v>66</v>
      </c>
      <c r="F35" s="72">
        <f t="shared" si="3"/>
        <v>0</v>
      </c>
      <c r="G35" s="70"/>
      <c r="H35" s="72">
        <f t="shared" si="3"/>
        <v>0</v>
      </c>
      <c r="I35" s="72"/>
      <c r="J35" s="72">
        <f t="shared" si="3"/>
        <v>0</v>
      </c>
      <c r="K35" s="72"/>
      <c r="L35" s="72">
        <f t="shared" si="8"/>
        <v>0</v>
      </c>
      <c r="M35" s="72"/>
      <c r="N35" s="72">
        <f t="shared" si="8"/>
        <v>0</v>
      </c>
      <c r="O35" s="72"/>
      <c r="P35" s="72">
        <f t="shared" si="8"/>
        <v>0</v>
      </c>
      <c r="Q35" s="72"/>
      <c r="R35" s="72">
        <f t="shared" si="8"/>
        <v>0</v>
      </c>
      <c r="S35" s="72"/>
      <c r="T35" s="72">
        <f t="shared" si="9"/>
        <v>0</v>
      </c>
      <c r="U35" s="72"/>
      <c r="V35" s="72">
        <f t="shared" si="9"/>
        <v>0</v>
      </c>
      <c r="W35" s="72"/>
      <c r="X35" s="72">
        <f t="shared" si="9"/>
        <v>24.382156245492933</v>
      </c>
      <c r="Y35" s="72"/>
      <c r="Z35" s="72">
        <f t="shared" si="9"/>
        <v>22.878238174426844</v>
      </c>
      <c r="AA35" s="72"/>
      <c r="AB35" s="72">
        <f t="shared" si="10"/>
        <v>15.693727711667398</v>
      </c>
      <c r="AC35" s="72"/>
      <c r="AD35" s="72">
        <f t="shared" si="10"/>
        <v>20462.597665610236</v>
      </c>
      <c r="AE35" s="72"/>
      <c r="AF35" s="72">
        <f t="shared" si="10"/>
        <v>17829.49828534843</v>
      </c>
      <c r="AG35" s="72"/>
      <c r="AH35" s="72">
        <f t="shared" si="10"/>
        <v>20957.276016911877</v>
      </c>
      <c r="AI35" s="72"/>
      <c r="AJ35" s="72">
        <f t="shared" si="11"/>
        <v>19710.42154606616</v>
      </c>
      <c r="AK35" s="72"/>
      <c r="AL35" s="71">
        <f t="shared" si="5"/>
        <v>20462.597665610236</v>
      </c>
      <c r="AM35" s="71"/>
      <c r="AN35" s="71">
        <f t="shared" si="6"/>
        <v>17853.880441593923</v>
      </c>
      <c r="AO35" s="71"/>
      <c r="AP35" s="71">
        <f t="shared" si="7"/>
        <v>20980.154255086305</v>
      </c>
      <c r="AQ35" s="71"/>
      <c r="AR35" s="71">
        <f t="shared" si="12"/>
        <v>19726.11527377783</v>
      </c>
    </row>
    <row r="36" spans="2:44" ht="12.75">
      <c r="B36" s="9" t="s">
        <v>107</v>
      </c>
      <c r="D36" s="9" t="s">
        <v>66</v>
      </c>
      <c r="F36" s="72">
        <f t="shared" si="3"/>
        <v>5385.936985900196</v>
      </c>
      <c r="G36" s="70"/>
      <c r="H36" s="72">
        <f t="shared" si="3"/>
        <v>5090.473078734362</v>
      </c>
      <c r="I36" s="72"/>
      <c r="J36" s="72">
        <f t="shared" si="3"/>
        <v>6097.657860338352</v>
      </c>
      <c r="K36" s="72"/>
      <c r="L36" s="72">
        <f t="shared" si="8"/>
        <v>5510.0903110607105</v>
      </c>
      <c r="M36" s="72"/>
      <c r="N36" s="72">
        <f t="shared" si="8"/>
        <v>92.24440633623668</v>
      </c>
      <c r="O36" s="72"/>
      <c r="P36" s="72">
        <f t="shared" si="8"/>
        <v>146.01375247777358</v>
      </c>
      <c r="Q36" s="72"/>
      <c r="R36" s="72">
        <f t="shared" si="8"/>
        <v>203.52521172425097</v>
      </c>
      <c r="S36" s="72"/>
      <c r="T36" s="72">
        <f t="shared" si="9"/>
        <v>146.17999859299024</v>
      </c>
      <c r="U36" s="72"/>
      <c r="V36" s="72">
        <f t="shared" si="9"/>
        <v>114.87579795288859</v>
      </c>
      <c r="W36" s="72"/>
      <c r="X36" s="72">
        <f t="shared" si="9"/>
        <v>438.59962742367657</v>
      </c>
      <c r="Y36" s="72"/>
      <c r="Z36" s="72">
        <f t="shared" si="9"/>
        <v>436.81237930372316</v>
      </c>
      <c r="AA36" s="72"/>
      <c r="AB36" s="72">
        <f t="shared" si="10"/>
        <v>329.0215742173305</v>
      </c>
      <c r="AC36" s="72"/>
      <c r="AD36" s="72">
        <f t="shared" si="10"/>
        <v>47926.698557907024</v>
      </c>
      <c r="AE36" s="72"/>
      <c r="AF36" s="72">
        <f t="shared" si="10"/>
        <v>45017.37067070793</v>
      </c>
      <c r="AG36" s="72"/>
      <c r="AH36" s="72">
        <f t="shared" si="10"/>
        <v>49520.75637768103</v>
      </c>
      <c r="AI36" s="72"/>
      <c r="AJ36" s="72">
        <f t="shared" si="11"/>
        <v>47429.114364737725</v>
      </c>
      <c r="AK36" s="72"/>
      <c r="AL36" s="71">
        <f t="shared" si="5"/>
        <v>53519.755748096344</v>
      </c>
      <c r="AM36" s="71"/>
      <c r="AN36" s="71">
        <f t="shared" si="6"/>
        <v>50692.45712934375</v>
      </c>
      <c r="AO36" s="71"/>
      <c r="AP36" s="71">
        <f t="shared" si="7"/>
        <v>56258.75182904735</v>
      </c>
      <c r="AQ36" s="71"/>
      <c r="AR36" s="71">
        <f t="shared" si="12"/>
        <v>53414.40624860876</v>
      </c>
    </row>
    <row r="37" spans="2:44" ht="12.75">
      <c r="B37" s="9" t="s">
        <v>103</v>
      </c>
      <c r="D37" s="9" t="s">
        <v>66</v>
      </c>
      <c r="F37" s="72">
        <f t="shared" si="3"/>
        <v>2924.8925114688714</v>
      </c>
      <c r="G37" s="70"/>
      <c r="H37" s="72">
        <f t="shared" si="3"/>
        <v>2828.935025299936</v>
      </c>
      <c r="I37" s="72"/>
      <c r="J37" s="72">
        <f t="shared" si="3"/>
        <v>2939.499296415289</v>
      </c>
      <c r="K37" s="72"/>
      <c r="L37" s="72">
        <f t="shared" si="8"/>
        <v>2896.457541145366</v>
      </c>
      <c r="M37" s="72"/>
      <c r="N37" s="72">
        <f t="shared" si="8"/>
        <v>269.5713862186295</v>
      </c>
      <c r="O37" s="72"/>
      <c r="P37" s="72">
        <f t="shared" si="8"/>
        <v>282.9539926122821</v>
      </c>
      <c r="Q37" s="72"/>
      <c r="R37" s="72">
        <f t="shared" si="8"/>
        <v>349.9054435836227</v>
      </c>
      <c r="S37" s="72"/>
      <c r="T37" s="72">
        <f t="shared" si="9"/>
        <v>299.7244718703485</v>
      </c>
      <c r="U37" s="72"/>
      <c r="V37" s="72">
        <f t="shared" si="9"/>
        <v>366.6858388521349</v>
      </c>
      <c r="W37" s="72"/>
      <c r="X37" s="72">
        <f t="shared" si="9"/>
        <v>189.84579672063697</v>
      </c>
      <c r="Y37" s="72"/>
      <c r="Z37" s="72">
        <f t="shared" si="9"/>
        <v>214.103866101378</v>
      </c>
      <c r="AA37" s="72"/>
      <c r="AB37" s="72">
        <f t="shared" si="10"/>
        <v>257.1134283909407</v>
      </c>
      <c r="AC37" s="72"/>
      <c r="AD37" s="72">
        <f t="shared" si="10"/>
        <v>101445.92910493207</v>
      </c>
      <c r="AE37" s="72"/>
      <c r="AF37" s="72">
        <f t="shared" si="10"/>
        <v>93583.74100011082</v>
      </c>
      <c r="AG37" s="72"/>
      <c r="AH37" s="72">
        <f t="shared" si="10"/>
        <v>104671.48273797543</v>
      </c>
      <c r="AI37" s="72"/>
      <c r="AJ37" s="72">
        <f t="shared" si="11"/>
        <v>99756.63349147927</v>
      </c>
      <c r="AK37" s="72"/>
      <c r="AL37" s="71">
        <f t="shared" si="5"/>
        <v>105007.07884147171</v>
      </c>
      <c r="AM37" s="71"/>
      <c r="AN37" s="71">
        <f t="shared" si="6"/>
        <v>96885.47581474368</v>
      </c>
      <c r="AO37" s="71"/>
      <c r="AP37" s="71">
        <f t="shared" si="7"/>
        <v>108174.99134407572</v>
      </c>
      <c r="AQ37" s="71"/>
      <c r="AR37" s="71">
        <f t="shared" si="12"/>
        <v>103209.92893288592</v>
      </c>
    </row>
    <row r="38" spans="2:44" ht="12.75">
      <c r="B38" s="9" t="s">
        <v>110</v>
      </c>
      <c r="D38" s="9" t="s">
        <v>66</v>
      </c>
      <c r="F38" s="72">
        <f t="shared" si="3"/>
        <v>19.28920298128345</v>
      </c>
      <c r="G38" s="70"/>
      <c r="H38" s="72">
        <f t="shared" si="3"/>
        <v>23.591132092489232</v>
      </c>
      <c r="I38" s="72"/>
      <c r="J38" s="72">
        <f t="shared" si="3"/>
        <v>19.841303903483308</v>
      </c>
      <c r="K38" s="72"/>
      <c r="L38" s="72">
        <f t="shared" si="8"/>
        <v>20.95176968063648</v>
      </c>
      <c r="M38" s="72"/>
      <c r="N38" s="72">
        <f t="shared" si="8"/>
        <v>4.9655374011224716</v>
      </c>
      <c r="O38" s="72"/>
      <c r="P38" s="72">
        <f t="shared" si="8"/>
        <v>5.211453243311231</v>
      </c>
      <c r="Q38" s="72"/>
      <c r="R38" s="72">
        <f t="shared" si="8"/>
        <v>2.9357031285766118</v>
      </c>
      <c r="S38" s="72"/>
      <c r="T38" s="72">
        <f t="shared" si="9"/>
        <v>4.405821099381733</v>
      </c>
      <c r="U38" s="72"/>
      <c r="V38" s="72">
        <f t="shared" si="9"/>
        <v>1.214646841197651</v>
      </c>
      <c r="W38" s="72"/>
      <c r="X38" s="72">
        <f t="shared" si="9"/>
        <v>2.2572106860091763</v>
      </c>
      <c r="Y38" s="72"/>
      <c r="Z38" s="72">
        <f t="shared" si="9"/>
        <v>13.271402764013578</v>
      </c>
      <c r="AA38" s="72"/>
      <c r="AB38" s="72">
        <f t="shared" si="10"/>
        <v>5.405170666267042</v>
      </c>
      <c r="AC38" s="72"/>
      <c r="AD38" s="72">
        <f t="shared" si="10"/>
        <v>216.7648057797695</v>
      </c>
      <c r="AE38" s="72"/>
      <c r="AF38" s="72">
        <f t="shared" si="10"/>
        <v>211.2499796842231</v>
      </c>
      <c r="AG38" s="72"/>
      <c r="AH38" s="72">
        <f t="shared" si="10"/>
        <v>229.79469316789348</v>
      </c>
      <c r="AI38" s="72"/>
      <c r="AJ38" s="72">
        <f t="shared" si="11"/>
        <v>219.00468384517956</v>
      </c>
      <c r="AK38" s="72"/>
      <c r="AL38" s="71">
        <f t="shared" si="5"/>
        <v>242.23419300337306</v>
      </c>
      <c r="AM38" s="71"/>
      <c r="AN38" s="71">
        <f t="shared" si="6"/>
        <v>242.30977570603275</v>
      </c>
      <c r="AO38" s="71"/>
      <c r="AP38" s="71">
        <f t="shared" si="7"/>
        <v>265.843102963967</v>
      </c>
      <c r="AQ38" s="71"/>
      <c r="AR38" s="71">
        <f t="shared" si="12"/>
        <v>249.76744529146484</v>
      </c>
    </row>
    <row r="39" spans="2:44" ht="12.75">
      <c r="B39" s="9" t="s">
        <v>106</v>
      </c>
      <c r="D39" s="9" t="s">
        <v>66</v>
      </c>
      <c r="F39" s="72">
        <f t="shared" si="3"/>
        <v>482.61203894755715</v>
      </c>
      <c r="G39" s="70"/>
      <c r="H39" s="72">
        <f t="shared" si="3"/>
        <v>471.4969260220776</v>
      </c>
      <c r="I39" s="72"/>
      <c r="J39" s="72">
        <f t="shared" si="3"/>
        <v>496.5387532989063</v>
      </c>
      <c r="K39" s="72"/>
      <c r="L39" s="72">
        <f t="shared" si="8"/>
        <v>483.2092330566439</v>
      </c>
      <c r="M39" s="72"/>
      <c r="N39" s="72">
        <f t="shared" si="8"/>
        <v>12.36609795087231</v>
      </c>
      <c r="O39" s="72"/>
      <c r="P39" s="72">
        <f t="shared" si="8"/>
        <v>12.982102275748508</v>
      </c>
      <c r="Q39" s="72"/>
      <c r="R39" s="72">
        <f t="shared" si="8"/>
        <v>14.57728450051835</v>
      </c>
      <c r="S39" s="72"/>
      <c r="T39" s="72">
        <f t="shared" si="9"/>
        <v>0</v>
      </c>
      <c r="U39" s="72"/>
      <c r="V39" s="72">
        <f t="shared" si="9"/>
        <v>38.19644154709594</v>
      </c>
      <c r="W39" s="72"/>
      <c r="X39" s="72">
        <f t="shared" si="9"/>
        <v>41.8777492766081</v>
      </c>
      <c r="Y39" s="72"/>
      <c r="Z39" s="72">
        <f t="shared" si="9"/>
        <v>45.55401406411984</v>
      </c>
      <c r="AA39" s="72"/>
      <c r="AB39" s="72">
        <f t="shared" si="10"/>
        <v>41.80706152697994</v>
      </c>
      <c r="AC39" s="72"/>
      <c r="AD39" s="72">
        <f t="shared" si="10"/>
        <v>0</v>
      </c>
      <c r="AE39" s="72"/>
      <c r="AF39" s="72">
        <f t="shared" si="10"/>
        <v>0</v>
      </c>
      <c r="AG39" s="72"/>
      <c r="AH39" s="72">
        <f t="shared" si="10"/>
        <v>0</v>
      </c>
      <c r="AI39" s="72"/>
      <c r="AJ39" s="72">
        <f t="shared" si="11"/>
        <v>0</v>
      </c>
      <c r="AK39" s="72"/>
      <c r="AL39" s="71">
        <f t="shared" si="5"/>
        <v>533.1745784455254</v>
      </c>
      <c r="AM39" s="71"/>
      <c r="AN39" s="71">
        <f t="shared" si="6"/>
        <v>526.3567775744342</v>
      </c>
      <c r="AO39" s="71"/>
      <c r="AP39" s="71">
        <f t="shared" si="7"/>
        <v>556.6700518635445</v>
      </c>
      <c r="AQ39" s="71"/>
      <c r="AR39" s="71">
        <f t="shared" si="12"/>
        <v>525.0162945836238</v>
      </c>
    </row>
    <row r="40" spans="2:44" ht="12.75">
      <c r="B40" s="9" t="s">
        <v>101</v>
      </c>
      <c r="D40" s="9" t="s">
        <v>66</v>
      </c>
      <c r="F40" s="72">
        <f t="shared" si="3"/>
        <v>482.61203894755715</v>
      </c>
      <c r="G40" s="70"/>
      <c r="H40" s="72">
        <f t="shared" si="3"/>
        <v>471.4969260220776</v>
      </c>
      <c r="I40" s="72"/>
      <c r="J40" s="72">
        <f t="shared" si="3"/>
        <v>496.5387532989063</v>
      </c>
      <c r="K40" s="72"/>
      <c r="L40" s="72">
        <f t="shared" si="8"/>
        <v>483.2092330566439</v>
      </c>
      <c r="M40" s="72"/>
      <c r="N40" s="72">
        <f t="shared" si="8"/>
        <v>19.909895156423758</v>
      </c>
      <c r="O40" s="72"/>
      <c r="P40" s="72">
        <f t="shared" si="8"/>
        <v>19.496418829887553</v>
      </c>
      <c r="Q40" s="72"/>
      <c r="R40" s="72">
        <f t="shared" si="8"/>
        <v>24.700398736989428</v>
      </c>
      <c r="S40" s="72"/>
      <c r="T40" s="72">
        <f t="shared" si="9"/>
        <v>21.289442100662086</v>
      </c>
      <c r="U40" s="72"/>
      <c r="V40" s="72">
        <f t="shared" si="9"/>
        <v>38.19644154709594</v>
      </c>
      <c r="W40" s="72"/>
      <c r="X40" s="72">
        <f t="shared" si="9"/>
        <v>41.8777492766081</v>
      </c>
      <c r="Y40" s="72"/>
      <c r="Z40" s="72">
        <f t="shared" si="9"/>
        <v>45.55401406411984</v>
      </c>
      <c r="AA40" s="72"/>
      <c r="AB40" s="72">
        <f t="shared" si="10"/>
        <v>41.80706152697994</v>
      </c>
      <c r="AC40" s="72"/>
      <c r="AD40" s="72">
        <f t="shared" si="10"/>
        <v>0</v>
      </c>
      <c r="AE40" s="72"/>
      <c r="AF40" s="72">
        <f t="shared" si="10"/>
        <v>0</v>
      </c>
      <c r="AG40" s="72"/>
      <c r="AH40" s="72">
        <f t="shared" si="10"/>
        <v>0</v>
      </c>
      <c r="AI40" s="72"/>
      <c r="AJ40" s="72">
        <f t="shared" si="11"/>
        <v>0</v>
      </c>
      <c r="AK40" s="72"/>
      <c r="AL40" s="71">
        <f t="shared" si="5"/>
        <v>540.7183756510768</v>
      </c>
      <c r="AM40" s="71"/>
      <c r="AN40" s="71">
        <f t="shared" si="6"/>
        <v>532.8710941285733</v>
      </c>
      <c r="AO40" s="71"/>
      <c r="AP40" s="71">
        <f t="shared" si="7"/>
        <v>566.7931661000156</v>
      </c>
      <c r="AQ40" s="71"/>
      <c r="AR40" s="71">
        <f t="shared" si="12"/>
        <v>546.3057366842859</v>
      </c>
    </row>
    <row r="41" spans="2:44" ht="12.75">
      <c r="B41" s="9" t="s">
        <v>104</v>
      </c>
      <c r="D41" s="9" t="s">
        <v>66</v>
      </c>
      <c r="F41" s="72">
        <f t="shared" si="3"/>
        <v>7075.079122216646</v>
      </c>
      <c r="G41" s="70"/>
      <c r="H41" s="72">
        <f t="shared" si="3"/>
        <v>8425.477438625843</v>
      </c>
      <c r="I41" s="72"/>
      <c r="J41" s="72">
        <f t="shared" si="3"/>
        <v>7865.10299045502</v>
      </c>
      <c r="K41" s="72"/>
      <c r="L41" s="72">
        <f t="shared" si="8"/>
        <v>7792.916666824306</v>
      </c>
      <c r="M41" s="72"/>
      <c r="N41" s="72">
        <f t="shared" si="8"/>
        <v>351.2162800255471</v>
      </c>
      <c r="O41" s="72"/>
      <c r="P41" s="72">
        <f t="shared" si="8"/>
        <v>412.7750153697673</v>
      </c>
      <c r="Q41" s="72"/>
      <c r="R41" s="72">
        <f t="shared" si="8"/>
        <v>516.0763637752955</v>
      </c>
      <c r="S41" s="72"/>
      <c r="T41" s="72">
        <f t="shared" si="9"/>
        <v>424.8723025874581</v>
      </c>
      <c r="U41" s="72"/>
      <c r="V41" s="72">
        <f t="shared" si="9"/>
        <v>186.20765254209272</v>
      </c>
      <c r="W41" s="72"/>
      <c r="X41" s="72">
        <f t="shared" si="9"/>
        <v>316.40966120103894</v>
      </c>
      <c r="Y41" s="72"/>
      <c r="Z41" s="72">
        <f t="shared" si="9"/>
        <v>313.81654133060334</v>
      </c>
      <c r="AA41" s="72"/>
      <c r="AB41" s="72">
        <f t="shared" si="10"/>
        <v>271.7458999253696</v>
      </c>
      <c r="AC41" s="72"/>
      <c r="AD41" s="72">
        <f t="shared" si="10"/>
        <v>0</v>
      </c>
      <c r="AE41" s="72"/>
      <c r="AF41" s="72">
        <f t="shared" si="10"/>
        <v>0</v>
      </c>
      <c r="AG41" s="72"/>
      <c r="AH41" s="72">
        <f t="shared" si="10"/>
        <v>0</v>
      </c>
      <c r="AI41" s="72"/>
      <c r="AJ41" s="72">
        <f t="shared" si="11"/>
        <v>0</v>
      </c>
      <c r="AK41" s="72"/>
      <c r="AL41" s="71">
        <f t="shared" si="5"/>
        <v>7612.503054784286</v>
      </c>
      <c r="AM41" s="71"/>
      <c r="AN41" s="71">
        <f t="shared" si="6"/>
        <v>9154.66211519665</v>
      </c>
      <c r="AO41" s="71"/>
      <c r="AP41" s="71">
        <f t="shared" si="7"/>
        <v>8694.995895560918</v>
      </c>
      <c r="AQ41" s="71"/>
      <c r="AR41" s="71">
        <f t="shared" si="12"/>
        <v>8489.534869337134</v>
      </c>
    </row>
    <row r="42" spans="2:44" ht="12.75">
      <c r="B42" s="9" t="s">
        <v>138</v>
      </c>
      <c r="D42" s="9" t="s">
        <v>66</v>
      </c>
      <c r="F42" s="72">
        <f t="shared" si="3"/>
        <v>482.61203894755715</v>
      </c>
      <c r="G42" s="70"/>
      <c r="H42" s="72">
        <f t="shared" si="3"/>
        <v>471.4969260220776</v>
      </c>
      <c r="I42" s="72"/>
      <c r="J42" s="72">
        <f t="shared" si="3"/>
        <v>496.5387532989063</v>
      </c>
      <c r="K42" s="72"/>
      <c r="L42" s="72">
        <f t="shared" si="8"/>
        <v>483.2092330566439</v>
      </c>
      <c r="M42" s="72"/>
      <c r="N42" s="72">
        <f t="shared" si="8"/>
        <v>75.91542757485318</v>
      </c>
      <c r="O42" s="72"/>
      <c r="P42" s="72">
        <f t="shared" si="8"/>
        <v>78.77669947255279</v>
      </c>
      <c r="Q42" s="72"/>
      <c r="R42" s="72">
        <f t="shared" si="8"/>
        <v>88.9315585673984</v>
      </c>
      <c r="S42" s="72"/>
      <c r="T42" s="72">
        <f t="shared" si="9"/>
        <v>81.04138080614572</v>
      </c>
      <c r="U42" s="72"/>
      <c r="V42" s="72">
        <f t="shared" si="9"/>
        <v>38.19644154709594</v>
      </c>
      <c r="W42" s="72"/>
      <c r="X42" s="72">
        <f t="shared" si="9"/>
        <v>46.530832529564556</v>
      </c>
      <c r="Y42" s="72"/>
      <c r="Z42" s="72">
        <f t="shared" si="9"/>
        <v>45.55401406411984</v>
      </c>
      <c r="AA42" s="72"/>
      <c r="AB42" s="72">
        <f t="shared" si="10"/>
        <v>43.41502543186378</v>
      </c>
      <c r="AC42" s="72"/>
      <c r="AD42" s="72">
        <f t="shared" si="10"/>
        <v>0</v>
      </c>
      <c r="AE42" s="72"/>
      <c r="AF42" s="72">
        <f t="shared" si="10"/>
        <v>0</v>
      </c>
      <c r="AG42" s="72"/>
      <c r="AH42" s="72">
        <f t="shared" si="10"/>
        <v>0</v>
      </c>
      <c r="AI42" s="72"/>
      <c r="AJ42" s="72">
        <f t="shared" si="11"/>
        <v>0</v>
      </c>
      <c r="AK42" s="72"/>
      <c r="AL42" s="71">
        <f t="shared" si="5"/>
        <v>596.7239080695063</v>
      </c>
      <c r="AM42" s="71"/>
      <c r="AN42" s="71">
        <f t="shared" si="6"/>
        <v>596.8044580241949</v>
      </c>
      <c r="AO42" s="71"/>
      <c r="AP42" s="71">
        <f t="shared" si="7"/>
        <v>631.0243259304245</v>
      </c>
      <c r="AQ42" s="71"/>
      <c r="AR42" s="71">
        <f t="shared" si="12"/>
        <v>607.6656392946534</v>
      </c>
    </row>
    <row r="43" spans="6:44" ht="12.75">
      <c r="F43" s="71"/>
      <c r="G43" s="70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</row>
    <row r="44" spans="2:44" ht="12.75">
      <c r="B44" s="9" t="s">
        <v>75</v>
      </c>
      <c r="D44" s="9" t="s">
        <v>66</v>
      </c>
      <c r="F44" s="72">
        <f aca="true" t="shared" si="13" ref="F44:AJ44">F35+F37</f>
        <v>2924.8925114688714</v>
      </c>
      <c r="G44" s="70"/>
      <c r="H44" s="72">
        <f t="shared" si="13"/>
        <v>2828.935025299936</v>
      </c>
      <c r="I44" s="72"/>
      <c r="J44" s="72">
        <f t="shared" si="13"/>
        <v>2939.499296415289</v>
      </c>
      <c r="K44" s="72"/>
      <c r="L44" s="72">
        <f t="shared" si="13"/>
        <v>2896.457541145366</v>
      </c>
      <c r="M44" s="72"/>
      <c r="N44" s="72">
        <f t="shared" si="13"/>
        <v>269.5713862186295</v>
      </c>
      <c r="O44" s="72"/>
      <c r="P44" s="72">
        <f t="shared" si="13"/>
        <v>282.9539926122821</v>
      </c>
      <c r="Q44" s="72"/>
      <c r="R44" s="72">
        <f t="shared" si="13"/>
        <v>349.9054435836227</v>
      </c>
      <c r="S44" s="72"/>
      <c r="T44" s="72">
        <f t="shared" si="13"/>
        <v>299.7244718703485</v>
      </c>
      <c r="U44" s="72"/>
      <c r="V44" s="72">
        <f t="shared" si="13"/>
        <v>366.6858388521349</v>
      </c>
      <c r="W44" s="72"/>
      <c r="X44" s="72">
        <f t="shared" si="13"/>
        <v>214.2279529661299</v>
      </c>
      <c r="Y44" s="72"/>
      <c r="Z44" s="72">
        <f t="shared" si="13"/>
        <v>236.98210427580486</v>
      </c>
      <c r="AA44" s="72"/>
      <c r="AB44" s="72">
        <f t="shared" si="13"/>
        <v>272.80715610260813</v>
      </c>
      <c r="AC44" s="72"/>
      <c r="AD44" s="72">
        <f t="shared" si="13"/>
        <v>121908.52677054232</v>
      </c>
      <c r="AE44" s="72"/>
      <c r="AF44" s="72">
        <f t="shared" si="13"/>
        <v>111413.23928545925</v>
      </c>
      <c r="AG44" s="72"/>
      <c r="AH44" s="72">
        <f t="shared" si="13"/>
        <v>125628.7587548873</v>
      </c>
      <c r="AI44" s="72"/>
      <c r="AJ44" s="72">
        <f t="shared" si="13"/>
        <v>119467.05503754543</v>
      </c>
      <c r="AK44" s="71"/>
      <c r="AL44" s="72">
        <f>AL35+AL37</f>
        <v>125469.67650708195</v>
      </c>
      <c r="AM44" s="72"/>
      <c r="AN44" s="72">
        <f>AN35+AN37</f>
        <v>114739.3562563376</v>
      </c>
      <c r="AO44" s="72"/>
      <c r="AP44" s="72">
        <f>AP35+AP37</f>
        <v>129155.14559916203</v>
      </c>
      <c r="AQ44" s="72"/>
      <c r="AR44" s="72">
        <f>AR35+AR37</f>
        <v>122936.04420666375</v>
      </c>
    </row>
    <row r="45" spans="2:44" ht="12.75">
      <c r="B45" s="9" t="s">
        <v>76</v>
      </c>
      <c r="D45" s="9" t="s">
        <v>66</v>
      </c>
      <c r="F45" s="72">
        <f aca="true" t="shared" si="14" ref="F45:AJ45">F32+F34+F36</f>
        <v>6329.914293184738</v>
      </c>
      <c r="G45" s="70"/>
      <c r="H45" s="72">
        <f t="shared" si="14"/>
        <v>5979.723819206871</v>
      </c>
      <c r="I45" s="72"/>
      <c r="J45" s="72">
        <f t="shared" si="14"/>
        <v>7034.096542783109</v>
      </c>
      <c r="K45" s="72"/>
      <c r="L45" s="72">
        <f t="shared" si="14"/>
        <v>6432.788238600207</v>
      </c>
      <c r="M45" s="72"/>
      <c r="N45" s="72">
        <f t="shared" si="14"/>
        <v>777.0588577237329</v>
      </c>
      <c r="O45" s="72"/>
      <c r="P45" s="72">
        <f t="shared" si="14"/>
        <v>542.3168531320749</v>
      </c>
      <c r="Q45" s="72"/>
      <c r="R45" s="72">
        <f t="shared" si="14"/>
        <v>609.4114770355587</v>
      </c>
      <c r="S45" s="72"/>
      <c r="T45" s="72">
        <f t="shared" si="14"/>
        <v>642.7031727820723</v>
      </c>
      <c r="U45" s="72"/>
      <c r="V45" s="72">
        <f t="shared" si="14"/>
        <v>114.87579795288859</v>
      </c>
      <c r="W45" s="72"/>
      <c r="X45" s="72">
        <f t="shared" si="14"/>
        <v>480.7565616954618</v>
      </c>
      <c r="Y45" s="72"/>
      <c r="Z45" s="72">
        <f t="shared" si="14"/>
        <v>477.5072985343367</v>
      </c>
      <c r="AA45" s="72"/>
      <c r="AB45" s="72">
        <f t="shared" si="14"/>
        <v>356.5177569908441</v>
      </c>
      <c r="AC45" s="72"/>
      <c r="AD45" s="72">
        <f t="shared" si="14"/>
        <v>52912.28909084172</v>
      </c>
      <c r="AE45" s="72"/>
      <c r="AF45" s="72">
        <f t="shared" si="14"/>
        <v>49453.62024407662</v>
      </c>
      <c r="AG45" s="72"/>
      <c r="AH45" s="72">
        <f t="shared" si="14"/>
        <v>54668.15750464184</v>
      </c>
      <c r="AI45" s="72"/>
      <c r="AJ45" s="72">
        <f t="shared" si="14"/>
        <v>52276.41803384437</v>
      </c>
      <c r="AK45" s="71"/>
      <c r="AL45" s="72">
        <f>AL32+AL34+AL36</f>
        <v>60134.13803970308</v>
      </c>
      <c r="AM45" s="72"/>
      <c r="AN45" s="72">
        <f>AN32+AN34+AN36</f>
        <v>56456.41747811103</v>
      </c>
      <c r="AO45" s="72"/>
      <c r="AP45" s="72">
        <f>AP32+AP34+AP36</f>
        <v>62789.17282299484</v>
      </c>
      <c r="AQ45" s="72"/>
      <c r="AR45" s="72">
        <f>AR32+AR34+AR36</f>
        <v>59708.42720221749</v>
      </c>
    </row>
    <row r="47" ht="12.75">
      <c r="B47" s="39" t="s">
        <v>153</v>
      </c>
    </row>
    <row r="48" ht="12.75">
      <c r="B48" s="39"/>
    </row>
    <row r="49" spans="2:12" ht="12.75">
      <c r="B49" s="9" t="s">
        <v>108</v>
      </c>
      <c r="L49" s="4" t="s">
        <v>123</v>
      </c>
    </row>
    <row r="50" spans="2:44" ht="12.75">
      <c r="B50" s="9" t="s">
        <v>111</v>
      </c>
      <c r="D50" s="9" t="s">
        <v>121</v>
      </c>
      <c r="F50"/>
      <c r="H50"/>
      <c r="I50"/>
      <c r="J50"/>
      <c r="K50"/>
      <c r="L50" s="46"/>
      <c r="M50" s="46"/>
      <c r="N50"/>
      <c r="O50"/>
      <c r="P50"/>
      <c r="Q50"/>
      <c r="R50"/>
      <c r="S50"/>
      <c r="T50" s="46"/>
      <c r="U50" s="46"/>
      <c r="V50"/>
      <c r="W50"/>
      <c r="X50"/>
      <c r="Y50"/>
      <c r="Z50"/>
      <c r="AA50"/>
      <c r="AB50" s="46"/>
      <c r="AC50" s="46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</row>
    <row r="51" spans="2:44" ht="12.75">
      <c r="B51" s="9" t="s">
        <v>141</v>
      </c>
      <c r="D51" s="9" t="s">
        <v>70</v>
      </c>
      <c r="F51"/>
      <c r="H51"/>
      <c r="I51"/>
      <c r="J51"/>
      <c r="K51"/>
      <c r="L51" s="46"/>
      <c r="M51" s="46"/>
      <c r="N51"/>
      <c r="O51"/>
      <c r="P51"/>
      <c r="Q51"/>
      <c r="R51"/>
      <c r="S51"/>
      <c r="T51" s="46"/>
      <c r="U51" s="46"/>
      <c r="V51"/>
      <c r="W51"/>
      <c r="X51"/>
      <c r="Y51"/>
      <c r="Z51"/>
      <c r="AA51"/>
      <c r="AB51" s="46"/>
      <c r="AC51" s="46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</row>
    <row r="52" spans="14:35" ht="12.75">
      <c r="N52" s="6"/>
      <c r="O52" s="6"/>
      <c r="P52" s="8"/>
      <c r="Q52" s="8"/>
      <c r="R52" s="8"/>
      <c r="S52" s="8"/>
      <c r="V52" s="4"/>
      <c r="W52" s="4"/>
      <c r="X52" s="40"/>
      <c r="Y52" s="40"/>
      <c r="Z52" s="40"/>
      <c r="AA52" s="40"/>
      <c r="AD52" s="6"/>
      <c r="AE52" s="6"/>
      <c r="AF52" s="8"/>
      <c r="AG52" s="8"/>
      <c r="AH52" s="8"/>
      <c r="AI52" s="8"/>
    </row>
  </sheetData>
  <printOptions headings="1" horizontalCentered="1"/>
  <pageMargins left="0.25" right="0.25" top="0.5" bottom="0.5" header="0.5" footer="0.25"/>
  <pageSetup horizontalDpi="300" verticalDpi="300" orientation="landscape" pageOrder="overThenDown" scale="7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N88"/>
  <sheetViews>
    <sheetView tabSelected="1" workbookViewId="0" topLeftCell="DM31">
      <selection activeCell="EF42" sqref="EF42"/>
    </sheetView>
  </sheetViews>
  <sheetFormatPr defaultColWidth="9.140625" defaultRowHeight="12.75"/>
  <cols>
    <col min="1" max="1" width="9.140625" style="55" hidden="1" customWidth="1"/>
    <col min="2" max="2" width="25.140625" style="55" customWidth="1"/>
    <col min="3" max="3" width="3.7109375" style="55" customWidth="1"/>
    <col min="4" max="4" width="8.8515625" style="55" customWidth="1"/>
    <col min="5" max="5" width="3.57421875" style="59" customWidth="1"/>
    <col min="6" max="6" width="9.00390625" style="55" customWidth="1"/>
    <col min="7" max="7" width="3.57421875" style="59" customWidth="1"/>
    <col min="8" max="8" width="9.7109375" style="55" customWidth="1"/>
    <col min="9" max="9" width="3.57421875" style="59" customWidth="1"/>
    <col min="10" max="10" width="9.421875" style="55" customWidth="1"/>
    <col min="11" max="11" width="3.57421875" style="59" customWidth="1"/>
    <col min="12" max="12" width="10.140625" style="55" customWidth="1"/>
    <col min="13" max="13" width="3.57421875" style="59" customWidth="1"/>
    <col min="14" max="14" width="9.00390625" style="55" customWidth="1"/>
    <col min="15" max="15" width="2.7109375" style="59" customWidth="1"/>
    <col min="16" max="16" width="9.421875" style="55" customWidth="1"/>
    <col min="17" max="17" width="2.8515625" style="60" customWidth="1"/>
    <col min="18" max="18" width="10.57421875" style="55" customWidth="1"/>
    <col min="19" max="19" width="3.28125" style="60" bestFit="1" customWidth="1"/>
    <col min="20" max="20" width="9.00390625" style="55" bestFit="1" customWidth="1"/>
    <col min="21" max="21" width="3.28125" style="60" bestFit="1" customWidth="1"/>
    <col min="22" max="22" width="8.7109375" style="55" customWidth="1"/>
    <col min="23" max="23" width="3.00390625" style="60" customWidth="1"/>
    <col min="24" max="24" width="9.00390625" style="55" bestFit="1" customWidth="1"/>
    <col min="25" max="25" width="2.421875" style="60" customWidth="1"/>
    <col min="26" max="26" width="11.00390625" style="55" customWidth="1"/>
    <col min="27" max="27" width="2.8515625" style="60" customWidth="1"/>
    <col min="28" max="28" width="9.00390625" style="55" bestFit="1" customWidth="1"/>
    <col min="29" max="29" width="2.421875" style="55" customWidth="1"/>
    <col min="30" max="30" width="11.421875" style="55" customWidth="1"/>
    <col min="31" max="31" width="2.421875" style="55" customWidth="1"/>
    <col min="32" max="32" width="9.421875" style="55" customWidth="1"/>
    <col min="33" max="33" width="2.421875" style="55" customWidth="1"/>
    <col min="34" max="34" width="10.8515625" style="55" customWidth="1"/>
    <col min="35" max="35" width="2.421875" style="55" customWidth="1"/>
    <col min="36" max="36" width="12.140625" style="55" customWidth="1"/>
    <col min="37" max="37" width="2.421875" style="55" customWidth="1"/>
    <col min="38" max="38" width="11.28125" style="55" customWidth="1"/>
    <col min="39" max="39" width="2.421875" style="55" customWidth="1"/>
    <col min="40" max="40" width="11.7109375" style="55" customWidth="1"/>
    <col min="41" max="41" width="2.421875" style="55" customWidth="1"/>
    <col min="42" max="42" width="12.00390625" style="55" bestFit="1" customWidth="1"/>
    <col min="43" max="43" width="2.421875" style="55" customWidth="1"/>
    <col min="44" max="44" width="12.00390625" style="55" bestFit="1" customWidth="1"/>
    <col min="45" max="45" width="2.421875" style="55" customWidth="1"/>
    <col min="46" max="46" width="12.00390625" style="55" bestFit="1" customWidth="1"/>
    <col min="47" max="47" width="2.421875" style="55" customWidth="1"/>
    <col min="48" max="48" width="12.00390625" style="55" bestFit="1" customWidth="1"/>
    <col min="49" max="49" width="2.421875" style="55" customWidth="1"/>
    <col min="50" max="50" width="12.00390625" style="55" bestFit="1" customWidth="1"/>
    <col min="51" max="51" width="2.421875" style="55" customWidth="1"/>
    <col min="52" max="52" width="12.00390625" style="55" bestFit="1" customWidth="1"/>
    <col min="53" max="53" width="2.421875" style="55" customWidth="1"/>
    <col min="54" max="54" width="12.00390625" style="55" bestFit="1" customWidth="1"/>
    <col min="55" max="55" width="2.421875" style="55" customWidth="1"/>
    <col min="56" max="56" width="12.00390625" style="55" bestFit="1" customWidth="1"/>
    <col min="57" max="57" width="2.421875" style="55" customWidth="1"/>
    <col min="58" max="58" width="12.00390625" style="55" bestFit="1" customWidth="1"/>
    <col min="59" max="59" width="2.421875" style="55" customWidth="1"/>
    <col min="60" max="60" width="12.00390625" style="55" bestFit="1" customWidth="1"/>
    <col min="61" max="61" width="2.421875" style="55" customWidth="1"/>
    <col min="62" max="62" width="12.00390625" style="55" bestFit="1" customWidth="1"/>
    <col min="63" max="63" width="2.421875" style="55" customWidth="1"/>
    <col min="64" max="64" width="12.00390625" style="55" bestFit="1" customWidth="1"/>
    <col min="65" max="65" width="2.421875" style="55" customWidth="1"/>
    <col min="66" max="66" width="14.28125" style="55" customWidth="1"/>
    <col min="67" max="67" width="2.421875" style="55" customWidth="1"/>
    <col min="68" max="68" width="14.57421875" style="55" customWidth="1"/>
    <col min="69" max="69" width="2.421875" style="55" customWidth="1"/>
    <col min="70" max="70" width="12.00390625" style="55" bestFit="1" customWidth="1"/>
    <col min="71" max="71" width="2.421875" style="55" customWidth="1"/>
    <col min="72" max="72" width="13.8515625" style="55" customWidth="1"/>
    <col min="73" max="73" width="2.421875" style="55" customWidth="1"/>
    <col min="74" max="74" width="14.28125" style="55" customWidth="1"/>
    <col min="75" max="75" width="2.421875" style="55" customWidth="1"/>
    <col min="76" max="76" width="12.00390625" style="55" bestFit="1" customWidth="1"/>
    <col min="77" max="77" width="2.421875" style="55" customWidth="1"/>
    <col min="78" max="78" width="11.00390625" style="55" bestFit="1" customWidth="1"/>
    <col min="79" max="79" width="2.421875" style="55" customWidth="1"/>
    <col min="80" max="80" width="11.00390625" style="55" bestFit="1" customWidth="1"/>
    <col min="81" max="81" width="2.421875" style="55" customWidth="1"/>
    <col min="82" max="82" width="11.00390625" style="55" bestFit="1" customWidth="1"/>
    <col min="83" max="83" width="2.421875" style="55" customWidth="1"/>
    <col min="84" max="84" width="11.00390625" style="55" bestFit="1" customWidth="1"/>
    <col min="85" max="85" width="2.421875" style="55" customWidth="1"/>
    <col min="86" max="86" width="11.00390625" style="55" bestFit="1" customWidth="1"/>
    <col min="87" max="87" width="2.421875" style="55" customWidth="1"/>
    <col min="88" max="88" width="11.00390625" style="55" bestFit="1" customWidth="1"/>
    <col min="89" max="89" width="2.421875" style="55" customWidth="1"/>
    <col min="90" max="90" width="12.00390625" style="55" bestFit="1" customWidth="1"/>
    <col min="91" max="91" width="2.421875" style="55" customWidth="1"/>
    <col min="92" max="92" width="12.00390625" style="55" bestFit="1" customWidth="1"/>
    <col min="93" max="93" width="2.421875" style="55" customWidth="1"/>
    <col min="94" max="94" width="12.00390625" style="55" bestFit="1" customWidth="1"/>
    <col min="95" max="95" width="2.421875" style="55" customWidth="1"/>
    <col min="96" max="96" width="12.00390625" style="55" bestFit="1" customWidth="1"/>
    <col min="97" max="97" width="2.140625" style="55" customWidth="1"/>
    <col min="98" max="98" width="12.00390625" style="55" customWidth="1"/>
    <col min="99" max="99" width="2.57421875" style="55" customWidth="1"/>
    <col min="100" max="100" width="12.00390625" style="55" customWidth="1"/>
    <col min="101" max="101" width="1.7109375" style="55" customWidth="1"/>
    <col min="102" max="102" width="9.421875" style="55" customWidth="1"/>
    <col min="103" max="103" width="1.7109375" style="55" customWidth="1"/>
    <col min="104" max="104" width="9.57421875" style="55" customWidth="1"/>
    <col min="105" max="105" width="2.140625" style="55" customWidth="1"/>
    <col min="106" max="106" width="12.28125" style="55" customWidth="1"/>
    <col min="107" max="107" width="2.00390625" style="55" customWidth="1"/>
    <col min="108" max="108" width="8.7109375" style="55" customWidth="1"/>
    <col min="109" max="109" width="2.421875" style="55" customWidth="1"/>
    <col min="110" max="110" width="10.140625" style="55" customWidth="1"/>
    <col min="111" max="111" width="2.8515625" style="55" customWidth="1"/>
    <col min="112" max="112" width="9.140625" style="55" customWidth="1"/>
    <col min="113" max="113" width="2.140625" style="55" customWidth="1"/>
    <col min="114" max="114" width="9.00390625" style="55" customWidth="1"/>
    <col min="115" max="115" width="2.7109375" style="55" customWidth="1"/>
    <col min="116" max="116" width="10.140625" style="55" customWidth="1"/>
    <col min="117" max="117" width="1.7109375" style="55" customWidth="1"/>
    <col min="118" max="118" width="9.140625" style="55" customWidth="1"/>
    <col min="119" max="119" width="2.140625" style="55" customWidth="1"/>
    <col min="120" max="120" width="12.00390625" style="55" customWidth="1"/>
    <col min="121" max="121" width="1.421875" style="55" customWidth="1"/>
    <col min="122" max="122" width="10.140625" style="55" customWidth="1"/>
    <col min="123" max="123" width="1.8515625" style="55" customWidth="1"/>
    <col min="124" max="124" width="10.28125" style="55" customWidth="1"/>
    <col min="125" max="125" width="1.8515625" style="55" customWidth="1"/>
    <col min="126" max="126" width="9.140625" style="55" customWidth="1"/>
    <col min="127" max="127" width="2.140625" style="55" customWidth="1"/>
    <col min="128" max="128" width="9.140625" style="55" customWidth="1"/>
    <col min="129" max="129" width="2.7109375" style="55" customWidth="1"/>
    <col min="130" max="130" width="9.140625" style="55" customWidth="1"/>
    <col min="131" max="131" width="2.421875" style="55" customWidth="1"/>
    <col min="132" max="132" width="9.140625" style="55" customWidth="1"/>
    <col min="133" max="133" width="2.140625" style="55" customWidth="1"/>
    <col min="134" max="134" width="9.140625" style="55" customWidth="1"/>
    <col min="135" max="135" width="2.8515625" style="55" customWidth="1"/>
    <col min="136" max="136" width="9.140625" style="55" customWidth="1"/>
    <col min="137" max="137" width="3.00390625" style="55" customWidth="1"/>
    <col min="138" max="138" width="9.140625" style="55" customWidth="1"/>
    <col min="139" max="139" width="9.140625" style="55" hidden="1" customWidth="1"/>
    <col min="140" max="144" width="0" style="55" hidden="1" customWidth="1"/>
    <col min="145" max="16384" width="9.140625" style="55" customWidth="1"/>
  </cols>
  <sheetData>
    <row r="1" spans="2:144" ht="12.75">
      <c r="B1" s="27" t="s">
        <v>250</v>
      </c>
      <c r="C1" s="27"/>
      <c r="EK1" s="55" t="s">
        <v>77</v>
      </c>
      <c r="EL1" s="55" t="s">
        <v>64</v>
      </c>
      <c r="EM1" s="55" t="s">
        <v>81</v>
      </c>
      <c r="EN1" s="55" t="s">
        <v>30</v>
      </c>
    </row>
    <row r="4" spans="2:138" ht="12.75">
      <c r="B4" s="27" t="s">
        <v>175</v>
      </c>
      <c r="C4" s="27"/>
      <c r="D4" s="27"/>
      <c r="F4" s="59" t="s">
        <v>124</v>
      </c>
      <c r="H4" s="59" t="s">
        <v>125</v>
      </c>
      <c r="J4" s="59" t="s">
        <v>126</v>
      </c>
      <c r="L4" s="59" t="s">
        <v>186</v>
      </c>
      <c r="N4" s="59" t="s">
        <v>187</v>
      </c>
      <c r="P4" s="59" t="s">
        <v>188</v>
      </c>
      <c r="R4" s="59" t="s">
        <v>124</v>
      </c>
      <c r="T4" s="59" t="s">
        <v>125</v>
      </c>
      <c r="V4" s="59" t="s">
        <v>126</v>
      </c>
      <c r="X4" s="59" t="s">
        <v>186</v>
      </c>
      <c r="Z4" s="59" t="s">
        <v>187</v>
      </c>
      <c r="AB4" s="59" t="s">
        <v>188</v>
      </c>
      <c r="AC4" s="59"/>
      <c r="AD4" s="59" t="s">
        <v>124</v>
      </c>
      <c r="AE4" s="59"/>
      <c r="AF4" s="59" t="s">
        <v>125</v>
      </c>
      <c r="AG4" s="59"/>
      <c r="AH4" s="59" t="s">
        <v>126</v>
      </c>
      <c r="AI4" s="59"/>
      <c r="AJ4" s="59" t="s">
        <v>186</v>
      </c>
      <c r="AK4" s="59"/>
      <c r="AL4" s="59" t="s">
        <v>187</v>
      </c>
      <c r="AM4" s="59"/>
      <c r="AN4" s="59" t="s">
        <v>188</v>
      </c>
      <c r="AO4" s="59"/>
      <c r="AP4" s="59" t="s">
        <v>124</v>
      </c>
      <c r="AQ4" s="59"/>
      <c r="AR4" s="59" t="s">
        <v>125</v>
      </c>
      <c r="AS4" s="59"/>
      <c r="AT4" s="59" t="s">
        <v>126</v>
      </c>
      <c r="AU4" s="59"/>
      <c r="AV4" s="59" t="s">
        <v>186</v>
      </c>
      <c r="AW4" s="59"/>
      <c r="AX4" s="59" t="s">
        <v>187</v>
      </c>
      <c r="AY4" s="59"/>
      <c r="AZ4" s="59" t="s">
        <v>188</v>
      </c>
      <c r="BA4" s="59"/>
      <c r="BB4" s="59" t="s">
        <v>124</v>
      </c>
      <c r="BC4" s="59"/>
      <c r="BD4" s="59" t="s">
        <v>125</v>
      </c>
      <c r="BE4" s="59"/>
      <c r="BF4" s="59" t="s">
        <v>126</v>
      </c>
      <c r="BG4" s="59"/>
      <c r="BH4" s="59" t="s">
        <v>186</v>
      </c>
      <c r="BI4" s="59"/>
      <c r="BJ4" s="59" t="s">
        <v>187</v>
      </c>
      <c r="BK4" s="59"/>
      <c r="BL4" s="59" t="s">
        <v>188</v>
      </c>
      <c r="BM4" s="59"/>
      <c r="BN4" s="59" t="s">
        <v>124</v>
      </c>
      <c r="BO4" s="59"/>
      <c r="BP4" s="59" t="s">
        <v>125</v>
      </c>
      <c r="BQ4" s="59"/>
      <c r="BR4" s="59" t="s">
        <v>126</v>
      </c>
      <c r="BS4" s="59"/>
      <c r="BT4" s="59" t="s">
        <v>186</v>
      </c>
      <c r="BU4" s="59"/>
      <c r="BV4" s="59" t="s">
        <v>187</v>
      </c>
      <c r="BW4" s="59"/>
      <c r="BX4" s="59" t="s">
        <v>188</v>
      </c>
      <c r="BY4" s="59"/>
      <c r="BZ4" s="59" t="s">
        <v>124</v>
      </c>
      <c r="CA4" s="59"/>
      <c r="CB4" s="59" t="s">
        <v>125</v>
      </c>
      <c r="CC4" s="59"/>
      <c r="CD4" s="59" t="s">
        <v>126</v>
      </c>
      <c r="CE4" s="59"/>
      <c r="CF4" s="59" t="s">
        <v>186</v>
      </c>
      <c r="CG4" s="59"/>
      <c r="CH4" s="59" t="s">
        <v>187</v>
      </c>
      <c r="CI4" s="59"/>
      <c r="CJ4" s="59" t="s">
        <v>188</v>
      </c>
      <c r="CK4" s="59"/>
      <c r="CL4" s="59" t="s">
        <v>124</v>
      </c>
      <c r="CM4" s="59"/>
      <c r="CN4" s="59" t="s">
        <v>125</v>
      </c>
      <c r="CO4" s="59"/>
      <c r="CP4" s="59" t="s">
        <v>126</v>
      </c>
      <c r="CQ4" s="59"/>
      <c r="CR4" s="59" t="s">
        <v>186</v>
      </c>
      <c r="CS4" s="59"/>
      <c r="CT4" s="59" t="s">
        <v>187</v>
      </c>
      <c r="CU4" s="59"/>
      <c r="CV4" s="59" t="s">
        <v>188</v>
      </c>
      <c r="CW4" s="59"/>
      <c r="CX4" s="59" t="s">
        <v>124</v>
      </c>
      <c r="CY4" s="59"/>
      <c r="CZ4" s="59" t="s">
        <v>125</v>
      </c>
      <c r="DA4" s="59"/>
      <c r="DB4" s="59" t="s">
        <v>126</v>
      </c>
      <c r="DC4" s="59"/>
      <c r="DD4" s="59" t="s">
        <v>186</v>
      </c>
      <c r="DE4" s="59"/>
      <c r="DF4" s="59" t="s">
        <v>187</v>
      </c>
      <c r="DG4" s="59"/>
      <c r="DH4" s="59" t="s">
        <v>188</v>
      </c>
      <c r="DI4" s="59"/>
      <c r="DJ4" s="59" t="s">
        <v>124</v>
      </c>
      <c r="DK4" s="59"/>
      <c r="DL4" s="59" t="s">
        <v>125</v>
      </c>
      <c r="DM4" s="59"/>
      <c r="DN4" s="59" t="s">
        <v>126</v>
      </c>
      <c r="DO4" s="59"/>
      <c r="DP4" s="59" t="s">
        <v>186</v>
      </c>
      <c r="DQ4" s="59"/>
      <c r="DR4" s="59" t="s">
        <v>187</v>
      </c>
      <c r="DS4" s="59"/>
      <c r="DT4" s="59" t="s">
        <v>188</v>
      </c>
      <c r="DU4" s="59"/>
      <c r="DV4" s="59" t="s">
        <v>124</v>
      </c>
      <c r="DW4" s="59"/>
      <c r="DX4" s="59" t="s">
        <v>125</v>
      </c>
      <c r="DY4" s="59"/>
      <c r="DZ4" s="59" t="s">
        <v>126</v>
      </c>
      <c r="EA4" s="59"/>
      <c r="EB4" s="59" t="s">
        <v>186</v>
      </c>
      <c r="EC4" s="59"/>
      <c r="ED4" s="59" t="s">
        <v>187</v>
      </c>
      <c r="EE4" s="59"/>
      <c r="EF4" s="59" t="s">
        <v>188</v>
      </c>
      <c r="EG4" s="59"/>
      <c r="EH4" s="59" t="s">
        <v>67</v>
      </c>
    </row>
    <row r="5" spans="2:138" ht="12.75">
      <c r="B5" s="27"/>
      <c r="C5" s="27"/>
      <c r="D5" s="27"/>
      <c r="F5" s="59"/>
      <c r="H5" s="59"/>
      <c r="J5" s="59"/>
      <c r="L5" s="59"/>
      <c r="N5" s="59"/>
      <c r="P5" s="59"/>
      <c r="R5" s="59"/>
      <c r="T5" s="59"/>
      <c r="V5" s="59"/>
      <c r="X5" s="59"/>
      <c r="Z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</row>
    <row r="6" spans="2:138" ht="12.75">
      <c r="B6" s="9" t="s">
        <v>276</v>
      </c>
      <c r="C6" s="9"/>
      <c r="D6" s="27"/>
      <c r="F6" s="59" t="s">
        <v>279</v>
      </c>
      <c r="H6" s="59" t="s">
        <v>279</v>
      </c>
      <c r="J6" s="59" t="s">
        <v>279</v>
      </c>
      <c r="L6" s="59" t="s">
        <v>279</v>
      </c>
      <c r="N6" s="59" t="s">
        <v>279</v>
      </c>
      <c r="P6" s="59" t="s">
        <v>279</v>
      </c>
      <c r="R6" s="59" t="s">
        <v>281</v>
      </c>
      <c r="T6" s="59" t="s">
        <v>281</v>
      </c>
      <c r="V6" s="59" t="s">
        <v>281</v>
      </c>
      <c r="X6" s="59" t="s">
        <v>281</v>
      </c>
      <c r="Z6" s="59" t="s">
        <v>281</v>
      </c>
      <c r="AB6" s="59" t="s">
        <v>281</v>
      </c>
      <c r="AC6" s="59"/>
      <c r="AD6" s="59" t="s">
        <v>283</v>
      </c>
      <c r="AE6" s="59"/>
      <c r="AF6" s="59" t="s">
        <v>283</v>
      </c>
      <c r="AG6" s="59"/>
      <c r="AH6" s="59" t="s">
        <v>283</v>
      </c>
      <c r="AI6" s="59"/>
      <c r="AJ6" s="59" t="s">
        <v>283</v>
      </c>
      <c r="AK6" s="59"/>
      <c r="AL6" s="59" t="s">
        <v>283</v>
      </c>
      <c r="AM6" s="59"/>
      <c r="AN6" s="59" t="s">
        <v>283</v>
      </c>
      <c r="AO6" s="59"/>
      <c r="AP6" s="59" t="s">
        <v>284</v>
      </c>
      <c r="AQ6" s="59"/>
      <c r="AR6" s="59" t="s">
        <v>284</v>
      </c>
      <c r="AS6" s="59"/>
      <c r="AT6" s="59" t="s">
        <v>284</v>
      </c>
      <c r="AU6" s="59"/>
      <c r="AV6" s="59" t="s">
        <v>284</v>
      </c>
      <c r="AW6" s="59"/>
      <c r="AX6" s="59" t="s">
        <v>284</v>
      </c>
      <c r="AY6" s="59"/>
      <c r="AZ6" s="59" t="s">
        <v>284</v>
      </c>
      <c r="BA6" s="59"/>
      <c r="BB6" s="59" t="s">
        <v>285</v>
      </c>
      <c r="BC6" s="59"/>
      <c r="BD6" s="59" t="s">
        <v>285</v>
      </c>
      <c r="BE6" s="59"/>
      <c r="BF6" s="59" t="s">
        <v>285</v>
      </c>
      <c r="BG6" s="59"/>
      <c r="BH6" s="59" t="s">
        <v>285</v>
      </c>
      <c r="BI6" s="59"/>
      <c r="BJ6" s="59" t="s">
        <v>285</v>
      </c>
      <c r="BK6" s="59"/>
      <c r="BL6" s="59" t="s">
        <v>285</v>
      </c>
      <c r="BM6" s="59"/>
      <c r="BN6" s="59" t="s">
        <v>286</v>
      </c>
      <c r="BO6" s="59"/>
      <c r="BP6" s="59" t="s">
        <v>286</v>
      </c>
      <c r="BQ6" s="59"/>
      <c r="BR6" s="59" t="s">
        <v>286</v>
      </c>
      <c r="BS6" s="59"/>
      <c r="BT6" s="59" t="s">
        <v>286</v>
      </c>
      <c r="BU6" s="59"/>
      <c r="BV6" s="59" t="s">
        <v>286</v>
      </c>
      <c r="BW6" s="59"/>
      <c r="BX6" s="59" t="s">
        <v>286</v>
      </c>
      <c r="BY6" s="59"/>
      <c r="BZ6" s="59" t="s">
        <v>287</v>
      </c>
      <c r="CA6" s="59"/>
      <c r="CB6" s="59" t="s">
        <v>287</v>
      </c>
      <c r="CC6" s="59"/>
      <c r="CD6" s="59" t="s">
        <v>287</v>
      </c>
      <c r="CE6" s="59"/>
      <c r="CF6" s="59" t="s">
        <v>287</v>
      </c>
      <c r="CG6" s="59"/>
      <c r="CH6" s="59" t="s">
        <v>287</v>
      </c>
      <c r="CI6" s="59"/>
      <c r="CJ6" s="59" t="s">
        <v>287</v>
      </c>
      <c r="CK6" s="59"/>
      <c r="CL6" s="59" t="s">
        <v>288</v>
      </c>
      <c r="CM6" s="59"/>
      <c r="CN6" s="59" t="s">
        <v>288</v>
      </c>
      <c r="CO6" s="59"/>
      <c r="CP6" s="59" t="s">
        <v>288</v>
      </c>
      <c r="CQ6" s="59"/>
      <c r="CR6" s="59" t="s">
        <v>288</v>
      </c>
      <c r="CS6" s="59"/>
      <c r="CT6" s="59" t="s">
        <v>288</v>
      </c>
      <c r="CU6" s="59"/>
      <c r="CV6" s="59" t="s">
        <v>288</v>
      </c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 t="s">
        <v>289</v>
      </c>
      <c r="DW6" s="59"/>
      <c r="DX6" s="59" t="s">
        <v>289</v>
      </c>
      <c r="DY6" s="59"/>
      <c r="DZ6" s="59" t="s">
        <v>289</v>
      </c>
      <c r="EA6" s="59"/>
      <c r="EB6" s="59" t="s">
        <v>289</v>
      </c>
      <c r="EC6" s="59"/>
      <c r="ED6" s="59" t="s">
        <v>289</v>
      </c>
      <c r="EE6" s="59"/>
      <c r="EF6" s="59" t="s">
        <v>289</v>
      </c>
      <c r="EG6" s="59"/>
      <c r="EH6" s="59" t="s">
        <v>289</v>
      </c>
    </row>
    <row r="7" spans="2:138" ht="12.75">
      <c r="B7" s="9" t="s">
        <v>277</v>
      </c>
      <c r="C7" s="9"/>
      <c r="F7" s="59" t="s">
        <v>123</v>
      </c>
      <c r="H7" s="59" t="s">
        <v>123</v>
      </c>
      <c r="J7" s="59" t="s">
        <v>123</v>
      </c>
      <c r="L7" s="59" t="s">
        <v>123</v>
      </c>
      <c r="N7" s="59" t="s">
        <v>123</v>
      </c>
      <c r="P7" s="59" t="s">
        <v>123</v>
      </c>
      <c r="R7" s="59" t="s">
        <v>280</v>
      </c>
      <c r="T7" s="59" t="s">
        <v>280</v>
      </c>
      <c r="V7" s="59" t="s">
        <v>280</v>
      </c>
      <c r="X7" s="59" t="s">
        <v>280</v>
      </c>
      <c r="Z7" s="59" t="s">
        <v>280</v>
      </c>
      <c r="AB7" s="59" t="s">
        <v>280</v>
      </c>
      <c r="AC7" s="59"/>
      <c r="AD7" s="59" t="s">
        <v>282</v>
      </c>
      <c r="AE7" s="59"/>
      <c r="AF7" s="59" t="s">
        <v>282</v>
      </c>
      <c r="AG7" s="59"/>
      <c r="AH7" s="59" t="s">
        <v>282</v>
      </c>
      <c r="AI7" s="59"/>
      <c r="AJ7" s="59" t="s">
        <v>282</v>
      </c>
      <c r="AK7" s="59"/>
      <c r="AL7" s="59" t="s">
        <v>282</v>
      </c>
      <c r="AM7" s="59"/>
      <c r="AN7" s="59" t="s">
        <v>282</v>
      </c>
      <c r="AO7" s="59"/>
      <c r="AP7" s="59" t="s">
        <v>64</v>
      </c>
      <c r="AQ7" s="59"/>
      <c r="AR7" s="59" t="s">
        <v>64</v>
      </c>
      <c r="AS7" s="59"/>
      <c r="AT7" s="59" t="s">
        <v>64</v>
      </c>
      <c r="AU7" s="59"/>
      <c r="AV7" s="59" t="s">
        <v>64</v>
      </c>
      <c r="AW7" s="59"/>
      <c r="AX7" s="59" t="s">
        <v>64</v>
      </c>
      <c r="AY7" s="59"/>
      <c r="AZ7" s="59" t="s">
        <v>64</v>
      </c>
      <c r="BA7" s="59"/>
      <c r="BB7" s="59" t="s">
        <v>64</v>
      </c>
      <c r="BC7" s="59"/>
      <c r="BD7" s="59" t="s">
        <v>64</v>
      </c>
      <c r="BE7" s="59"/>
      <c r="BF7" s="59" t="s">
        <v>64</v>
      </c>
      <c r="BG7" s="59"/>
      <c r="BH7" s="59" t="s">
        <v>64</v>
      </c>
      <c r="BI7" s="59"/>
      <c r="BJ7" s="59" t="s">
        <v>64</v>
      </c>
      <c r="BK7" s="59"/>
      <c r="BL7" s="59" t="s">
        <v>64</v>
      </c>
      <c r="BM7" s="59"/>
      <c r="BN7" s="59" t="s">
        <v>64</v>
      </c>
      <c r="BO7" s="59"/>
      <c r="BP7" s="59" t="s">
        <v>64</v>
      </c>
      <c r="BQ7" s="59"/>
      <c r="BR7" s="59" t="s">
        <v>64</v>
      </c>
      <c r="BS7" s="59"/>
      <c r="BT7" s="59" t="s">
        <v>64</v>
      </c>
      <c r="BU7" s="59"/>
      <c r="BV7" s="59" t="s">
        <v>64</v>
      </c>
      <c r="BW7" s="59"/>
      <c r="BX7" s="59" t="s">
        <v>64</v>
      </c>
      <c r="BY7" s="59"/>
      <c r="BZ7" s="59" t="s">
        <v>64</v>
      </c>
      <c r="CA7" s="59"/>
      <c r="CB7" s="59" t="s">
        <v>64</v>
      </c>
      <c r="CC7" s="59"/>
      <c r="CD7" s="59" t="s">
        <v>64</v>
      </c>
      <c r="CE7" s="59"/>
      <c r="CF7" s="59" t="s">
        <v>64</v>
      </c>
      <c r="CG7" s="59"/>
      <c r="CH7" s="59" t="s">
        <v>64</v>
      </c>
      <c r="CI7" s="59"/>
      <c r="CJ7" s="59" t="s">
        <v>64</v>
      </c>
      <c r="CK7" s="59"/>
      <c r="CL7" s="59" t="s">
        <v>282</v>
      </c>
      <c r="CM7" s="59"/>
      <c r="CN7" s="59" t="s">
        <v>282</v>
      </c>
      <c r="CO7" s="59"/>
      <c r="CP7" s="59" t="s">
        <v>282</v>
      </c>
      <c r="CQ7" s="59"/>
      <c r="CR7" s="59" t="s">
        <v>282</v>
      </c>
      <c r="CS7" s="59"/>
      <c r="CT7" s="59" t="s">
        <v>282</v>
      </c>
      <c r="CU7" s="59"/>
      <c r="CV7" s="59" t="s">
        <v>282</v>
      </c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 t="s">
        <v>30</v>
      </c>
      <c r="DW7" s="59"/>
      <c r="DX7" s="59" t="s">
        <v>30</v>
      </c>
      <c r="DY7" s="59"/>
      <c r="DZ7" s="59" t="s">
        <v>30</v>
      </c>
      <c r="EA7" s="59"/>
      <c r="EB7" s="59" t="s">
        <v>30</v>
      </c>
      <c r="EC7" s="59"/>
      <c r="ED7" s="59" t="s">
        <v>30</v>
      </c>
      <c r="EE7" s="59"/>
      <c r="EF7" s="59" t="s">
        <v>30</v>
      </c>
      <c r="EG7" s="59"/>
      <c r="EH7" s="59" t="s">
        <v>30</v>
      </c>
    </row>
    <row r="8" spans="2:138" ht="12.75">
      <c r="B8" s="9" t="s">
        <v>290</v>
      </c>
      <c r="C8" s="9"/>
      <c r="F8" s="59" t="s">
        <v>123</v>
      </c>
      <c r="H8" s="59" t="s">
        <v>123</v>
      </c>
      <c r="J8" s="59" t="s">
        <v>123</v>
      </c>
      <c r="L8" s="59" t="s">
        <v>123</v>
      </c>
      <c r="N8" s="59" t="s">
        <v>123</v>
      </c>
      <c r="P8" s="59" t="s">
        <v>123</v>
      </c>
      <c r="R8" s="59" t="s">
        <v>291</v>
      </c>
      <c r="T8" s="59" t="s">
        <v>291</v>
      </c>
      <c r="V8" s="59" t="s">
        <v>291</v>
      </c>
      <c r="X8" s="59" t="s">
        <v>291</v>
      </c>
      <c r="Z8" s="59" t="s">
        <v>291</v>
      </c>
      <c r="AB8" s="59" t="s">
        <v>291</v>
      </c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 t="s">
        <v>64</v>
      </c>
      <c r="CY8" s="59"/>
      <c r="CZ8" s="59" t="s">
        <v>64</v>
      </c>
      <c r="DA8" s="59"/>
      <c r="DB8" s="59" t="s">
        <v>64</v>
      </c>
      <c r="DC8" s="59"/>
      <c r="DD8" s="59" t="s">
        <v>64</v>
      </c>
      <c r="DE8" s="59"/>
      <c r="DF8" s="59" t="s">
        <v>64</v>
      </c>
      <c r="DG8" s="59"/>
      <c r="DH8" s="59" t="s">
        <v>64</v>
      </c>
      <c r="DI8" s="59"/>
      <c r="DJ8" s="59" t="s">
        <v>77</v>
      </c>
      <c r="DK8" s="59"/>
      <c r="DL8" s="59" t="s">
        <v>77</v>
      </c>
      <c r="DM8" s="59"/>
      <c r="DN8" s="59" t="s">
        <v>77</v>
      </c>
      <c r="DO8" s="59"/>
      <c r="DP8" s="59" t="s">
        <v>77</v>
      </c>
      <c r="DQ8" s="59"/>
      <c r="DR8" s="59" t="s">
        <v>77</v>
      </c>
      <c r="DS8" s="59"/>
      <c r="DT8" s="59" t="s">
        <v>77</v>
      </c>
      <c r="DU8" s="59"/>
      <c r="DV8" s="59" t="s">
        <v>30</v>
      </c>
      <c r="DW8" s="59"/>
      <c r="DX8" s="59" t="s">
        <v>30</v>
      </c>
      <c r="DY8" s="59"/>
      <c r="DZ8" s="59" t="s">
        <v>30</v>
      </c>
      <c r="EA8" s="59"/>
      <c r="EB8" s="59" t="s">
        <v>30</v>
      </c>
      <c r="EC8" s="59"/>
      <c r="ED8" s="59" t="s">
        <v>30</v>
      </c>
      <c r="EE8" s="59"/>
      <c r="EF8" s="59" t="s">
        <v>30</v>
      </c>
      <c r="EG8" s="59"/>
      <c r="EH8" s="59" t="s">
        <v>30</v>
      </c>
    </row>
    <row r="9" spans="2:138" ht="12.75">
      <c r="B9" s="16" t="s">
        <v>108</v>
      </c>
      <c r="C9" s="16"/>
      <c r="F9" s="59" t="s">
        <v>123</v>
      </c>
      <c r="H9" s="59" t="s">
        <v>123</v>
      </c>
      <c r="J9" s="59" t="s">
        <v>123</v>
      </c>
      <c r="L9" s="59" t="s">
        <v>123</v>
      </c>
      <c r="N9" s="59" t="s">
        <v>123</v>
      </c>
      <c r="P9" s="59" t="s">
        <v>123</v>
      </c>
      <c r="R9" s="59" t="s">
        <v>301</v>
      </c>
      <c r="T9" s="59" t="s">
        <v>301</v>
      </c>
      <c r="V9" s="59" t="s">
        <v>301</v>
      </c>
      <c r="X9" s="59" t="s">
        <v>301</v>
      </c>
      <c r="Z9" s="59" t="s">
        <v>301</v>
      </c>
      <c r="AB9" s="59" t="s">
        <v>301</v>
      </c>
      <c r="AC9" s="59"/>
      <c r="AD9" s="59" t="s">
        <v>302</v>
      </c>
      <c r="AE9" s="59"/>
      <c r="AF9" s="59" t="s">
        <v>302</v>
      </c>
      <c r="AG9" s="59"/>
      <c r="AH9" s="59" t="s">
        <v>302</v>
      </c>
      <c r="AI9" s="59"/>
      <c r="AJ9" s="59" t="s">
        <v>302</v>
      </c>
      <c r="AK9" s="59"/>
      <c r="AL9" s="59" t="s">
        <v>302</v>
      </c>
      <c r="AM9" s="59"/>
      <c r="AN9" s="59" t="s">
        <v>302</v>
      </c>
      <c r="AO9" s="59"/>
      <c r="AP9" s="59" t="s">
        <v>196</v>
      </c>
      <c r="AQ9" s="59"/>
      <c r="AR9" s="59" t="s">
        <v>196</v>
      </c>
      <c r="AS9" s="59"/>
      <c r="AT9" s="59" t="s">
        <v>196</v>
      </c>
      <c r="AU9" s="59"/>
      <c r="AV9" s="59" t="s">
        <v>196</v>
      </c>
      <c r="AW9" s="59"/>
      <c r="AX9" s="59" t="s">
        <v>196</v>
      </c>
      <c r="AY9" s="59"/>
      <c r="AZ9" s="59" t="s">
        <v>196</v>
      </c>
      <c r="BA9" s="59"/>
      <c r="BB9" s="59" t="s">
        <v>197</v>
      </c>
      <c r="BC9" s="59"/>
      <c r="BD9" s="59" t="s">
        <v>197</v>
      </c>
      <c r="BE9" s="59"/>
      <c r="BF9" s="59" t="s">
        <v>197</v>
      </c>
      <c r="BG9" s="59"/>
      <c r="BH9" s="59" t="s">
        <v>197</v>
      </c>
      <c r="BI9" s="59"/>
      <c r="BJ9" s="59" t="s">
        <v>197</v>
      </c>
      <c r="BK9" s="59"/>
      <c r="BL9" s="59" t="s">
        <v>197</v>
      </c>
      <c r="BM9" s="59"/>
      <c r="BN9" s="59" t="s">
        <v>198</v>
      </c>
      <c r="BO9" s="59"/>
      <c r="BP9" s="59" t="s">
        <v>198</v>
      </c>
      <c r="BQ9" s="59"/>
      <c r="BR9" s="59" t="s">
        <v>198</v>
      </c>
      <c r="BS9" s="59"/>
      <c r="BT9" s="59" t="s">
        <v>198</v>
      </c>
      <c r="BU9" s="59"/>
      <c r="BV9" s="59" t="s">
        <v>198</v>
      </c>
      <c r="BW9" s="59"/>
      <c r="BX9" s="59" t="s">
        <v>198</v>
      </c>
      <c r="BY9" s="59"/>
      <c r="BZ9" s="59" t="s">
        <v>199</v>
      </c>
      <c r="CA9" s="59"/>
      <c r="CB9" s="59" t="s">
        <v>199</v>
      </c>
      <c r="CC9" s="59"/>
      <c r="CD9" s="59" t="s">
        <v>199</v>
      </c>
      <c r="CE9" s="59"/>
      <c r="CF9" s="59" t="s">
        <v>199</v>
      </c>
      <c r="CG9" s="59"/>
      <c r="CH9" s="59" t="s">
        <v>199</v>
      </c>
      <c r="CI9" s="59"/>
      <c r="CJ9" s="59" t="s">
        <v>199</v>
      </c>
      <c r="CK9" s="59"/>
      <c r="CL9" s="59" t="s">
        <v>303</v>
      </c>
      <c r="CM9" s="59"/>
      <c r="CN9" s="59" t="s">
        <v>303</v>
      </c>
      <c r="CO9" s="59"/>
      <c r="CP9" s="59" t="s">
        <v>303</v>
      </c>
      <c r="CQ9" s="59"/>
      <c r="CR9" s="59" t="s">
        <v>303</v>
      </c>
      <c r="CS9" s="59"/>
      <c r="CT9" s="59" t="s">
        <v>303</v>
      </c>
      <c r="CU9" s="59"/>
      <c r="CV9" s="59" t="s">
        <v>303</v>
      </c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 t="s">
        <v>30</v>
      </c>
      <c r="DW9" s="59"/>
      <c r="DX9" s="59" t="s">
        <v>30</v>
      </c>
      <c r="DY9" s="59"/>
      <c r="DZ9" s="59" t="s">
        <v>30</v>
      </c>
      <c r="EA9" s="59"/>
      <c r="EB9" s="59" t="s">
        <v>30</v>
      </c>
      <c r="EC9" s="59"/>
      <c r="ED9" s="59" t="s">
        <v>30</v>
      </c>
      <c r="EE9" s="59"/>
      <c r="EF9" s="59" t="s">
        <v>30</v>
      </c>
      <c r="EG9" s="59"/>
      <c r="EH9" s="59" t="s">
        <v>30</v>
      </c>
    </row>
    <row r="10" spans="1:138" ht="12.75">
      <c r="A10" s="55" t="s">
        <v>175</v>
      </c>
      <c r="B10" s="55" t="s">
        <v>111</v>
      </c>
      <c r="D10" s="55" t="s">
        <v>155</v>
      </c>
      <c r="E10" s="68"/>
      <c r="F10" s="73">
        <v>9144</v>
      </c>
      <c r="G10" s="75"/>
      <c r="H10" s="73">
        <v>8370</v>
      </c>
      <c r="I10" s="75"/>
      <c r="J10" s="73">
        <v>10170</v>
      </c>
      <c r="K10" s="75"/>
      <c r="L10" s="73">
        <v>10992</v>
      </c>
      <c r="M10" s="75"/>
      <c r="N10" s="73"/>
      <c r="O10" s="75"/>
      <c r="P10" s="73"/>
      <c r="Q10" s="78"/>
      <c r="R10" s="65">
        <v>322628</v>
      </c>
      <c r="S10" s="78"/>
      <c r="T10" s="65">
        <v>325042</v>
      </c>
      <c r="U10" s="78"/>
      <c r="V10" s="65">
        <v>325125</v>
      </c>
      <c r="W10" s="78"/>
      <c r="X10" s="65">
        <v>328052</v>
      </c>
      <c r="Y10" s="78"/>
      <c r="Z10" s="73"/>
      <c r="AA10" s="78"/>
      <c r="AB10" s="73"/>
      <c r="AC10" s="73"/>
      <c r="AD10" s="73">
        <v>13744</v>
      </c>
      <c r="AE10" s="73"/>
      <c r="AF10" s="73">
        <v>13678</v>
      </c>
      <c r="AG10" s="73"/>
      <c r="AH10" s="73">
        <v>13590</v>
      </c>
      <c r="AI10" s="73"/>
      <c r="AJ10" s="73">
        <v>13965</v>
      </c>
      <c r="AK10" s="73"/>
      <c r="AL10" s="73"/>
      <c r="AM10" s="73"/>
      <c r="AN10" s="73"/>
      <c r="AO10" s="73"/>
      <c r="AP10" s="73">
        <v>475.6027672</v>
      </c>
      <c r="AQ10" s="73"/>
      <c r="AR10" s="73">
        <v>788.5060544</v>
      </c>
      <c r="AS10" s="73"/>
      <c r="AT10" s="73">
        <v>417.4035318</v>
      </c>
      <c r="AU10" s="73"/>
      <c r="AV10" s="73">
        <v>394.502147</v>
      </c>
      <c r="AW10" s="73"/>
      <c r="AX10" s="73"/>
      <c r="AY10" s="73"/>
      <c r="AZ10" s="73"/>
      <c r="BA10" s="73"/>
      <c r="BB10" s="73">
        <v>1083.5079896</v>
      </c>
      <c r="BC10" s="73"/>
      <c r="BD10" s="73">
        <v>1260.0082656</v>
      </c>
      <c r="BE10" s="73"/>
      <c r="BF10" s="73">
        <v>872.305105</v>
      </c>
      <c r="BG10" s="73"/>
      <c r="BH10" s="73">
        <v>527.5034604</v>
      </c>
      <c r="BI10" s="73"/>
      <c r="BJ10" s="73"/>
      <c r="BK10" s="73"/>
      <c r="BL10" s="73"/>
      <c r="BM10" s="73"/>
      <c r="BN10" s="73">
        <v>585.5042818</v>
      </c>
      <c r="BO10" s="73"/>
      <c r="BP10" s="73">
        <v>762.0045578</v>
      </c>
      <c r="BQ10" s="73"/>
      <c r="BR10" s="73">
        <v>305.0042054</v>
      </c>
      <c r="BS10" s="73"/>
      <c r="BT10" s="73">
        <v>341.1023258</v>
      </c>
      <c r="BU10" s="73"/>
      <c r="BV10" s="73"/>
      <c r="BW10" s="73"/>
      <c r="BX10" s="73"/>
      <c r="BY10" s="73"/>
      <c r="BZ10" s="73">
        <v>0.75000492</v>
      </c>
      <c r="CA10" s="73"/>
      <c r="CB10" s="73">
        <v>0.75000492</v>
      </c>
      <c r="CC10" s="73"/>
      <c r="CD10" s="73">
        <v>0.75000492</v>
      </c>
      <c r="CE10" s="73"/>
      <c r="CF10" s="73">
        <v>0.75000492</v>
      </c>
      <c r="CG10" s="73"/>
      <c r="CH10" s="73"/>
      <c r="CI10" s="73"/>
      <c r="CJ10" s="73"/>
      <c r="CK10" s="73"/>
      <c r="CL10" s="73">
        <v>7655</v>
      </c>
      <c r="CM10" s="73"/>
      <c r="CN10" s="73">
        <v>6895</v>
      </c>
      <c r="CO10" s="73"/>
      <c r="CP10" s="73">
        <v>7660</v>
      </c>
      <c r="CQ10" s="73"/>
      <c r="CR10" s="73">
        <v>8499</v>
      </c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</row>
    <row r="11" spans="1:138" ht="12.75">
      <c r="A11" s="55" t="s">
        <v>175</v>
      </c>
      <c r="B11" s="55" t="s">
        <v>278</v>
      </c>
      <c r="D11" s="55" t="s">
        <v>200</v>
      </c>
      <c r="E11" s="68"/>
      <c r="F11" s="73">
        <v>14009.186351706</v>
      </c>
      <c r="G11" s="75"/>
      <c r="H11" s="73">
        <v>13010.752688172</v>
      </c>
      <c r="I11" s="75"/>
      <c r="J11" s="73">
        <v>12989.183874139626</v>
      </c>
      <c r="K11" s="75"/>
      <c r="L11" s="73">
        <v>12936.681222707424</v>
      </c>
      <c r="M11" s="75"/>
      <c r="N11" s="73"/>
      <c r="O11" s="75"/>
      <c r="P11" s="73"/>
      <c r="Q11" s="78"/>
      <c r="R11" s="73"/>
      <c r="S11" s="78"/>
      <c r="T11" s="73"/>
      <c r="U11" s="78"/>
      <c r="V11" s="73"/>
      <c r="W11" s="78"/>
      <c r="X11" s="73"/>
      <c r="Y11" s="78"/>
      <c r="Z11" s="73"/>
      <c r="AA11" s="78"/>
      <c r="AB11" s="73"/>
      <c r="AC11" s="73"/>
      <c r="AD11" s="73">
        <f>AD12/AD10*1000000</f>
        <v>12005.23864959255</v>
      </c>
      <c r="AE11" s="73"/>
      <c r="AF11" s="73">
        <f>AF12/AF10*1000000</f>
        <v>11990.057025880977</v>
      </c>
      <c r="AG11" s="73"/>
      <c r="AH11" s="73">
        <f>AH12/AH10*1000000</f>
        <v>11994.11331861663</v>
      </c>
      <c r="AI11" s="73"/>
      <c r="AJ11" s="73">
        <f>AJ12/AJ10*1000000</f>
        <v>11027.568922305765</v>
      </c>
      <c r="AK11" s="73"/>
      <c r="AL11" s="73"/>
      <c r="AM11" s="73"/>
      <c r="AN11" s="73"/>
      <c r="AO11" s="73"/>
      <c r="AP11" s="73">
        <v>0</v>
      </c>
      <c r="AQ11" s="73"/>
      <c r="AR11" s="73">
        <v>0</v>
      </c>
      <c r="AS11" s="73"/>
      <c r="AT11" s="73">
        <v>0</v>
      </c>
      <c r="AU11" s="73"/>
      <c r="AV11" s="73">
        <v>0</v>
      </c>
      <c r="AW11" s="73"/>
      <c r="AX11" s="73"/>
      <c r="AY11" s="73"/>
      <c r="AZ11" s="73"/>
      <c r="BA11" s="73"/>
      <c r="BB11" s="73">
        <v>0</v>
      </c>
      <c r="BC11" s="73"/>
      <c r="BD11" s="73">
        <v>0</v>
      </c>
      <c r="BE11" s="73"/>
      <c r="BF11" s="73">
        <v>0</v>
      </c>
      <c r="BG11" s="73"/>
      <c r="BH11" s="73">
        <v>0</v>
      </c>
      <c r="BI11" s="73"/>
      <c r="BJ11" s="73"/>
      <c r="BK11" s="73"/>
      <c r="BL11" s="73"/>
      <c r="BM11" s="73"/>
      <c r="BN11" s="73">
        <v>0</v>
      </c>
      <c r="BO11" s="73"/>
      <c r="BP11" s="73">
        <v>0</v>
      </c>
      <c r="BQ11" s="73"/>
      <c r="BR11" s="73">
        <v>0</v>
      </c>
      <c r="BS11" s="73"/>
      <c r="BT11" s="73">
        <v>0</v>
      </c>
      <c r="BU11" s="73"/>
      <c r="BV11" s="73"/>
      <c r="BW11" s="73"/>
      <c r="BX11" s="73"/>
      <c r="BY11" s="73"/>
      <c r="BZ11" s="73">
        <v>0</v>
      </c>
      <c r="CA11" s="73"/>
      <c r="CB11" s="73">
        <v>0</v>
      </c>
      <c r="CC11" s="73"/>
      <c r="CD11" s="73">
        <v>0</v>
      </c>
      <c r="CE11" s="73"/>
      <c r="CF11" s="73">
        <v>0</v>
      </c>
      <c r="CG11" s="73"/>
      <c r="CH11" s="73"/>
      <c r="CI11" s="73"/>
      <c r="CJ11" s="73"/>
      <c r="CK11" s="73"/>
      <c r="CL11" s="73">
        <v>0</v>
      </c>
      <c r="CM11" s="73"/>
      <c r="CN11" s="73">
        <v>0</v>
      </c>
      <c r="CO11" s="73"/>
      <c r="CP11" s="73">
        <v>0</v>
      </c>
      <c r="CQ11" s="73"/>
      <c r="CR11" s="73">
        <v>0</v>
      </c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</row>
    <row r="12" spans="2:138" ht="12.75">
      <c r="B12" s="55" t="s">
        <v>141</v>
      </c>
      <c r="D12" s="55" t="s">
        <v>70</v>
      </c>
      <c r="E12" s="68"/>
      <c r="F12" s="73">
        <f>F11*F10/1000000</f>
        <v>128.09999999999965</v>
      </c>
      <c r="G12" s="75"/>
      <c r="H12" s="73">
        <f>H11*H10/1000000</f>
        <v>108.89999999999964</v>
      </c>
      <c r="I12" s="75"/>
      <c r="J12" s="73">
        <f>J11*J10/1000000</f>
        <v>132.1</v>
      </c>
      <c r="K12" s="75"/>
      <c r="L12" s="73">
        <f>L11*L10/1000000</f>
        <v>142.2</v>
      </c>
      <c r="M12" s="75"/>
      <c r="N12" s="73"/>
      <c r="O12" s="75"/>
      <c r="P12" s="73"/>
      <c r="Q12" s="78"/>
      <c r="R12" s="73"/>
      <c r="S12" s="78"/>
      <c r="T12" s="73"/>
      <c r="U12" s="78"/>
      <c r="V12" s="73"/>
      <c r="W12" s="78"/>
      <c r="X12" s="73"/>
      <c r="Y12" s="78"/>
      <c r="Z12" s="73"/>
      <c r="AA12" s="78"/>
      <c r="AB12" s="73"/>
      <c r="AC12" s="73"/>
      <c r="AD12" s="73">
        <v>165</v>
      </c>
      <c r="AE12" s="73"/>
      <c r="AF12" s="73">
        <v>164</v>
      </c>
      <c r="AG12" s="73"/>
      <c r="AH12" s="73">
        <v>163</v>
      </c>
      <c r="AI12" s="73"/>
      <c r="AJ12" s="73">
        <v>154</v>
      </c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>
        <f>AD12</f>
        <v>165</v>
      </c>
      <c r="DK12" s="73"/>
      <c r="DL12" s="73">
        <f>AF12</f>
        <v>164</v>
      </c>
      <c r="DM12" s="73"/>
      <c r="DN12" s="73">
        <f>AH12</f>
        <v>163</v>
      </c>
      <c r="DO12" s="73"/>
      <c r="DP12" s="73">
        <f>AJ12</f>
        <v>154</v>
      </c>
      <c r="DQ12" s="73"/>
      <c r="DR12" s="73"/>
      <c r="DS12" s="73"/>
      <c r="DT12" s="73"/>
      <c r="DU12" s="73"/>
      <c r="DV12" s="73">
        <f>CL12+BZ12+BN12+BB12+AP12+AD12+R12/2+F12</f>
        <v>293.0999999999997</v>
      </c>
      <c r="DW12" s="73"/>
      <c r="DX12" s="73">
        <f>CN12+CB12+BP12+BD12+AR12+AF12+T12/2+H12</f>
        <v>272.89999999999964</v>
      </c>
      <c r="DY12" s="73"/>
      <c r="DZ12" s="73">
        <f>CP12+CD12+BR12+BF12+AT12+AH12+V12/2+J12</f>
        <v>295.1</v>
      </c>
      <c r="EA12" s="73"/>
      <c r="EB12" s="73">
        <f>CR12+CF12+BT12+BH12+AV12+AJ12+X12/2+L12</f>
        <v>296.2</v>
      </c>
      <c r="EC12" s="73"/>
      <c r="ED12" s="73"/>
      <c r="EE12" s="73"/>
      <c r="EF12" s="73"/>
      <c r="EG12" s="73"/>
      <c r="EH12" s="73">
        <f>AVERAGE(DV12,DX12,DZ12,EB12)</f>
        <v>289.3249999999998</v>
      </c>
    </row>
    <row r="13" spans="1:124" ht="12.75">
      <c r="A13" s="55" t="s">
        <v>175</v>
      </c>
      <c r="B13" s="55" t="s">
        <v>21</v>
      </c>
      <c r="D13" s="55" t="s">
        <v>155</v>
      </c>
      <c r="E13" s="68"/>
      <c r="F13" s="53">
        <v>16.5</v>
      </c>
      <c r="G13" s="68"/>
      <c r="H13" s="53">
        <v>10.9</v>
      </c>
      <c r="I13" s="68"/>
      <c r="J13" s="53">
        <v>14.2</v>
      </c>
      <c r="K13" s="68"/>
      <c r="L13" s="53">
        <v>14.3</v>
      </c>
      <c r="M13" s="68"/>
      <c r="N13" s="53"/>
      <c r="O13" s="68"/>
      <c r="P13" s="53"/>
      <c r="Q13" s="77" t="s">
        <v>13</v>
      </c>
      <c r="R13" s="53">
        <v>64.5</v>
      </c>
      <c r="S13" s="77" t="s">
        <v>13</v>
      </c>
      <c r="T13" s="53">
        <v>65</v>
      </c>
      <c r="U13" s="77" t="s">
        <v>13</v>
      </c>
      <c r="V13" s="53">
        <v>65</v>
      </c>
      <c r="W13" s="77" t="s">
        <v>13</v>
      </c>
      <c r="X13" s="53">
        <v>65.6</v>
      </c>
      <c r="Y13" s="77"/>
      <c r="Z13" s="53"/>
      <c r="AA13" s="77"/>
      <c r="AB13" s="53"/>
      <c r="AC13" s="53"/>
      <c r="AD13" s="53">
        <v>79.2</v>
      </c>
      <c r="AE13" s="53"/>
      <c r="AF13" s="53">
        <v>116</v>
      </c>
      <c r="AG13" s="53"/>
      <c r="AH13" s="53">
        <v>41</v>
      </c>
      <c r="AI13" s="53"/>
      <c r="AJ13" s="53">
        <v>76.7</v>
      </c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>
        <v>145</v>
      </c>
      <c r="CM13" s="53"/>
      <c r="CN13" s="53">
        <v>61.4</v>
      </c>
      <c r="CO13" s="53"/>
      <c r="CP13" s="53">
        <v>115</v>
      </c>
      <c r="CQ13" s="53"/>
      <c r="CR13" s="53">
        <v>83.3</v>
      </c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</row>
    <row r="14" spans="1:124" ht="12.75">
      <c r="A14" s="55" t="s">
        <v>175</v>
      </c>
      <c r="B14" s="55" t="s">
        <v>102</v>
      </c>
      <c r="D14" s="55" t="s">
        <v>155</v>
      </c>
      <c r="E14" s="68" t="s">
        <v>13</v>
      </c>
      <c r="F14" s="54">
        <v>0.0732</v>
      </c>
      <c r="G14" s="80" t="s">
        <v>13</v>
      </c>
      <c r="H14" s="54">
        <v>0.067</v>
      </c>
      <c r="I14" s="80"/>
      <c r="J14" s="54">
        <v>0.112</v>
      </c>
      <c r="K14" s="80" t="s">
        <v>13</v>
      </c>
      <c r="L14" s="54">
        <v>0.0659</v>
      </c>
      <c r="M14" s="80"/>
      <c r="N14" s="54"/>
      <c r="O14" s="80"/>
      <c r="P14" s="54"/>
      <c r="Q14" s="81" t="s">
        <v>13</v>
      </c>
      <c r="R14" s="54">
        <v>2.9</v>
      </c>
      <c r="S14" s="81" t="s">
        <v>13</v>
      </c>
      <c r="T14" s="54">
        <v>3.25</v>
      </c>
      <c r="U14" s="81" t="s">
        <v>13</v>
      </c>
      <c r="V14" s="54">
        <v>3.25</v>
      </c>
      <c r="W14" s="81" t="s">
        <v>13</v>
      </c>
      <c r="X14" s="54">
        <v>2.95</v>
      </c>
      <c r="Y14" s="81"/>
      <c r="Z14" s="54"/>
      <c r="AA14" s="81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>
        <v>0.00112</v>
      </c>
      <c r="AQ14" s="54"/>
      <c r="AR14" s="54">
        <v>0.00152</v>
      </c>
      <c r="AS14" s="54"/>
      <c r="AT14" s="54">
        <v>0.0304</v>
      </c>
      <c r="AU14" s="54"/>
      <c r="AV14" s="54">
        <v>0.000176</v>
      </c>
      <c r="AW14" s="54"/>
      <c r="AX14" s="54"/>
      <c r="AY14" s="54"/>
      <c r="AZ14" s="54"/>
      <c r="BA14" s="54"/>
      <c r="BB14" s="54">
        <v>0.0261</v>
      </c>
      <c r="BC14" s="54"/>
      <c r="BD14" s="54">
        <v>0.0491</v>
      </c>
      <c r="BE14" s="54"/>
      <c r="BF14" s="54">
        <v>0.0605</v>
      </c>
      <c r="BG14" s="54"/>
      <c r="BH14" s="54"/>
      <c r="BI14" s="54"/>
      <c r="BJ14" s="54"/>
      <c r="BK14" s="54"/>
      <c r="BL14" s="54"/>
      <c r="BM14" s="54"/>
      <c r="BN14" s="54">
        <v>0.000198</v>
      </c>
      <c r="BO14" s="54"/>
      <c r="BP14" s="54">
        <v>0.00121</v>
      </c>
      <c r="BQ14" s="54"/>
      <c r="BR14" s="54">
        <v>0.000573</v>
      </c>
      <c r="BS14" s="54"/>
      <c r="BT14" s="54">
        <v>0.000397</v>
      </c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</row>
    <row r="15" spans="1:124" ht="12.75">
      <c r="A15" s="55" t="s">
        <v>175</v>
      </c>
      <c r="B15" s="55" t="s">
        <v>98</v>
      </c>
      <c r="D15" s="55" t="s">
        <v>155</v>
      </c>
      <c r="E15" s="68"/>
      <c r="F15" s="54">
        <v>0.219</v>
      </c>
      <c r="G15" s="80"/>
      <c r="H15" s="54">
        <v>0.176</v>
      </c>
      <c r="I15" s="80"/>
      <c r="J15" s="54">
        <v>0.214</v>
      </c>
      <c r="K15" s="80"/>
      <c r="L15" s="54">
        <v>0.209</v>
      </c>
      <c r="M15" s="80"/>
      <c r="N15" s="54"/>
      <c r="O15" s="80"/>
      <c r="P15" s="54"/>
      <c r="Q15" s="81" t="s">
        <v>13</v>
      </c>
      <c r="R15" s="54">
        <v>0.323</v>
      </c>
      <c r="S15" s="81" t="s">
        <v>13</v>
      </c>
      <c r="T15" s="54">
        <v>0.325</v>
      </c>
      <c r="U15" s="81" t="s">
        <v>13</v>
      </c>
      <c r="V15" s="54">
        <v>0.325</v>
      </c>
      <c r="W15" s="81" t="s">
        <v>13</v>
      </c>
      <c r="X15" s="54">
        <v>0.328</v>
      </c>
      <c r="Y15" s="81"/>
      <c r="Z15" s="54"/>
      <c r="AA15" s="81"/>
      <c r="AB15" s="54"/>
      <c r="AC15" s="54"/>
      <c r="AD15" s="54"/>
      <c r="AE15" s="54"/>
      <c r="AF15" s="54">
        <v>0.00816</v>
      </c>
      <c r="AG15" s="54"/>
      <c r="AH15" s="54">
        <v>0.00595</v>
      </c>
      <c r="AI15" s="54"/>
      <c r="AJ15" s="54"/>
      <c r="AK15" s="54"/>
      <c r="AL15" s="54"/>
      <c r="AM15" s="54"/>
      <c r="AN15" s="54"/>
      <c r="AO15" s="54"/>
      <c r="AP15" s="54">
        <v>0.000882</v>
      </c>
      <c r="AQ15" s="54"/>
      <c r="AR15" s="54">
        <v>0.0211</v>
      </c>
      <c r="AS15" s="54"/>
      <c r="AT15" s="54">
        <v>0.00218</v>
      </c>
      <c r="AU15" s="54"/>
      <c r="AV15" s="54">
        <v>0.0034</v>
      </c>
      <c r="AW15" s="54"/>
      <c r="AX15" s="54"/>
      <c r="AY15" s="54"/>
      <c r="AZ15" s="54"/>
      <c r="BA15" s="54"/>
      <c r="BB15" s="54">
        <v>0.00877</v>
      </c>
      <c r="BC15" s="54"/>
      <c r="BD15" s="54">
        <v>0.0255</v>
      </c>
      <c r="BE15" s="54"/>
      <c r="BF15" s="54"/>
      <c r="BG15" s="54"/>
      <c r="BH15" s="54"/>
      <c r="BI15" s="54"/>
      <c r="BJ15" s="54"/>
      <c r="BK15" s="54"/>
      <c r="BL15" s="54"/>
      <c r="BM15" s="54"/>
      <c r="BN15" s="54">
        <v>0.223</v>
      </c>
      <c r="BO15" s="54"/>
      <c r="BP15" s="54">
        <v>0.462</v>
      </c>
      <c r="BQ15" s="54"/>
      <c r="BR15" s="54">
        <v>0.344</v>
      </c>
      <c r="BS15" s="54"/>
      <c r="BT15" s="54">
        <v>0.396</v>
      </c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>
        <v>0.00617</v>
      </c>
      <c r="CO15" s="54"/>
      <c r="CP15" s="54">
        <v>0.0123</v>
      </c>
      <c r="CQ15" s="54"/>
      <c r="CR15" s="54">
        <v>0.00926</v>
      </c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</row>
    <row r="16" spans="1:124" ht="12.75">
      <c r="A16" s="55" t="s">
        <v>175</v>
      </c>
      <c r="B16" s="55" t="s">
        <v>99</v>
      </c>
      <c r="D16" s="55" t="s">
        <v>155</v>
      </c>
      <c r="E16" s="68"/>
      <c r="F16" s="54">
        <v>0.457</v>
      </c>
      <c r="G16" s="80"/>
      <c r="H16" s="54">
        <v>0.0503</v>
      </c>
      <c r="I16" s="80"/>
      <c r="J16" s="54">
        <v>0.417</v>
      </c>
      <c r="K16" s="80"/>
      <c r="L16" s="54">
        <v>0.55</v>
      </c>
      <c r="M16" s="80"/>
      <c r="N16" s="54"/>
      <c r="O16" s="80"/>
      <c r="P16" s="54"/>
      <c r="Q16" s="81" t="s">
        <v>13</v>
      </c>
      <c r="R16" s="54">
        <v>6.45</v>
      </c>
      <c r="S16" s="81" t="s">
        <v>13</v>
      </c>
      <c r="T16" s="54">
        <v>6.5</v>
      </c>
      <c r="U16" s="81" t="s">
        <v>13</v>
      </c>
      <c r="V16" s="54">
        <v>6.5</v>
      </c>
      <c r="W16" s="81" t="s">
        <v>13</v>
      </c>
      <c r="X16" s="54">
        <v>6.56</v>
      </c>
      <c r="Y16" s="81"/>
      <c r="Z16" s="54"/>
      <c r="AA16" s="81"/>
      <c r="AB16" s="54"/>
      <c r="AC16" s="54"/>
      <c r="AD16" s="54"/>
      <c r="AE16" s="54"/>
      <c r="AF16" s="54"/>
      <c r="AG16" s="54"/>
      <c r="AH16" s="54">
        <v>0.119</v>
      </c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>
        <v>0.000132</v>
      </c>
      <c r="BO16" s="54"/>
      <c r="BP16" s="54">
        <v>0.000309</v>
      </c>
      <c r="BQ16" s="54"/>
      <c r="BR16" s="54">
        <v>0.000198</v>
      </c>
      <c r="BS16" s="54"/>
      <c r="BT16" s="54">
        <v>0.000309</v>
      </c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</row>
    <row r="17" spans="1:124" ht="12.75">
      <c r="A17" s="55" t="s">
        <v>175</v>
      </c>
      <c r="B17" s="55" t="s">
        <v>100</v>
      </c>
      <c r="D17" s="55" t="s">
        <v>155</v>
      </c>
      <c r="E17" s="68"/>
      <c r="F17" s="54">
        <v>0.0284</v>
      </c>
      <c r="G17" s="80"/>
      <c r="H17" s="54">
        <v>0.0276</v>
      </c>
      <c r="I17" s="80"/>
      <c r="J17" s="54">
        <v>0.0234</v>
      </c>
      <c r="K17" s="80"/>
      <c r="L17" s="54">
        <v>0.0375</v>
      </c>
      <c r="M17" s="80"/>
      <c r="N17" s="54"/>
      <c r="O17" s="80"/>
      <c r="P17" s="54"/>
      <c r="Q17" s="81" t="s">
        <v>13</v>
      </c>
      <c r="R17" s="54">
        <v>0.161</v>
      </c>
      <c r="S17" s="81" t="s">
        <v>13</v>
      </c>
      <c r="T17" s="54">
        <v>0.162</v>
      </c>
      <c r="U17" s="81" t="s">
        <v>13</v>
      </c>
      <c r="V17" s="54">
        <v>0.162</v>
      </c>
      <c r="W17" s="81" t="s">
        <v>13</v>
      </c>
      <c r="X17" s="54">
        <v>0.164</v>
      </c>
      <c r="Y17" s="81"/>
      <c r="Z17" s="54"/>
      <c r="AA17" s="81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>
        <v>0.0131</v>
      </c>
      <c r="CA17" s="54"/>
      <c r="CB17" s="54">
        <v>0.0131</v>
      </c>
      <c r="CC17" s="54"/>
      <c r="CD17" s="54">
        <v>0.0131</v>
      </c>
      <c r="CE17" s="54"/>
      <c r="CF17" s="54">
        <v>0.0131</v>
      </c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</row>
    <row r="18" spans="1:124" ht="12.75">
      <c r="A18" s="55" t="s">
        <v>175</v>
      </c>
      <c r="B18" s="55" t="s">
        <v>105</v>
      </c>
      <c r="D18" s="55" t="s">
        <v>155</v>
      </c>
      <c r="E18" s="68"/>
      <c r="F18" s="54">
        <v>0.00551</v>
      </c>
      <c r="G18" s="80"/>
      <c r="H18" s="54">
        <v>0.00419</v>
      </c>
      <c r="I18" s="80"/>
      <c r="J18" s="54">
        <v>0.0214</v>
      </c>
      <c r="K18" s="80"/>
      <c r="L18" s="54">
        <v>0.0165</v>
      </c>
      <c r="M18" s="80"/>
      <c r="N18" s="54"/>
      <c r="O18" s="80"/>
      <c r="P18" s="54"/>
      <c r="Q18" s="81" t="s">
        <v>13</v>
      </c>
      <c r="R18" s="54">
        <v>0.161</v>
      </c>
      <c r="S18" s="81" t="s">
        <v>13</v>
      </c>
      <c r="T18" s="54">
        <v>0.162</v>
      </c>
      <c r="U18" s="81" t="s">
        <v>13</v>
      </c>
      <c r="V18" s="54">
        <v>0.162</v>
      </c>
      <c r="W18" s="81" t="s">
        <v>13</v>
      </c>
      <c r="X18" s="54">
        <v>0.164</v>
      </c>
      <c r="Y18" s="81"/>
      <c r="Z18" s="54"/>
      <c r="AA18" s="81"/>
      <c r="AB18" s="54"/>
      <c r="AC18" s="54"/>
      <c r="AD18" s="54">
        <v>0.0121</v>
      </c>
      <c r="AE18" s="54"/>
      <c r="AF18" s="54">
        <v>0.0074844</v>
      </c>
      <c r="AG18" s="54"/>
      <c r="AH18" s="54">
        <v>0.0214</v>
      </c>
      <c r="AI18" s="54"/>
      <c r="AJ18" s="54">
        <v>0.00551</v>
      </c>
      <c r="AK18" s="54"/>
      <c r="AL18" s="54"/>
      <c r="AM18" s="54"/>
      <c r="AN18" s="54"/>
      <c r="AO18" s="54"/>
      <c r="AP18" s="54">
        <v>0.0273</v>
      </c>
      <c r="AQ18" s="54"/>
      <c r="AR18" s="54">
        <v>0.326</v>
      </c>
      <c r="AS18" s="54"/>
      <c r="AT18" s="54">
        <v>0.0417</v>
      </c>
      <c r="AU18" s="54"/>
      <c r="AV18" s="54">
        <v>0.055</v>
      </c>
      <c r="AW18" s="54"/>
      <c r="AX18" s="54"/>
      <c r="AY18" s="54"/>
      <c r="AZ18" s="54"/>
      <c r="BA18" s="54"/>
      <c r="BB18" s="54">
        <v>0.208</v>
      </c>
      <c r="BC18" s="54"/>
      <c r="BD18" s="54">
        <v>0.231</v>
      </c>
      <c r="BE18" s="54"/>
      <c r="BF18" s="54">
        <v>0.0491</v>
      </c>
      <c r="BG18" s="54"/>
      <c r="BH18" s="54">
        <v>0.0105</v>
      </c>
      <c r="BI18" s="54"/>
      <c r="BJ18" s="54"/>
      <c r="BK18" s="54"/>
      <c r="BL18" s="54"/>
      <c r="BM18" s="54"/>
      <c r="BN18" s="54">
        <v>4.69</v>
      </c>
      <c r="BO18" s="54"/>
      <c r="BP18" s="54">
        <v>4.48</v>
      </c>
      <c r="BQ18" s="54"/>
      <c r="BR18" s="54">
        <v>4.1</v>
      </c>
      <c r="BS18" s="54"/>
      <c r="BT18" s="54">
        <v>5.68</v>
      </c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>
        <v>0.0238</v>
      </c>
      <c r="CM18" s="54"/>
      <c r="CN18" s="54">
        <v>0.0159</v>
      </c>
      <c r="CO18" s="54"/>
      <c r="CP18" s="54">
        <v>0.00926</v>
      </c>
      <c r="CQ18" s="54"/>
      <c r="CR18" s="54">
        <v>0.00507</v>
      </c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</row>
    <row r="19" spans="1:124" ht="12.75">
      <c r="A19" s="55" t="s">
        <v>175</v>
      </c>
      <c r="B19" s="55" t="s">
        <v>107</v>
      </c>
      <c r="D19" s="55" t="s">
        <v>155</v>
      </c>
      <c r="E19" s="68"/>
      <c r="F19" s="54">
        <v>0.146</v>
      </c>
      <c r="G19" s="80"/>
      <c r="H19" s="54">
        <v>0.134</v>
      </c>
      <c r="I19" s="80"/>
      <c r="J19" s="54">
        <v>0.183</v>
      </c>
      <c r="K19" s="80"/>
      <c r="L19" s="54">
        <v>0.187</v>
      </c>
      <c r="M19" s="80"/>
      <c r="N19" s="54"/>
      <c r="O19" s="80"/>
      <c r="P19" s="54"/>
      <c r="Q19" s="81"/>
      <c r="R19" s="54">
        <v>0.645</v>
      </c>
      <c r="S19" s="81"/>
      <c r="T19" s="54">
        <v>0.65</v>
      </c>
      <c r="U19" s="81"/>
      <c r="V19" s="54">
        <v>1.63</v>
      </c>
      <c r="W19" s="81"/>
      <c r="X19" s="54">
        <v>0.984</v>
      </c>
      <c r="Y19" s="81"/>
      <c r="Z19" s="54"/>
      <c r="AA19" s="81"/>
      <c r="AB19" s="54"/>
      <c r="AC19" s="54"/>
      <c r="AD19" s="54">
        <v>0.0342</v>
      </c>
      <c r="AE19" s="54"/>
      <c r="AF19" s="54">
        <v>0.0395</v>
      </c>
      <c r="AG19" s="54"/>
      <c r="AH19" s="54">
        <v>0.0337</v>
      </c>
      <c r="AI19" s="54"/>
      <c r="AJ19" s="54">
        <v>0.0165</v>
      </c>
      <c r="AK19" s="54"/>
      <c r="AL19" s="54"/>
      <c r="AM19" s="54"/>
      <c r="AN19" s="54"/>
      <c r="AO19" s="54"/>
      <c r="AP19" s="54">
        <v>3.39</v>
      </c>
      <c r="AQ19" s="54"/>
      <c r="AR19" s="54">
        <v>6.21</v>
      </c>
      <c r="AS19" s="54"/>
      <c r="AT19" s="54">
        <v>5.84</v>
      </c>
      <c r="AU19" s="54"/>
      <c r="AV19" s="54">
        <v>5.35</v>
      </c>
      <c r="AW19" s="54"/>
      <c r="AX19" s="54"/>
      <c r="AY19" s="54"/>
      <c r="AZ19" s="54"/>
      <c r="BA19" s="54"/>
      <c r="BB19" s="54">
        <v>0.0209</v>
      </c>
      <c r="BC19" s="54"/>
      <c r="BD19" s="54">
        <v>0.0627</v>
      </c>
      <c r="BE19" s="54"/>
      <c r="BF19" s="54">
        <v>0.0179</v>
      </c>
      <c r="BG19" s="54"/>
      <c r="BH19" s="54">
        <v>0.0246</v>
      </c>
      <c r="BI19" s="54"/>
      <c r="BJ19" s="54"/>
      <c r="BK19" s="54"/>
      <c r="BL19" s="54"/>
      <c r="BM19" s="54"/>
      <c r="BN19" s="54">
        <v>0.241</v>
      </c>
      <c r="BO19" s="54"/>
      <c r="BP19" s="54">
        <v>0.0633</v>
      </c>
      <c r="BQ19" s="54"/>
      <c r="BR19" s="54">
        <v>0.0393</v>
      </c>
      <c r="BS19" s="54"/>
      <c r="BT19" s="54">
        <v>0.0832</v>
      </c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>
        <v>0.0483</v>
      </c>
      <c r="CM19" s="54"/>
      <c r="CN19" s="54">
        <v>0.0304</v>
      </c>
      <c r="CO19" s="54"/>
      <c r="CP19" s="54">
        <v>0.0551</v>
      </c>
      <c r="CQ19" s="54"/>
      <c r="CR19" s="54">
        <v>0.0196</v>
      </c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</row>
    <row r="20" spans="1:124" ht="12.75">
      <c r="A20" s="55" t="s">
        <v>175</v>
      </c>
      <c r="B20" s="55" t="s">
        <v>191</v>
      </c>
      <c r="D20" s="55" t="s">
        <v>155</v>
      </c>
      <c r="E20" s="68"/>
      <c r="F20" s="54"/>
      <c r="G20" s="80"/>
      <c r="H20" s="54"/>
      <c r="I20" s="80"/>
      <c r="J20" s="54"/>
      <c r="K20" s="80"/>
      <c r="L20" s="54"/>
      <c r="M20" s="80"/>
      <c r="N20" s="54"/>
      <c r="O20" s="80"/>
      <c r="P20" s="54"/>
      <c r="Q20" s="81"/>
      <c r="R20" s="54"/>
      <c r="S20" s="81"/>
      <c r="T20" s="54"/>
      <c r="U20" s="81"/>
      <c r="V20" s="54"/>
      <c r="W20" s="81"/>
      <c r="X20" s="54"/>
      <c r="Y20" s="81"/>
      <c r="Z20" s="54"/>
      <c r="AA20" s="81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>
        <v>2.72</v>
      </c>
      <c r="AQ20" s="54"/>
      <c r="AR20" s="54">
        <v>5.42</v>
      </c>
      <c r="AS20" s="54"/>
      <c r="AT20" s="54">
        <v>4.67</v>
      </c>
      <c r="AU20" s="54"/>
      <c r="AV20" s="54">
        <v>3.74</v>
      </c>
      <c r="AW20" s="54"/>
      <c r="AX20" s="54"/>
      <c r="AY20" s="54"/>
      <c r="AZ20" s="54"/>
      <c r="BA20" s="54"/>
      <c r="BB20" s="54">
        <v>0.024</v>
      </c>
      <c r="BC20" s="54"/>
      <c r="BD20" s="54">
        <v>0.00992</v>
      </c>
      <c r="BE20" s="54"/>
      <c r="BF20" s="54">
        <v>0.0249</v>
      </c>
      <c r="BG20" s="54"/>
      <c r="BH20" s="54"/>
      <c r="BI20" s="54"/>
      <c r="BJ20" s="54"/>
      <c r="BK20" s="54"/>
      <c r="BL20" s="54"/>
      <c r="BM20" s="54"/>
      <c r="BN20" s="54">
        <v>0.0539</v>
      </c>
      <c r="BO20" s="54"/>
      <c r="BP20" s="54"/>
      <c r="BQ20" s="54"/>
      <c r="BR20" s="54"/>
      <c r="BS20" s="54"/>
      <c r="BT20" s="54">
        <v>0.000551</v>
      </c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</row>
    <row r="21" spans="1:124" ht="12.75">
      <c r="A21" s="55" t="s">
        <v>175</v>
      </c>
      <c r="B21" s="55" t="s">
        <v>103</v>
      </c>
      <c r="D21" s="55" t="s">
        <v>155</v>
      </c>
      <c r="E21" s="68"/>
      <c r="F21" s="54">
        <v>0.11</v>
      </c>
      <c r="G21" s="80"/>
      <c r="H21" s="54">
        <v>0.0922</v>
      </c>
      <c r="I21" s="80"/>
      <c r="J21" s="54">
        <v>0.234</v>
      </c>
      <c r="K21" s="80"/>
      <c r="L21" s="54">
        <v>0.22</v>
      </c>
      <c r="M21" s="80"/>
      <c r="N21" s="54"/>
      <c r="O21" s="80"/>
      <c r="P21" s="54"/>
      <c r="Q21" s="81"/>
      <c r="R21" s="54">
        <v>1.29</v>
      </c>
      <c r="S21" s="81"/>
      <c r="T21" s="54">
        <v>0.975</v>
      </c>
      <c r="U21" s="81"/>
      <c r="V21" s="54">
        <v>1.63</v>
      </c>
      <c r="W21" s="81"/>
      <c r="X21" s="54">
        <v>1.97</v>
      </c>
      <c r="Y21" s="81"/>
      <c r="Z21" s="54"/>
      <c r="AA21" s="81"/>
      <c r="AB21" s="54"/>
      <c r="AC21" s="54"/>
      <c r="AD21" s="54">
        <v>0.232</v>
      </c>
      <c r="AE21" s="54"/>
      <c r="AF21" s="54">
        <v>0.136</v>
      </c>
      <c r="AG21" s="54"/>
      <c r="AH21" s="54">
        <v>0.261</v>
      </c>
      <c r="AI21" s="54"/>
      <c r="AJ21" s="54">
        <v>0.241</v>
      </c>
      <c r="AK21" s="54"/>
      <c r="AL21" s="54"/>
      <c r="AM21" s="54"/>
      <c r="AN21" s="54"/>
      <c r="AO21" s="54"/>
      <c r="AP21" s="54">
        <v>0.0188</v>
      </c>
      <c r="AQ21" s="54"/>
      <c r="AR21" s="54">
        <v>0.35</v>
      </c>
      <c r="AS21" s="54"/>
      <c r="AT21" s="54">
        <v>0.0728</v>
      </c>
      <c r="AU21" s="54"/>
      <c r="AV21" s="54">
        <v>0.0609</v>
      </c>
      <c r="AW21" s="54"/>
      <c r="AX21" s="54"/>
      <c r="AY21" s="54"/>
      <c r="AZ21" s="54"/>
      <c r="BA21" s="54"/>
      <c r="BB21" s="54">
        <v>4.45</v>
      </c>
      <c r="BC21" s="54"/>
      <c r="BD21" s="54">
        <v>14.1</v>
      </c>
      <c r="BE21" s="54"/>
      <c r="BF21" s="54">
        <v>6.1</v>
      </c>
      <c r="BG21" s="54"/>
      <c r="BH21" s="54">
        <v>5.3</v>
      </c>
      <c r="BI21" s="54"/>
      <c r="BJ21" s="54"/>
      <c r="BK21" s="54"/>
      <c r="BL21" s="54"/>
      <c r="BM21" s="54"/>
      <c r="BN21" s="54">
        <v>0.0813</v>
      </c>
      <c r="BO21" s="54"/>
      <c r="BP21" s="54">
        <v>0.0635</v>
      </c>
      <c r="BQ21" s="54"/>
      <c r="BR21" s="54">
        <v>0.0176</v>
      </c>
      <c r="BS21" s="54"/>
      <c r="BT21" s="54">
        <v>0.164</v>
      </c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>
        <v>0.23</v>
      </c>
      <c r="CM21" s="54"/>
      <c r="CN21" s="54">
        <v>0.0529</v>
      </c>
      <c r="CO21" s="54"/>
      <c r="CP21" s="54">
        <v>0.215</v>
      </c>
      <c r="CQ21" s="54"/>
      <c r="CR21" s="54">
        <v>0.179</v>
      </c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</row>
    <row r="22" spans="1:124" ht="12.75">
      <c r="A22" s="55" t="s">
        <v>175</v>
      </c>
      <c r="B22" s="55" t="s">
        <v>110</v>
      </c>
      <c r="D22" s="55" t="s">
        <v>155</v>
      </c>
      <c r="E22" s="68"/>
      <c r="F22" s="54">
        <v>0.00463</v>
      </c>
      <c r="G22" s="80"/>
      <c r="H22" s="54">
        <v>0.00507</v>
      </c>
      <c r="I22" s="80"/>
      <c r="J22" s="54">
        <v>0.00507</v>
      </c>
      <c r="K22" s="80"/>
      <c r="L22" s="54">
        <v>0.00551</v>
      </c>
      <c r="M22" s="80"/>
      <c r="N22" s="54"/>
      <c r="O22" s="80"/>
      <c r="P22" s="54"/>
      <c r="Q22" s="81" t="s">
        <v>13</v>
      </c>
      <c r="R22" s="54">
        <v>0.0322</v>
      </c>
      <c r="S22" s="81" t="s">
        <v>13</v>
      </c>
      <c r="T22" s="54">
        <v>0.0324</v>
      </c>
      <c r="U22" s="81" t="s">
        <v>13</v>
      </c>
      <c r="V22" s="54">
        <v>0.0324</v>
      </c>
      <c r="W22" s="81" t="s">
        <v>13</v>
      </c>
      <c r="X22" s="54">
        <v>0.0328</v>
      </c>
      <c r="Y22" s="81"/>
      <c r="Z22" s="54"/>
      <c r="AA22" s="81"/>
      <c r="AB22" s="54"/>
      <c r="AC22" s="54"/>
      <c r="AD22" s="54">
        <v>0.00132</v>
      </c>
      <c r="AE22" s="54"/>
      <c r="AF22" s="54">
        <v>0.00132</v>
      </c>
      <c r="AG22" s="54"/>
      <c r="AH22" s="54">
        <v>0.00243</v>
      </c>
      <c r="AI22" s="54"/>
      <c r="AJ22" s="54"/>
      <c r="AK22" s="54"/>
      <c r="AL22" s="54"/>
      <c r="AM22" s="54"/>
      <c r="AN22" s="54"/>
      <c r="AO22" s="54"/>
      <c r="AP22" s="54">
        <v>4.41E-05</v>
      </c>
      <c r="AQ22" s="54"/>
      <c r="AR22" s="54">
        <v>0.000132</v>
      </c>
      <c r="AS22" s="54"/>
      <c r="AT22" s="54">
        <v>8.82E-05</v>
      </c>
      <c r="AU22" s="54"/>
      <c r="AV22" s="54">
        <v>6.61E-05</v>
      </c>
      <c r="AW22" s="54"/>
      <c r="AX22" s="54"/>
      <c r="AY22" s="54"/>
      <c r="AZ22" s="54"/>
      <c r="BA22" s="54"/>
      <c r="BB22" s="54">
        <v>0.000507</v>
      </c>
      <c r="BC22" s="54"/>
      <c r="BD22" s="54">
        <v>0.000595</v>
      </c>
      <c r="BE22" s="54"/>
      <c r="BF22" s="54">
        <v>0.0013</v>
      </c>
      <c r="BG22" s="54"/>
      <c r="BH22" s="54"/>
      <c r="BI22" s="54"/>
      <c r="BJ22" s="54"/>
      <c r="BK22" s="54"/>
      <c r="BL22" s="54"/>
      <c r="BM22" s="54"/>
      <c r="BN22" s="54">
        <v>2.2E-05</v>
      </c>
      <c r="BO22" s="54"/>
      <c r="BP22" s="54">
        <v>2.2E-05</v>
      </c>
      <c r="BQ22" s="54"/>
      <c r="BR22" s="54">
        <v>2.2E-05</v>
      </c>
      <c r="BS22" s="54"/>
      <c r="BT22" s="54">
        <v>2.2E-05</v>
      </c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>
        <v>0.000661</v>
      </c>
      <c r="CQ22" s="54"/>
      <c r="CR22" s="54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</row>
    <row r="23" spans="1:124" ht="12.75">
      <c r="A23" s="55" t="s">
        <v>175</v>
      </c>
      <c r="B23" s="55" t="s">
        <v>104</v>
      </c>
      <c r="D23" s="55" t="s">
        <v>155</v>
      </c>
      <c r="E23" s="68"/>
      <c r="F23" s="54">
        <v>0.155</v>
      </c>
      <c r="G23" s="80"/>
      <c r="H23" s="54">
        <v>0.142</v>
      </c>
      <c r="I23" s="80"/>
      <c r="J23" s="54">
        <v>0.142</v>
      </c>
      <c r="K23" s="80"/>
      <c r="L23" s="54">
        <v>0.187</v>
      </c>
      <c r="M23" s="80"/>
      <c r="N23" s="54"/>
      <c r="O23" s="80"/>
      <c r="P23" s="54"/>
      <c r="Q23" s="81" t="s">
        <v>13</v>
      </c>
      <c r="R23" s="54">
        <v>1.29</v>
      </c>
      <c r="S23" s="81" t="s">
        <v>13</v>
      </c>
      <c r="T23" s="54">
        <v>1.3</v>
      </c>
      <c r="U23" s="81"/>
      <c r="V23" s="54">
        <v>1.95</v>
      </c>
      <c r="W23" s="81" t="s">
        <v>13</v>
      </c>
      <c r="X23" s="54">
        <v>1.31</v>
      </c>
      <c r="Y23" s="81"/>
      <c r="Z23" s="54"/>
      <c r="AA23" s="81"/>
      <c r="AB23" s="54"/>
      <c r="AC23" s="54"/>
      <c r="AD23" s="54">
        <v>0.0183</v>
      </c>
      <c r="AE23" s="54"/>
      <c r="AF23" s="54"/>
      <c r="AG23" s="54"/>
      <c r="AH23" s="54">
        <v>0.0238</v>
      </c>
      <c r="AI23" s="54"/>
      <c r="AJ23" s="54"/>
      <c r="AK23" s="54"/>
      <c r="AL23" s="54"/>
      <c r="AM23" s="54"/>
      <c r="AN23" s="54"/>
      <c r="AO23" s="54"/>
      <c r="AP23" s="54">
        <v>0.0214</v>
      </c>
      <c r="AQ23" s="54"/>
      <c r="AR23" s="54">
        <v>0.0373</v>
      </c>
      <c r="AS23" s="54"/>
      <c r="AT23" s="54">
        <v>0.0306</v>
      </c>
      <c r="AU23" s="54"/>
      <c r="AV23" s="54">
        <v>0.0279</v>
      </c>
      <c r="AW23" s="54"/>
      <c r="AX23" s="54"/>
      <c r="AY23" s="54"/>
      <c r="AZ23" s="54"/>
      <c r="BA23" s="54"/>
      <c r="BB23" s="54">
        <v>0.151</v>
      </c>
      <c r="BC23" s="54"/>
      <c r="BD23" s="54">
        <v>0.194</v>
      </c>
      <c r="BE23" s="54"/>
      <c r="BF23" s="54">
        <v>0.208</v>
      </c>
      <c r="BG23" s="54"/>
      <c r="BH23" s="54"/>
      <c r="BI23" s="54"/>
      <c r="BJ23" s="54"/>
      <c r="BK23" s="54"/>
      <c r="BL23" s="54"/>
      <c r="BM23" s="54"/>
      <c r="BN23" s="54">
        <v>0.0102</v>
      </c>
      <c r="BO23" s="54"/>
      <c r="BP23" s="54">
        <v>0.0119</v>
      </c>
      <c r="BQ23" s="54"/>
      <c r="BR23" s="54">
        <v>0.0078</v>
      </c>
      <c r="BS23" s="54"/>
      <c r="BT23" s="54">
        <v>0.00972</v>
      </c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</row>
    <row r="24" spans="1:124" ht="12.75">
      <c r="A24" s="55" t="s">
        <v>175</v>
      </c>
      <c r="B24" s="55" t="s">
        <v>106</v>
      </c>
      <c r="D24" s="55" t="s">
        <v>155</v>
      </c>
      <c r="E24" s="68" t="s">
        <v>13</v>
      </c>
      <c r="F24" s="54">
        <v>0.00816</v>
      </c>
      <c r="G24" s="80" t="s">
        <v>13</v>
      </c>
      <c r="H24" s="54">
        <v>0.00661</v>
      </c>
      <c r="I24" s="80" t="s">
        <v>13</v>
      </c>
      <c r="J24" s="54">
        <v>0.0101</v>
      </c>
      <c r="K24" s="80" t="s">
        <v>13</v>
      </c>
      <c r="L24" s="54">
        <v>0.00661</v>
      </c>
      <c r="M24" s="80"/>
      <c r="N24" s="54"/>
      <c r="O24" s="80"/>
      <c r="P24" s="54"/>
      <c r="Q24" s="81" t="s">
        <v>13</v>
      </c>
      <c r="R24" s="54">
        <v>0.29</v>
      </c>
      <c r="S24" s="81" t="s">
        <v>13</v>
      </c>
      <c r="T24" s="54">
        <v>0.325</v>
      </c>
      <c r="U24" s="81" t="s">
        <v>13</v>
      </c>
      <c r="V24" s="54">
        <v>0.325</v>
      </c>
      <c r="W24" s="81" t="s">
        <v>13</v>
      </c>
      <c r="X24" s="54">
        <v>0.295</v>
      </c>
      <c r="Y24" s="81"/>
      <c r="Z24" s="54"/>
      <c r="AA24" s="81"/>
      <c r="AB24" s="54"/>
      <c r="AC24" s="54"/>
      <c r="AD24" s="54"/>
      <c r="AE24" s="54"/>
      <c r="AF24" s="54"/>
      <c r="AG24" s="54"/>
      <c r="AH24" s="54">
        <v>0.00529</v>
      </c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>
        <v>2.2E-05</v>
      </c>
      <c r="BC24" s="54"/>
      <c r="BD24" s="54">
        <v>4.41E-05</v>
      </c>
      <c r="BE24" s="54"/>
      <c r="BF24" s="54">
        <v>4.41E-05</v>
      </c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>
        <v>0.00926</v>
      </c>
      <c r="CQ24" s="54"/>
      <c r="CR24" s="54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</row>
    <row r="25" spans="1:124" ht="12.75">
      <c r="A25" s="55" t="s">
        <v>175</v>
      </c>
      <c r="B25" s="55" t="s">
        <v>101</v>
      </c>
      <c r="D25" s="55" t="s">
        <v>155</v>
      </c>
      <c r="E25" s="68" t="s">
        <v>13</v>
      </c>
      <c r="F25" s="54">
        <v>0.00904</v>
      </c>
      <c r="G25" s="80" t="s">
        <v>13</v>
      </c>
      <c r="H25" s="54">
        <v>0.0075</v>
      </c>
      <c r="I25" s="80" t="s">
        <v>13</v>
      </c>
      <c r="J25" s="54">
        <v>0.00705</v>
      </c>
      <c r="K25" s="80" t="s">
        <v>13</v>
      </c>
      <c r="L25" s="54">
        <v>0.00992</v>
      </c>
      <c r="M25" s="80"/>
      <c r="N25" s="54"/>
      <c r="O25" s="80"/>
      <c r="P25" s="54"/>
      <c r="Q25" s="81" t="s">
        <v>13</v>
      </c>
      <c r="R25" s="54">
        <v>0.323</v>
      </c>
      <c r="S25" s="81" t="s">
        <v>13</v>
      </c>
      <c r="T25" s="54">
        <v>0.325</v>
      </c>
      <c r="U25" s="81" t="s">
        <v>13</v>
      </c>
      <c r="V25" s="54">
        <v>0.325</v>
      </c>
      <c r="W25" s="81" t="s">
        <v>13</v>
      </c>
      <c r="X25" s="54">
        <v>0.328</v>
      </c>
      <c r="Y25" s="77"/>
      <c r="Z25" s="53"/>
      <c r="AA25" s="77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</row>
    <row r="26" spans="5:124" ht="12.75">
      <c r="E26" s="68"/>
      <c r="F26" s="53"/>
      <c r="G26" s="68"/>
      <c r="H26" s="53"/>
      <c r="I26" s="68"/>
      <c r="J26" s="53"/>
      <c r="K26" s="68"/>
      <c r="L26" s="53"/>
      <c r="M26" s="68"/>
      <c r="N26" s="53"/>
      <c r="O26" s="68"/>
      <c r="P26" s="53"/>
      <c r="Q26" s="77"/>
      <c r="R26" s="53"/>
      <c r="S26" s="77"/>
      <c r="T26" s="53"/>
      <c r="U26" s="77"/>
      <c r="V26" s="53"/>
      <c r="W26" s="77"/>
      <c r="X26" s="53"/>
      <c r="Y26" s="77"/>
      <c r="Z26" s="53"/>
      <c r="AA26" s="77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</row>
    <row r="27" spans="2:124" ht="12.75">
      <c r="B27" s="16" t="s">
        <v>68</v>
      </c>
      <c r="C27" s="16"/>
      <c r="D27" s="16" t="s">
        <v>16</v>
      </c>
      <c r="E27" s="68"/>
      <c r="F27" s="73">
        <f>'emiss 2'!$G$40</f>
        <v>155800</v>
      </c>
      <c r="G27" s="75"/>
      <c r="H27" s="73">
        <f>'emiss 2'!$I$40</f>
        <v>143300</v>
      </c>
      <c r="I27" s="75"/>
      <c r="J27" s="73">
        <f>'emiss 2'!$K$40</f>
        <v>147600</v>
      </c>
      <c r="K27" s="75"/>
      <c r="L27" s="73">
        <f>'emiss 2'!$M$40</f>
        <v>148200</v>
      </c>
      <c r="M27" s="75"/>
      <c r="N27" s="73"/>
      <c r="O27" s="75"/>
      <c r="P27" s="73"/>
      <c r="Q27" s="78"/>
      <c r="R27" s="73">
        <f>'emiss 2'!$G$40</f>
        <v>155800</v>
      </c>
      <c r="S27" s="75"/>
      <c r="T27" s="73">
        <f>'emiss 2'!$I$40</f>
        <v>143300</v>
      </c>
      <c r="U27" s="75"/>
      <c r="V27" s="73">
        <f>'emiss 2'!$K$40</f>
        <v>147600</v>
      </c>
      <c r="W27" s="75"/>
      <c r="X27" s="73">
        <f>'emiss 2'!$M$40</f>
        <v>148200</v>
      </c>
      <c r="Y27" s="78"/>
      <c r="Z27" s="73"/>
      <c r="AA27" s="78"/>
      <c r="AB27" s="73"/>
      <c r="AC27" s="73"/>
      <c r="AD27" s="73">
        <f>'emiss 2'!$G$40</f>
        <v>155800</v>
      </c>
      <c r="AE27" s="73"/>
      <c r="AF27" s="73">
        <f>'emiss 2'!$I$40</f>
        <v>143300</v>
      </c>
      <c r="AG27" s="73"/>
      <c r="AH27" s="73">
        <f>'emiss 2'!$K$40</f>
        <v>147600</v>
      </c>
      <c r="AI27" s="73"/>
      <c r="AJ27" s="73">
        <f>'emiss 2'!$M$40</f>
        <v>148200</v>
      </c>
      <c r="AK27" s="73"/>
      <c r="AL27" s="73"/>
      <c r="AM27" s="73"/>
      <c r="AN27" s="73"/>
      <c r="AO27" s="73"/>
      <c r="AP27" s="73">
        <f>'emiss 2'!$G$40</f>
        <v>155800</v>
      </c>
      <c r="AQ27" s="73"/>
      <c r="AR27" s="73">
        <f>'emiss 2'!$I$40</f>
        <v>143300</v>
      </c>
      <c r="AS27" s="73"/>
      <c r="AT27" s="73">
        <f>'emiss 2'!$K$40</f>
        <v>147600</v>
      </c>
      <c r="AU27" s="73"/>
      <c r="AV27" s="73">
        <f>'emiss 2'!$M$40</f>
        <v>148200</v>
      </c>
      <c r="AW27" s="73"/>
      <c r="AX27" s="73"/>
      <c r="AY27" s="73"/>
      <c r="AZ27" s="73"/>
      <c r="BA27" s="73"/>
      <c r="BB27" s="73">
        <f>'emiss 2'!$G$40</f>
        <v>155800</v>
      </c>
      <c r="BC27" s="73"/>
      <c r="BD27" s="73">
        <f>'emiss 2'!$I$40</f>
        <v>143300</v>
      </c>
      <c r="BE27" s="73"/>
      <c r="BF27" s="73">
        <f>'emiss 2'!$K$40</f>
        <v>147600</v>
      </c>
      <c r="BG27" s="73"/>
      <c r="BH27" s="73">
        <f>'emiss 2'!$M$40</f>
        <v>148200</v>
      </c>
      <c r="BI27" s="73"/>
      <c r="BJ27" s="73"/>
      <c r="BK27" s="73"/>
      <c r="BL27" s="73"/>
      <c r="BM27" s="73"/>
      <c r="BN27" s="73">
        <f>'emiss 2'!$G$40</f>
        <v>155800</v>
      </c>
      <c r="BO27" s="73"/>
      <c r="BP27" s="73">
        <f>'emiss 2'!$I$40</f>
        <v>143300</v>
      </c>
      <c r="BQ27" s="73"/>
      <c r="BR27" s="73">
        <f>'emiss 2'!$K$40</f>
        <v>147600</v>
      </c>
      <c r="BS27" s="73"/>
      <c r="BT27" s="73">
        <f>'emiss 2'!$M$40</f>
        <v>148200</v>
      </c>
      <c r="BU27" s="73"/>
      <c r="BV27" s="73"/>
      <c r="BW27" s="73"/>
      <c r="BX27" s="73"/>
      <c r="BY27" s="73"/>
      <c r="BZ27" s="73">
        <f>'emiss 2'!$G$40</f>
        <v>155800</v>
      </c>
      <c r="CA27" s="73"/>
      <c r="CB27" s="73">
        <f>'emiss 2'!$I$40</f>
        <v>143300</v>
      </c>
      <c r="CC27" s="73"/>
      <c r="CD27" s="73">
        <f>'emiss 2'!$K$40</f>
        <v>147600</v>
      </c>
      <c r="CE27" s="73"/>
      <c r="CF27" s="73">
        <f>'emiss 2'!$M$40</f>
        <v>148200</v>
      </c>
      <c r="CG27" s="73"/>
      <c r="CH27" s="73"/>
      <c r="CI27" s="73"/>
      <c r="CJ27" s="73"/>
      <c r="CK27" s="73"/>
      <c r="CL27" s="73">
        <f>'emiss 2'!$G$40</f>
        <v>155800</v>
      </c>
      <c r="CM27" s="73"/>
      <c r="CN27" s="73">
        <f>'emiss 2'!$I$40</f>
        <v>143300</v>
      </c>
      <c r="CO27" s="73"/>
      <c r="CP27" s="73">
        <f>'emiss 2'!$K$40</f>
        <v>147600</v>
      </c>
      <c r="CQ27" s="73"/>
      <c r="CR27" s="73">
        <f>'emiss 2'!$M$40</f>
        <v>148200</v>
      </c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</row>
    <row r="28" spans="2:124" ht="12.75">
      <c r="B28" s="16" t="s">
        <v>61</v>
      </c>
      <c r="C28" s="16"/>
      <c r="D28" s="16" t="s">
        <v>14</v>
      </c>
      <c r="E28" s="68"/>
      <c r="F28" s="53">
        <f>'emiss 2'!$G$41</f>
        <v>12.1</v>
      </c>
      <c r="G28" s="68"/>
      <c r="H28" s="53">
        <f>'emiss 2'!$I$41</f>
        <v>11.5</v>
      </c>
      <c r="I28" s="68"/>
      <c r="J28" s="53">
        <f>'emiss 2'!$K$41</f>
        <v>11.6</v>
      </c>
      <c r="K28" s="68"/>
      <c r="L28" s="53">
        <f>'emiss 2'!$M$41</f>
        <v>11.5</v>
      </c>
      <c r="M28" s="68"/>
      <c r="N28" s="53"/>
      <c r="O28" s="68"/>
      <c r="P28" s="53"/>
      <c r="Q28" s="77"/>
      <c r="R28" s="53">
        <f>'emiss 2'!$G$41</f>
        <v>12.1</v>
      </c>
      <c r="S28" s="68"/>
      <c r="T28" s="53">
        <f>'emiss 2'!$I$41</f>
        <v>11.5</v>
      </c>
      <c r="U28" s="68"/>
      <c r="V28" s="53">
        <f>'emiss 2'!$K$41</f>
        <v>11.6</v>
      </c>
      <c r="W28" s="68"/>
      <c r="X28" s="53">
        <f>'emiss 2'!$M$41</f>
        <v>11.5</v>
      </c>
      <c r="Y28" s="77"/>
      <c r="Z28" s="53"/>
      <c r="AA28" s="77"/>
      <c r="AB28" s="53"/>
      <c r="AC28" s="53"/>
      <c r="AD28" s="53">
        <f>'emiss 2'!$G$41</f>
        <v>12.1</v>
      </c>
      <c r="AE28" s="53"/>
      <c r="AF28" s="53">
        <f>'emiss 2'!$I$41</f>
        <v>11.5</v>
      </c>
      <c r="AG28" s="53"/>
      <c r="AH28" s="53">
        <f>'emiss 2'!$K$41</f>
        <v>11.6</v>
      </c>
      <c r="AI28" s="53"/>
      <c r="AJ28" s="53">
        <f>'emiss 2'!$M$41</f>
        <v>11.5</v>
      </c>
      <c r="AK28" s="53"/>
      <c r="AL28" s="53"/>
      <c r="AM28" s="53"/>
      <c r="AN28" s="53"/>
      <c r="AO28" s="53"/>
      <c r="AP28" s="53">
        <f>'emiss 2'!$G$41</f>
        <v>12.1</v>
      </c>
      <c r="AQ28" s="53"/>
      <c r="AR28" s="53">
        <f>'emiss 2'!$I$41</f>
        <v>11.5</v>
      </c>
      <c r="AS28" s="53"/>
      <c r="AT28" s="53">
        <f>'emiss 2'!$K$41</f>
        <v>11.6</v>
      </c>
      <c r="AU28" s="53"/>
      <c r="AV28" s="53">
        <f>'emiss 2'!$M$41</f>
        <v>11.5</v>
      </c>
      <c r="AW28" s="53"/>
      <c r="AX28" s="53"/>
      <c r="AY28" s="53"/>
      <c r="AZ28" s="53"/>
      <c r="BA28" s="53"/>
      <c r="BB28" s="53">
        <f>'emiss 2'!$G$41</f>
        <v>12.1</v>
      </c>
      <c r="BC28" s="53"/>
      <c r="BD28" s="53">
        <f>'emiss 2'!$I$41</f>
        <v>11.5</v>
      </c>
      <c r="BE28" s="53"/>
      <c r="BF28" s="53">
        <f>'emiss 2'!$K$41</f>
        <v>11.6</v>
      </c>
      <c r="BG28" s="53"/>
      <c r="BH28" s="53">
        <f>'emiss 2'!$M$41</f>
        <v>11.5</v>
      </c>
      <c r="BI28" s="53"/>
      <c r="BJ28" s="53"/>
      <c r="BK28" s="53"/>
      <c r="BL28" s="53"/>
      <c r="BM28" s="53"/>
      <c r="BN28" s="53">
        <f>'emiss 2'!$G$41</f>
        <v>12.1</v>
      </c>
      <c r="BO28" s="53"/>
      <c r="BP28" s="53">
        <f>'emiss 2'!$I$41</f>
        <v>11.5</v>
      </c>
      <c r="BQ28" s="53"/>
      <c r="BR28" s="53">
        <f>'emiss 2'!$K$41</f>
        <v>11.6</v>
      </c>
      <c r="BS28" s="53"/>
      <c r="BT28" s="53">
        <f>'emiss 2'!$M$41</f>
        <v>11.5</v>
      </c>
      <c r="BU28" s="53"/>
      <c r="BV28" s="53"/>
      <c r="BW28" s="53"/>
      <c r="BX28" s="53"/>
      <c r="BY28" s="53"/>
      <c r="BZ28" s="53">
        <f>'emiss 2'!$G$41</f>
        <v>12.1</v>
      </c>
      <c r="CA28" s="53"/>
      <c r="CB28" s="53">
        <f>'emiss 2'!$I$41</f>
        <v>11.5</v>
      </c>
      <c r="CC28" s="53"/>
      <c r="CD28" s="53">
        <f>'emiss 2'!$K$41</f>
        <v>11.6</v>
      </c>
      <c r="CE28" s="53"/>
      <c r="CF28" s="53">
        <f>'emiss 2'!$M$41</f>
        <v>11.5</v>
      </c>
      <c r="CG28" s="53"/>
      <c r="CH28" s="53"/>
      <c r="CI28" s="53"/>
      <c r="CJ28" s="53"/>
      <c r="CK28" s="53"/>
      <c r="CL28" s="53">
        <f>'emiss 2'!$G$41</f>
        <v>12.1</v>
      </c>
      <c r="CM28" s="53"/>
      <c r="CN28" s="53">
        <f>'emiss 2'!$I$41</f>
        <v>11.5</v>
      </c>
      <c r="CO28" s="53"/>
      <c r="CP28" s="53">
        <f>'emiss 2'!$K$41</f>
        <v>11.6</v>
      </c>
      <c r="CQ28" s="53"/>
      <c r="CR28" s="53">
        <f>'emiss 2'!$M$41</f>
        <v>11.5</v>
      </c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</row>
    <row r="29" spans="5:124" ht="12.75">
      <c r="E29" s="68"/>
      <c r="F29" s="53"/>
      <c r="G29" s="68"/>
      <c r="H29" s="53"/>
      <c r="I29" s="68"/>
      <c r="J29" s="53"/>
      <c r="K29" s="68"/>
      <c r="L29" s="53"/>
      <c r="M29" s="68"/>
      <c r="N29" s="53"/>
      <c r="O29" s="68"/>
      <c r="P29" s="53"/>
      <c r="Q29" s="77"/>
      <c r="R29" s="53"/>
      <c r="S29" s="77"/>
      <c r="T29" s="53"/>
      <c r="U29" s="77"/>
      <c r="V29" s="53"/>
      <c r="W29" s="77"/>
      <c r="X29" s="53"/>
      <c r="Y29" s="77"/>
      <c r="Z29" s="53"/>
      <c r="AA29" s="77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</row>
    <row r="30" spans="2:124" ht="12.75">
      <c r="B30" s="43" t="s">
        <v>88</v>
      </c>
      <c r="E30" s="68"/>
      <c r="F30" s="53"/>
      <c r="G30" s="68"/>
      <c r="H30" s="53"/>
      <c r="I30" s="68"/>
      <c r="J30" s="53"/>
      <c r="K30" s="68"/>
      <c r="L30" s="53"/>
      <c r="M30" s="68"/>
      <c r="N30" s="53"/>
      <c r="O30" s="68"/>
      <c r="P30" s="53"/>
      <c r="Q30" s="77"/>
      <c r="R30" s="53"/>
      <c r="S30" s="77"/>
      <c r="T30" s="53"/>
      <c r="U30" s="77"/>
      <c r="V30" s="53"/>
      <c r="W30" s="77"/>
      <c r="X30" s="53"/>
      <c r="Y30" s="77"/>
      <c r="Z30" s="53"/>
      <c r="AA30" s="77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</row>
    <row r="31" spans="2:144" ht="12.75">
      <c r="B31" s="55" t="s">
        <v>21</v>
      </c>
      <c r="D31" s="55" t="s">
        <v>66</v>
      </c>
      <c r="E31" s="68"/>
      <c r="F31" s="73">
        <f>F13*454*1000000/0.0283/60*14/(21-F$28)/F$27</f>
        <v>44542.304945401214</v>
      </c>
      <c r="G31" s="75"/>
      <c r="H31" s="73">
        <f>H13*454*1000000/0.0283/60*14/(21-H$28)/H$27</f>
        <v>29971.115331326644</v>
      </c>
      <c r="I31" s="75"/>
      <c r="J31" s="73">
        <f aca="true" t="shared" si="0" ref="J31:J43">J13*454*1000000/0.0283/60*14/(21-J$28)/J$27</f>
        <v>38310.72192886177</v>
      </c>
      <c r="K31" s="75"/>
      <c r="L31" s="73">
        <f aca="true" t="shared" si="1" ref="L31:L43">L13*454*1000000/0.0283/60*14/(21-L$28)/L$27</f>
        <v>38019.852806027855</v>
      </c>
      <c r="M31" s="75"/>
      <c r="N31" s="73"/>
      <c r="O31" s="75"/>
      <c r="P31" s="73"/>
      <c r="Q31" s="78" t="s">
        <v>13</v>
      </c>
      <c r="R31" s="73">
        <f aca="true" t="shared" si="2" ref="R31:R43">R13*454*1000000/0.0283/60*14/(21-R$28)/R$27</f>
        <v>174119.9193320229</v>
      </c>
      <c r="S31" s="78" t="s">
        <v>13</v>
      </c>
      <c r="T31" s="73">
        <f aca="true" t="shared" si="3" ref="T31:T43">T13*454*1000000/0.0283/60*14/(21-T$28)/T$27</f>
        <v>178726.83454460846</v>
      </c>
      <c r="U31" s="78" t="s">
        <v>13</v>
      </c>
      <c r="V31" s="73">
        <f aca="true" t="shared" si="4" ref="V31:V43">V13*454*1000000/0.0283/60*14/(21-V$28)/V$27</f>
        <v>175365.98066028277</v>
      </c>
      <c r="W31" s="78" t="s">
        <v>13</v>
      </c>
      <c r="X31" s="73">
        <f aca="true" t="shared" si="5" ref="X31:X43">X13*454*1000000/0.0283/60*14/(21-X$28)/X$27</f>
        <v>174412.75133394587</v>
      </c>
      <c r="Y31" s="78"/>
      <c r="Z31" s="73"/>
      <c r="AA31" s="78"/>
      <c r="AB31" s="73"/>
      <c r="AC31" s="73"/>
      <c r="AD31" s="73">
        <f aca="true" t="shared" si="6" ref="AD31:AD43">AD13*454*1000000/0.0283/60*14/(21-AD$28)/AD$27</f>
        <v>213803.0637379258</v>
      </c>
      <c r="AE31" s="73"/>
      <c r="AF31" s="73">
        <f aca="true" t="shared" si="7" ref="AF31:AF43">AF13*454*1000000/0.0283/60*14/(21-AF$28)/AF$27</f>
        <v>318958.65857191663</v>
      </c>
      <c r="AG31" s="73"/>
      <c r="AH31" s="73">
        <f aca="true" t="shared" si="8" ref="AH31:AH43">AH13*454*1000000/0.0283/60*14/(21-AH$28)/AH$27</f>
        <v>110615.46472417837</v>
      </c>
      <c r="AI31" s="73"/>
      <c r="AJ31" s="73">
        <f aca="true" t="shared" si="9" ref="AJ31:AJ43">AJ13*454*1000000/0.0283/60*14/(21-AJ$28)/AJ$27</f>
        <v>203924.66505051294</v>
      </c>
      <c r="AK31" s="73"/>
      <c r="AL31" s="73"/>
      <c r="AM31" s="73"/>
      <c r="AN31" s="73"/>
      <c r="AO31" s="73"/>
      <c r="AP31" s="73">
        <f aca="true" t="shared" si="10" ref="AP31:AP43">AP13*454*1000000/0.0283/60*14/(21-AP$28)/AP$27</f>
        <v>0</v>
      </c>
      <c r="AQ31" s="73"/>
      <c r="AR31" s="73">
        <f aca="true" t="shared" si="11" ref="AR31:AR43">AR13*454*1000000/0.0283/60*14/(21-AR$28)/AR$27</f>
        <v>0</v>
      </c>
      <c r="AS31" s="73"/>
      <c r="AT31" s="73">
        <f aca="true" t="shared" si="12" ref="AT31:AT43">AT13*454*1000000/0.0283/60*14/(21-AT$28)/AT$27</f>
        <v>0</v>
      </c>
      <c r="AU31" s="73"/>
      <c r="AV31" s="73">
        <f aca="true" t="shared" si="13" ref="AV31:AV43">AV13*454*1000000/0.0283/60*14/(21-AV$28)/AV$27</f>
        <v>0</v>
      </c>
      <c r="AW31" s="73"/>
      <c r="AX31" s="73"/>
      <c r="AY31" s="73"/>
      <c r="AZ31" s="73"/>
      <c r="BA31" s="73"/>
      <c r="BB31" s="73">
        <f aca="true" t="shared" si="14" ref="BB31:BB43">BB13*454*1000000/0.0283/60*14/(21-BB$28)/BB$27</f>
        <v>0</v>
      </c>
      <c r="BC31" s="73"/>
      <c r="BD31" s="73">
        <f aca="true" t="shared" si="15" ref="BD31:BD43">BD13*454*1000000/0.0283/60*14/(21-BD$28)/BD$27</f>
        <v>0</v>
      </c>
      <c r="BE31" s="73"/>
      <c r="BF31" s="73">
        <f aca="true" t="shared" si="16" ref="BF31:BF43">BF13*454*1000000/0.0283/60*14/(21-BF$28)/BF$27</f>
        <v>0</v>
      </c>
      <c r="BG31" s="73"/>
      <c r="BH31" s="73">
        <f aca="true" t="shared" si="17" ref="BH31:BH43">BH13*454*1000000/0.0283/60*14/(21-BH$28)/BH$27</f>
        <v>0</v>
      </c>
      <c r="BI31" s="73"/>
      <c r="BJ31" s="73"/>
      <c r="BK31" s="73"/>
      <c r="BL31" s="73"/>
      <c r="BM31" s="73"/>
      <c r="BN31" s="73">
        <f aca="true" t="shared" si="18" ref="BN31:BN43">BN13*454*1000000/0.0283/60*14/(21-BN$28)/BN$27</f>
        <v>0</v>
      </c>
      <c r="BO31" s="73"/>
      <c r="BP31" s="73">
        <f aca="true" t="shared" si="19" ref="BP31:BP43">BP13*454*1000000/0.0283/60*14/(21-BP$28)/BP$27</f>
        <v>0</v>
      </c>
      <c r="BQ31" s="73"/>
      <c r="BR31" s="73">
        <f aca="true" t="shared" si="20" ref="BR31:BR43">BR13*454*1000000/0.0283/60*14/(21-BR$28)/BR$27</f>
        <v>0</v>
      </c>
      <c r="BS31" s="73"/>
      <c r="BT31" s="73">
        <f aca="true" t="shared" si="21" ref="BT31:BT43">BT13*454*1000000/0.0283/60*14/(21-BT$28)/BT$27</f>
        <v>0</v>
      </c>
      <c r="BU31" s="73"/>
      <c r="BV31" s="73"/>
      <c r="BW31" s="73"/>
      <c r="BX31" s="73"/>
      <c r="BY31" s="73"/>
      <c r="BZ31" s="73">
        <f aca="true" t="shared" si="22" ref="BZ31:BZ43">BZ13*454*1000000/0.0283/60*14/(21-BZ$28)/BZ$27</f>
        <v>0</v>
      </c>
      <c r="CA31" s="73"/>
      <c r="CB31" s="73">
        <f aca="true" t="shared" si="23" ref="CB31:CB43">CB13*454*1000000/0.0283/60*14/(21-CB$28)/CB$27</f>
        <v>0</v>
      </c>
      <c r="CC31" s="73"/>
      <c r="CD31" s="73">
        <f aca="true" t="shared" si="24" ref="CD31:CD43">CD13*454*1000000/0.0283/60*14/(21-CD$28)/CD$27</f>
        <v>0</v>
      </c>
      <c r="CE31" s="73"/>
      <c r="CF31" s="73">
        <f aca="true" t="shared" si="25" ref="CF31:CF43">CF13*454*1000000/0.0283/60*14/(21-CF$28)/CF$27</f>
        <v>0</v>
      </c>
      <c r="CG31" s="73"/>
      <c r="CH31" s="73"/>
      <c r="CI31" s="73"/>
      <c r="CJ31" s="73"/>
      <c r="CK31" s="73"/>
      <c r="CL31" s="73">
        <f aca="true" t="shared" si="26" ref="CL31:CL43">CL13*454*1000000/0.0283/60*14/(21-CL$28)/CL$27</f>
        <v>391432.37679291976</v>
      </c>
      <c r="CM31" s="73"/>
      <c r="CN31" s="73">
        <f aca="true" t="shared" si="27" ref="CN31:CN43">CN13*454*1000000/0.0283/60*14/(21-CN$28)/CN$27</f>
        <v>168828.11755444552</v>
      </c>
      <c r="CO31" s="73"/>
      <c r="CP31" s="73">
        <f aca="true" t="shared" si="28" ref="CP31:CP43">CP13*454*1000000/0.0283/60*14/(21-CP$28)/CP$27</f>
        <v>310262.8888605003</v>
      </c>
      <c r="CQ31" s="73"/>
      <c r="CR31" s="73">
        <f aca="true" t="shared" si="29" ref="CR31:CR43">CR13*454*1000000/0.0283/60*14/(21-CR$28)/CR$27</f>
        <v>221472.2894225258</v>
      </c>
      <c r="CS31" s="73"/>
      <c r="CT31" s="73"/>
      <c r="CU31" s="73"/>
      <c r="CV31" s="73"/>
      <c r="CW31" s="73"/>
      <c r="CX31" s="73">
        <f aca="true" t="shared" si="30" ref="CX31:CX45">SUM(CL31,BZ31,BN31,BB31,AP31)</f>
        <v>391432.37679291976</v>
      </c>
      <c r="CY31" s="73"/>
      <c r="CZ31" s="73">
        <f aca="true" t="shared" si="31" ref="CZ31:CZ45">SUM(CN31,CB31,BP31,BD31,AR31)</f>
        <v>168828.11755444552</v>
      </c>
      <c r="DA31" s="73"/>
      <c r="DB31" s="73">
        <f aca="true" t="shared" si="32" ref="DB31:DB45">SUM(CP31,CD31,BR31,BF31,AT31)</f>
        <v>310262.8888605003</v>
      </c>
      <c r="DC31" s="73"/>
      <c r="DD31" s="73">
        <f aca="true" t="shared" si="33" ref="DD31:DD45">SUM(CR31,CF31,BT31,BH31,AV31)</f>
        <v>221472.2894225258</v>
      </c>
      <c r="DE31" s="73"/>
      <c r="DF31" s="73"/>
      <c r="DG31" s="73"/>
      <c r="DH31" s="73"/>
      <c r="DI31" s="73"/>
      <c r="DJ31" s="73">
        <f>SUM(CL31,AD31)</f>
        <v>605235.4405308455</v>
      </c>
      <c r="DK31" s="73"/>
      <c r="DL31" s="73">
        <f>SUM(CN31,AF31)</f>
        <v>487786.77612636215</v>
      </c>
      <c r="DM31" s="73"/>
      <c r="DN31" s="73">
        <f>SUM(CP31,AH31)</f>
        <v>420878.35358467867</v>
      </c>
      <c r="DO31" s="73"/>
      <c r="DP31" s="73">
        <f>SUM(CR31,AJ31)</f>
        <v>425396.9544730387</v>
      </c>
      <c r="DQ31" s="73"/>
      <c r="DR31" s="73">
        <f>SUM(CT31,AL31)</f>
        <v>0</v>
      </c>
      <c r="DS31" s="73"/>
      <c r="DT31" s="73">
        <f>SUM(CV31,AN31)</f>
        <v>0</v>
      </c>
      <c r="DU31" s="73"/>
      <c r="DV31" s="73">
        <f>CL31+BZ31+BN31+BB31+AP31+AD31+R31/2+F31</f>
        <v>736837.7051422583</v>
      </c>
      <c r="DW31" s="73"/>
      <c r="DX31" s="73">
        <f>CN31+CB31+BP31+BD31+AR31+AF31+T31/2+H31</f>
        <v>607121.308729993</v>
      </c>
      <c r="DY31" s="73"/>
      <c r="DZ31" s="73">
        <f>CP31+CD31+BR31+BF31+AT31+AH31+V31/2+J31</f>
        <v>546872.0658436818</v>
      </c>
      <c r="EA31" s="73"/>
      <c r="EB31" s="73">
        <f>CR31+CF31+BT31+BH31+AV31+AJ31+X31/2+L31</f>
        <v>550623.1829460395</v>
      </c>
      <c r="EC31" s="73"/>
      <c r="ED31" s="73"/>
      <c r="EE31" s="73"/>
      <c r="EF31" s="73"/>
      <c r="EG31" s="73"/>
      <c r="EH31" s="73">
        <f>AVERAGE(DV31,DX31,DZ31,EB31)</f>
        <v>610363.5656654931</v>
      </c>
      <c r="EK31" s="57">
        <f>AVERAGE(AD31,AF31,AH31,AJ31,AL31,AN31)+AVERAGE(CL31,CN31,CP31,CR31,CT31,CV31)</f>
        <v>484824.38117873133</v>
      </c>
      <c r="EL31" s="57">
        <f>AVERAGE(AP31,AR31,AT31,AV31,AX31,AZ31)+AVERAGE(BB31,BD31,BF31,BH31,BJ31,BL31)+AVERAGE(BN31,BP31,BR31,BT31,BV31,BX31)+AVERAGE(BZ31,CB31,CD31,CF31,CH31,CJ31)</f>
        <v>0</v>
      </c>
      <c r="EM31" s="57">
        <f>AVERAGE(F31,H31,J31,L31,N31,P31)+AVERAGE(R31,T31,V31,X31,Z31,AB31)/2</f>
        <v>125539.18448676188</v>
      </c>
      <c r="EN31" s="57">
        <f>SUM(EK31,EL31,EM31)</f>
        <v>610363.5656654933</v>
      </c>
    </row>
    <row r="32" spans="2:138" ht="12.75">
      <c r="B32" s="55" t="s">
        <v>102</v>
      </c>
      <c r="D32" s="55" t="s">
        <v>66</v>
      </c>
      <c r="E32" s="68" t="s">
        <v>13</v>
      </c>
      <c r="F32" s="73">
        <f aca="true" t="shared" si="34" ref="F32:H43">F14*454*1000000/0.0283/60*14/(21-F$28)/F$27</f>
        <v>197.60586193959807</v>
      </c>
      <c r="G32" s="75" t="s">
        <v>13</v>
      </c>
      <c r="H32" s="73">
        <f t="shared" si="34"/>
        <v>184.22612176136565</v>
      </c>
      <c r="I32" s="75"/>
      <c r="J32" s="73">
        <f t="shared" si="0"/>
        <v>302.16907436848726</v>
      </c>
      <c r="K32" s="75" t="s">
        <v>13</v>
      </c>
      <c r="L32" s="73">
        <f t="shared" si="1"/>
        <v>175.21037062358283</v>
      </c>
      <c r="M32" s="75"/>
      <c r="N32" s="73"/>
      <c r="O32" s="75"/>
      <c r="P32" s="73"/>
      <c r="Q32" s="78" t="s">
        <v>13</v>
      </c>
      <c r="R32" s="73">
        <f t="shared" si="2"/>
        <v>7828.647535858395</v>
      </c>
      <c r="S32" s="78" t="s">
        <v>13</v>
      </c>
      <c r="T32" s="73">
        <f t="shared" si="3"/>
        <v>8936.341727230423</v>
      </c>
      <c r="U32" s="78" t="s">
        <v>13</v>
      </c>
      <c r="V32" s="73">
        <f t="shared" si="4"/>
        <v>8768.299033014138</v>
      </c>
      <c r="W32" s="78" t="s">
        <v>13</v>
      </c>
      <c r="X32" s="73">
        <f t="shared" si="5"/>
        <v>7843.256348096654</v>
      </c>
      <c r="Y32" s="78"/>
      <c r="Z32" s="73"/>
      <c r="AA32" s="78"/>
      <c r="AB32" s="73"/>
      <c r="AC32" s="73"/>
      <c r="AD32" s="73">
        <f t="shared" si="6"/>
        <v>0</v>
      </c>
      <c r="AE32" s="73"/>
      <c r="AF32" s="73">
        <f t="shared" si="7"/>
        <v>0</v>
      </c>
      <c r="AG32" s="73"/>
      <c r="AH32" s="73">
        <f t="shared" si="8"/>
        <v>0</v>
      </c>
      <c r="AI32" s="73"/>
      <c r="AJ32" s="73">
        <f t="shared" si="9"/>
        <v>0</v>
      </c>
      <c r="AK32" s="73"/>
      <c r="AL32" s="73"/>
      <c r="AM32" s="73"/>
      <c r="AN32" s="73"/>
      <c r="AO32" s="73"/>
      <c r="AP32" s="73">
        <f t="shared" si="10"/>
        <v>3.0234776690211733</v>
      </c>
      <c r="AQ32" s="73"/>
      <c r="AR32" s="73">
        <f t="shared" si="11"/>
        <v>4.179458284735459</v>
      </c>
      <c r="AS32" s="73"/>
      <c r="AT32" s="73">
        <f t="shared" si="12"/>
        <v>82.01732018573223</v>
      </c>
      <c r="AU32" s="73"/>
      <c r="AV32" s="73">
        <f t="shared" si="13"/>
        <v>0.4679366499203426</v>
      </c>
      <c r="AW32" s="73"/>
      <c r="AX32" s="73"/>
      <c r="AY32" s="73"/>
      <c r="AZ32" s="73"/>
      <c r="BA32" s="73"/>
      <c r="BB32" s="73">
        <f t="shared" si="14"/>
        <v>70.45782782272556</v>
      </c>
      <c r="BC32" s="73"/>
      <c r="BD32" s="73">
        <f t="shared" si="15"/>
        <v>135.00750117138884</v>
      </c>
      <c r="BE32" s="73"/>
      <c r="BF32" s="73">
        <f t="shared" si="16"/>
        <v>163.22525892226315</v>
      </c>
      <c r="BG32" s="73"/>
      <c r="BH32" s="73">
        <f t="shared" si="17"/>
        <v>0</v>
      </c>
      <c r="BI32" s="73"/>
      <c r="BJ32" s="73"/>
      <c r="BK32" s="73"/>
      <c r="BL32" s="73"/>
      <c r="BM32" s="73"/>
      <c r="BN32" s="73">
        <f t="shared" si="18"/>
        <v>0.5345076593448145</v>
      </c>
      <c r="BO32" s="73"/>
      <c r="BP32" s="73">
        <f t="shared" si="19"/>
        <v>3.3270687661380953</v>
      </c>
      <c r="BQ32" s="73"/>
      <c r="BR32" s="73">
        <f t="shared" si="20"/>
        <v>1.5459185679744925</v>
      </c>
      <c r="BS32" s="73"/>
      <c r="BT32" s="73">
        <f t="shared" si="21"/>
        <v>1.0555161932862274</v>
      </c>
      <c r="BU32" s="73"/>
      <c r="BV32" s="73"/>
      <c r="BW32" s="73"/>
      <c r="BX32" s="73"/>
      <c r="BY32" s="73"/>
      <c r="BZ32" s="73">
        <f t="shared" si="22"/>
        <v>0</v>
      </c>
      <c r="CA32" s="73"/>
      <c r="CB32" s="73">
        <f t="shared" si="23"/>
        <v>0</v>
      </c>
      <c r="CC32" s="73"/>
      <c r="CD32" s="73">
        <f t="shared" si="24"/>
        <v>0</v>
      </c>
      <c r="CE32" s="73"/>
      <c r="CF32" s="73">
        <f t="shared" si="25"/>
        <v>0</v>
      </c>
      <c r="CG32" s="73"/>
      <c r="CH32" s="73"/>
      <c r="CI32" s="73"/>
      <c r="CJ32" s="73"/>
      <c r="CK32" s="73"/>
      <c r="CL32" s="73">
        <f t="shared" si="26"/>
        <v>0</v>
      </c>
      <c r="CM32" s="73"/>
      <c r="CN32" s="73">
        <f t="shared" si="27"/>
        <v>0</v>
      </c>
      <c r="CO32" s="73"/>
      <c r="CP32" s="73">
        <f t="shared" si="28"/>
        <v>0</v>
      </c>
      <c r="CQ32" s="73"/>
      <c r="CR32" s="73">
        <f t="shared" si="29"/>
        <v>0</v>
      </c>
      <c r="CS32" s="73"/>
      <c r="CT32" s="73"/>
      <c r="CU32" s="73"/>
      <c r="CV32" s="73"/>
      <c r="CW32" s="73"/>
      <c r="CX32" s="73">
        <f t="shared" si="30"/>
        <v>74.01581315109155</v>
      </c>
      <c r="CY32" s="73"/>
      <c r="CZ32" s="73">
        <f t="shared" si="31"/>
        <v>142.5140282222624</v>
      </c>
      <c r="DA32" s="73"/>
      <c r="DB32" s="73">
        <f t="shared" si="32"/>
        <v>246.7884976759699</v>
      </c>
      <c r="DC32" s="73"/>
      <c r="DD32" s="73">
        <f t="shared" si="33"/>
        <v>1.52345284320657</v>
      </c>
      <c r="DE32" s="73"/>
      <c r="DF32" s="73"/>
      <c r="DG32" s="73"/>
      <c r="DH32" s="73"/>
      <c r="DI32" s="73"/>
      <c r="DJ32" s="73">
        <f aca="true" t="shared" si="35" ref="DJ32:DT45">SUM(CL32,AD32)</f>
        <v>0</v>
      </c>
      <c r="DK32" s="73"/>
      <c r="DL32" s="73">
        <f t="shared" si="35"/>
        <v>0</v>
      </c>
      <c r="DM32" s="73"/>
      <c r="DN32" s="73">
        <f t="shared" si="35"/>
        <v>0</v>
      </c>
      <c r="DO32" s="73"/>
      <c r="DP32" s="73">
        <f t="shared" si="35"/>
        <v>0</v>
      </c>
      <c r="DQ32" s="73"/>
      <c r="DR32" s="73">
        <f t="shared" si="35"/>
        <v>0</v>
      </c>
      <c r="DS32" s="73"/>
      <c r="DT32" s="73">
        <f t="shared" si="35"/>
        <v>0</v>
      </c>
      <c r="DU32" s="73"/>
      <c r="DV32" s="73">
        <f aca="true" t="shared" si="36" ref="DV32:DV45">CL32+BZ32+BN32+BB32+AP32+AD32+R32+F32</f>
        <v>8100.2692109490845</v>
      </c>
      <c r="DW32" s="73"/>
      <c r="DX32" s="73">
        <f aca="true" t="shared" si="37" ref="DX32:DX45">CN32+CB32+BP32+BD32+AR32+AF32+T32+H32</f>
        <v>9263.08187721405</v>
      </c>
      <c r="DY32" s="73"/>
      <c r="DZ32" s="73">
        <f aca="true" t="shared" si="38" ref="DZ32:DZ45">CP32+CD32+BR32+BF32+AT32+AH32+V32+J32</f>
        <v>9317.256605058596</v>
      </c>
      <c r="EA32" s="73"/>
      <c r="EB32" s="73">
        <f aca="true" t="shared" si="39" ref="EB32:EB45">CR32+CF32+BT32+BH32+AV32+AJ32+X32+L32</f>
        <v>8019.990171563443</v>
      </c>
      <c r="EC32" s="73"/>
      <c r="ED32" s="73"/>
      <c r="EE32" s="73"/>
      <c r="EF32" s="73"/>
      <c r="EG32" s="73"/>
      <c r="EH32" s="73">
        <f aca="true" t="shared" si="40" ref="EH32:EH45">AVERAGE(DV32,DX32,DZ32,EB32)</f>
        <v>8675.149466196293</v>
      </c>
    </row>
    <row r="33" spans="2:138" ht="12.75">
      <c r="B33" s="55" t="s">
        <v>98</v>
      </c>
      <c r="D33" s="55" t="s">
        <v>66</v>
      </c>
      <c r="E33" s="68"/>
      <c r="F33" s="73">
        <f t="shared" si="34"/>
        <v>591.1978656389615</v>
      </c>
      <c r="G33" s="75"/>
      <c r="H33" s="73">
        <f t="shared" si="34"/>
        <v>483.9372750746321</v>
      </c>
      <c r="I33" s="75"/>
      <c r="J33" s="73">
        <f t="shared" si="0"/>
        <v>577.3587670969309</v>
      </c>
      <c r="K33" s="75"/>
      <c r="L33" s="73">
        <f t="shared" si="1"/>
        <v>555.674771780407</v>
      </c>
      <c r="M33" s="75"/>
      <c r="N33" s="73"/>
      <c r="O33" s="75"/>
      <c r="P33" s="73"/>
      <c r="Q33" s="78" t="s">
        <v>13</v>
      </c>
      <c r="R33" s="73">
        <f t="shared" si="2"/>
        <v>871.9493634766419</v>
      </c>
      <c r="S33" s="78" t="s">
        <v>13</v>
      </c>
      <c r="T33" s="73">
        <f t="shared" si="3"/>
        <v>893.6341727230424</v>
      </c>
      <c r="U33" s="78" t="s">
        <v>13</v>
      </c>
      <c r="V33" s="73">
        <f t="shared" si="4"/>
        <v>876.8299033014139</v>
      </c>
      <c r="W33" s="78" t="s">
        <v>13</v>
      </c>
      <c r="X33" s="73">
        <f t="shared" si="5"/>
        <v>872.0637566697295</v>
      </c>
      <c r="Y33" s="78"/>
      <c r="Z33" s="73"/>
      <c r="AA33" s="78"/>
      <c r="AB33" s="73"/>
      <c r="AC33" s="73"/>
      <c r="AD33" s="73">
        <f t="shared" si="6"/>
        <v>0</v>
      </c>
      <c r="AE33" s="73"/>
      <c r="AF33" s="73">
        <f t="shared" si="7"/>
        <v>22.437091844369313</v>
      </c>
      <c r="AG33" s="73"/>
      <c r="AH33" s="73">
        <f t="shared" si="8"/>
        <v>16.052732075825887</v>
      </c>
      <c r="AI33" s="73"/>
      <c r="AJ33" s="73">
        <f t="shared" si="9"/>
        <v>0</v>
      </c>
      <c r="AK33" s="73"/>
      <c r="AL33" s="73"/>
      <c r="AM33" s="73"/>
      <c r="AN33" s="73"/>
      <c r="AO33" s="73"/>
      <c r="AP33" s="73">
        <f t="shared" si="10"/>
        <v>2.380988664354174</v>
      </c>
      <c r="AQ33" s="73"/>
      <c r="AR33" s="73">
        <f t="shared" si="11"/>
        <v>58.01748013678827</v>
      </c>
      <c r="AS33" s="73"/>
      <c r="AT33" s="73">
        <f t="shared" si="12"/>
        <v>5.881505197529483</v>
      </c>
      <c r="AU33" s="73"/>
      <c r="AV33" s="73">
        <f t="shared" si="13"/>
        <v>9.039685282552075</v>
      </c>
      <c r="AW33" s="73"/>
      <c r="AX33" s="73"/>
      <c r="AY33" s="73"/>
      <c r="AZ33" s="73"/>
      <c r="BA33" s="73"/>
      <c r="BB33" s="73">
        <f t="shared" si="14"/>
        <v>23.674909961889004</v>
      </c>
      <c r="BC33" s="73"/>
      <c r="BD33" s="73">
        <f t="shared" si="15"/>
        <v>70.11591201365407</v>
      </c>
      <c r="BE33" s="73"/>
      <c r="BF33" s="73">
        <f t="shared" si="16"/>
        <v>0</v>
      </c>
      <c r="BG33" s="73"/>
      <c r="BH33" s="73">
        <f t="shared" si="17"/>
        <v>0</v>
      </c>
      <c r="BI33" s="73"/>
      <c r="BJ33" s="73"/>
      <c r="BK33" s="73"/>
      <c r="BL33" s="73"/>
      <c r="BM33" s="73"/>
      <c r="BN33" s="73">
        <f t="shared" si="18"/>
        <v>601.99600017118</v>
      </c>
      <c r="BO33" s="73"/>
      <c r="BP33" s="73">
        <f t="shared" si="19"/>
        <v>1270.3353470709096</v>
      </c>
      <c r="BQ33" s="73"/>
      <c r="BR33" s="73">
        <f t="shared" si="20"/>
        <v>928.0907284174965</v>
      </c>
      <c r="BS33" s="73"/>
      <c r="BT33" s="73">
        <f t="shared" si="21"/>
        <v>1052.8574623207712</v>
      </c>
      <c r="BU33" s="73"/>
      <c r="BV33" s="73"/>
      <c r="BW33" s="73"/>
      <c r="BX33" s="73"/>
      <c r="BY33" s="73"/>
      <c r="BZ33" s="73">
        <f t="shared" si="22"/>
        <v>0</v>
      </c>
      <c r="CA33" s="73"/>
      <c r="CB33" s="73">
        <f t="shared" si="23"/>
        <v>0</v>
      </c>
      <c r="CC33" s="73"/>
      <c r="CD33" s="73">
        <f t="shared" si="24"/>
        <v>0</v>
      </c>
      <c r="CE33" s="73"/>
      <c r="CF33" s="73">
        <f t="shared" si="25"/>
        <v>0</v>
      </c>
      <c r="CG33" s="73"/>
      <c r="CH33" s="73"/>
      <c r="CI33" s="73"/>
      <c r="CJ33" s="73"/>
      <c r="CK33" s="73"/>
      <c r="CL33" s="73">
        <f t="shared" si="26"/>
        <v>0</v>
      </c>
      <c r="CM33" s="73"/>
      <c r="CN33" s="73">
        <f t="shared" si="27"/>
        <v>16.96530106369591</v>
      </c>
      <c r="CO33" s="73"/>
      <c r="CP33" s="73">
        <f t="shared" si="28"/>
        <v>33.18463941725351</v>
      </c>
      <c r="CQ33" s="73"/>
      <c r="CR33" s="73">
        <f t="shared" si="29"/>
        <v>24.619848740127118</v>
      </c>
      <c r="CS33" s="73"/>
      <c r="CT33" s="73"/>
      <c r="CU33" s="73"/>
      <c r="CV33" s="73"/>
      <c r="CW33" s="73"/>
      <c r="CX33" s="73">
        <f t="shared" si="30"/>
        <v>628.0518987974232</v>
      </c>
      <c r="CY33" s="73"/>
      <c r="CZ33" s="73">
        <f t="shared" si="31"/>
        <v>1415.4340402850478</v>
      </c>
      <c r="DA33" s="73"/>
      <c r="DB33" s="73">
        <f t="shared" si="32"/>
        <v>967.1568730322795</v>
      </c>
      <c r="DC33" s="73"/>
      <c r="DD33" s="73">
        <f t="shared" si="33"/>
        <v>1086.5169963434503</v>
      </c>
      <c r="DE33" s="73"/>
      <c r="DF33" s="73"/>
      <c r="DG33" s="73"/>
      <c r="DH33" s="73"/>
      <c r="DI33" s="73"/>
      <c r="DJ33" s="73">
        <f t="shared" si="35"/>
        <v>0</v>
      </c>
      <c r="DK33" s="73"/>
      <c r="DL33" s="73">
        <f t="shared" si="35"/>
        <v>39.402392908065224</v>
      </c>
      <c r="DM33" s="73"/>
      <c r="DN33" s="73">
        <f t="shared" si="35"/>
        <v>49.237371493079394</v>
      </c>
      <c r="DO33" s="73"/>
      <c r="DP33" s="73">
        <f t="shared" si="35"/>
        <v>24.619848740127118</v>
      </c>
      <c r="DQ33" s="73"/>
      <c r="DR33" s="73">
        <f t="shared" si="35"/>
        <v>0</v>
      </c>
      <c r="DS33" s="73"/>
      <c r="DT33" s="73">
        <f t="shared" si="35"/>
        <v>0</v>
      </c>
      <c r="DU33" s="73"/>
      <c r="DV33" s="73">
        <f t="shared" si="36"/>
        <v>2091.1991279130266</v>
      </c>
      <c r="DW33" s="73"/>
      <c r="DX33" s="73">
        <f t="shared" si="37"/>
        <v>2815.4425799270916</v>
      </c>
      <c r="DY33" s="73"/>
      <c r="DZ33" s="73">
        <f t="shared" si="38"/>
        <v>2437.3982755064503</v>
      </c>
      <c r="EA33" s="73"/>
      <c r="EB33" s="73">
        <f t="shared" si="39"/>
        <v>2514.2555247935866</v>
      </c>
      <c r="EC33" s="73"/>
      <c r="ED33" s="73"/>
      <c r="EE33" s="73"/>
      <c r="EF33" s="73"/>
      <c r="EG33" s="73"/>
      <c r="EH33" s="73">
        <f t="shared" si="40"/>
        <v>2464.573877035039</v>
      </c>
    </row>
    <row r="34" spans="2:138" ht="12.75">
      <c r="B34" s="55" t="s">
        <v>99</v>
      </c>
      <c r="D34" s="55" t="s">
        <v>66</v>
      </c>
      <c r="E34" s="68"/>
      <c r="F34" s="73">
        <f t="shared" si="34"/>
        <v>1233.6868703059608</v>
      </c>
      <c r="G34" s="75"/>
      <c r="H34" s="73">
        <f t="shared" si="34"/>
        <v>138.3070735014431</v>
      </c>
      <c r="I34" s="75"/>
      <c r="J34" s="73">
        <f t="shared" si="0"/>
        <v>1125.0402143898139</v>
      </c>
      <c r="K34" s="75"/>
      <c r="L34" s="73">
        <f t="shared" si="1"/>
        <v>1462.3020310010709</v>
      </c>
      <c r="M34" s="75"/>
      <c r="N34" s="73"/>
      <c r="O34" s="75"/>
      <c r="P34" s="73"/>
      <c r="Q34" s="78" t="s">
        <v>13</v>
      </c>
      <c r="R34" s="73">
        <f t="shared" si="2"/>
        <v>17411.99193320229</v>
      </c>
      <c r="S34" s="78" t="s">
        <v>13</v>
      </c>
      <c r="T34" s="73">
        <f t="shared" si="3"/>
        <v>17872.683454460846</v>
      </c>
      <c r="U34" s="78" t="s">
        <v>13</v>
      </c>
      <c r="V34" s="73">
        <f t="shared" si="4"/>
        <v>17536.598066028277</v>
      </c>
      <c r="W34" s="78" t="s">
        <v>13</v>
      </c>
      <c r="X34" s="73">
        <f t="shared" si="5"/>
        <v>17441.27513339459</v>
      </c>
      <c r="Y34" s="78"/>
      <c r="Z34" s="73"/>
      <c r="AA34" s="78"/>
      <c r="AB34" s="73"/>
      <c r="AC34" s="73"/>
      <c r="AD34" s="73">
        <f t="shared" si="6"/>
        <v>0</v>
      </c>
      <c r="AE34" s="73"/>
      <c r="AF34" s="73">
        <f t="shared" si="7"/>
        <v>0</v>
      </c>
      <c r="AG34" s="73"/>
      <c r="AH34" s="73">
        <f t="shared" si="8"/>
        <v>321.0546415165177</v>
      </c>
      <c r="AI34" s="73"/>
      <c r="AJ34" s="73">
        <f t="shared" si="9"/>
        <v>0</v>
      </c>
      <c r="AK34" s="73"/>
      <c r="AL34" s="73"/>
      <c r="AM34" s="73"/>
      <c r="AN34" s="73"/>
      <c r="AO34" s="73"/>
      <c r="AP34" s="73">
        <f t="shared" si="10"/>
        <v>0</v>
      </c>
      <c r="AQ34" s="73"/>
      <c r="AR34" s="73">
        <f t="shared" si="11"/>
        <v>0</v>
      </c>
      <c r="AS34" s="73"/>
      <c r="AT34" s="73">
        <f t="shared" si="12"/>
        <v>0</v>
      </c>
      <c r="AU34" s="73"/>
      <c r="AV34" s="73">
        <f t="shared" si="13"/>
        <v>0</v>
      </c>
      <c r="AW34" s="73"/>
      <c r="AX34" s="73"/>
      <c r="AY34" s="73"/>
      <c r="AZ34" s="73"/>
      <c r="BA34" s="73"/>
      <c r="BB34" s="73">
        <f t="shared" si="14"/>
        <v>0</v>
      </c>
      <c r="BC34" s="73"/>
      <c r="BD34" s="73">
        <f t="shared" si="15"/>
        <v>0</v>
      </c>
      <c r="BE34" s="73"/>
      <c r="BF34" s="73">
        <f t="shared" si="16"/>
        <v>0</v>
      </c>
      <c r="BG34" s="73"/>
      <c r="BH34" s="73">
        <f t="shared" si="17"/>
        <v>0</v>
      </c>
      <c r="BI34" s="73"/>
      <c r="BJ34" s="73"/>
      <c r="BK34" s="73"/>
      <c r="BL34" s="73"/>
      <c r="BM34" s="73"/>
      <c r="BN34" s="73">
        <f t="shared" si="18"/>
        <v>0.3563384395632097</v>
      </c>
      <c r="BO34" s="73"/>
      <c r="BP34" s="73">
        <f t="shared" si="19"/>
        <v>0.8496398749889849</v>
      </c>
      <c r="BQ34" s="73"/>
      <c r="BR34" s="73">
        <f t="shared" si="20"/>
        <v>0.5341917564728614</v>
      </c>
      <c r="BS34" s="73"/>
      <c r="BT34" s="73">
        <f t="shared" si="21"/>
        <v>0.8215478683260562</v>
      </c>
      <c r="BU34" s="73"/>
      <c r="BV34" s="73"/>
      <c r="BW34" s="73"/>
      <c r="BX34" s="73"/>
      <c r="BY34" s="73"/>
      <c r="BZ34" s="73">
        <f t="shared" si="22"/>
        <v>0</v>
      </c>
      <c r="CA34" s="73"/>
      <c r="CB34" s="73">
        <f t="shared" si="23"/>
        <v>0</v>
      </c>
      <c r="CC34" s="73"/>
      <c r="CD34" s="73">
        <f t="shared" si="24"/>
        <v>0</v>
      </c>
      <c r="CE34" s="73"/>
      <c r="CF34" s="73">
        <f t="shared" si="25"/>
        <v>0</v>
      </c>
      <c r="CG34" s="73"/>
      <c r="CH34" s="73"/>
      <c r="CI34" s="73"/>
      <c r="CJ34" s="73"/>
      <c r="CK34" s="73"/>
      <c r="CL34" s="73">
        <f t="shared" si="26"/>
        <v>0</v>
      </c>
      <c r="CM34" s="73"/>
      <c r="CN34" s="73">
        <f t="shared" si="27"/>
        <v>0</v>
      </c>
      <c r="CO34" s="73"/>
      <c r="CP34" s="73">
        <f t="shared" si="28"/>
        <v>0</v>
      </c>
      <c r="CQ34" s="73"/>
      <c r="CR34" s="73">
        <f t="shared" si="29"/>
        <v>0</v>
      </c>
      <c r="CS34" s="73"/>
      <c r="CT34" s="73"/>
      <c r="CU34" s="73"/>
      <c r="CV34" s="73"/>
      <c r="CW34" s="73"/>
      <c r="CX34" s="73">
        <f t="shared" si="30"/>
        <v>0.3563384395632097</v>
      </c>
      <c r="CY34" s="73"/>
      <c r="CZ34" s="73">
        <f t="shared" si="31"/>
        <v>0.8496398749889849</v>
      </c>
      <c r="DA34" s="73"/>
      <c r="DB34" s="73">
        <f t="shared" si="32"/>
        <v>0.5341917564728614</v>
      </c>
      <c r="DC34" s="73"/>
      <c r="DD34" s="73">
        <f t="shared" si="33"/>
        <v>0.8215478683260562</v>
      </c>
      <c r="DE34" s="73"/>
      <c r="DF34" s="73"/>
      <c r="DG34" s="73"/>
      <c r="DH34" s="73"/>
      <c r="DI34" s="73"/>
      <c r="DJ34" s="73">
        <f t="shared" si="35"/>
        <v>0</v>
      </c>
      <c r="DK34" s="73"/>
      <c r="DL34" s="73">
        <f t="shared" si="35"/>
        <v>0</v>
      </c>
      <c r="DM34" s="73"/>
      <c r="DN34" s="73">
        <f t="shared" si="35"/>
        <v>321.0546415165177</v>
      </c>
      <c r="DO34" s="73"/>
      <c r="DP34" s="73">
        <f t="shared" si="35"/>
        <v>0</v>
      </c>
      <c r="DQ34" s="73"/>
      <c r="DR34" s="73">
        <f t="shared" si="35"/>
        <v>0</v>
      </c>
      <c r="DS34" s="73"/>
      <c r="DT34" s="73">
        <f t="shared" si="35"/>
        <v>0</v>
      </c>
      <c r="DU34" s="73"/>
      <c r="DV34" s="73">
        <f t="shared" si="36"/>
        <v>18646.035141947817</v>
      </c>
      <c r="DW34" s="73"/>
      <c r="DX34" s="73">
        <f t="shared" si="37"/>
        <v>18011.84016783728</v>
      </c>
      <c r="DY34" s="73"/>
      <c r="DZ34" s="73">
        <f t="shared" si="38"/>
        <v>18983.227113691082</v>
      </c>
      <c r="EA34" s="73"/>
      <c r="EB34" s="73">
        <f t="shared" si="39"/>
        <v>18904.39871226399</v>
      </c>
      <c r="EC34" s="73"/>
      <c r="ED34" s="73"/>
      <c r="EE34" s="73"/>
      <c r="EF34" s="73"/>
      <c r="EG34" s="73"/>
      <c r="EH34" s="73">
        <f t="shared" si="40"/>
        <v>18636.37528393504</v>
      </c>
    </row>
    <row r="35" spans="2:138" ht="12.75">
      <c r="B35" s="55" t="s">
        <v>100</v>
      </c>
      <c r="D35" s="55" t="s">
        <v>66</v>
      </c>
      <c r="E35" s="68"/>
      <c r="F35" s="73">
        <f t="shared" si="34"/>
        <v>76.66675517875117</v>
      </c>
      <c r="G35" s="75"/>
      <c r="H35" s="73">
        <f t="shared" si="34"/>
        <v>75.89016359124913</v>
      </c>
      <c r="I35" s="75"/>
      <c r="J35" s="73">
        <f t="shared" si="0"/>
        <v>63.131753037701785</v>
      </c>
      <c r="K35" s="75"/>
      <c r="L35" s="73">
        <f t="shared" si="1"/>
        <v>99.70241120461847</v>
      </c>
      <c r="M35" s="75"/>
      <c r="N35" s="73"/>
      <c r="O35" s="75"/>
      <c r="P35" s="73"/>
      <c r="Q35" s="78" t="s">
        <v>13</v>
      </c>
      <c r="R35" s="73">
        <f t="shared" si="2"/>
        <v>434.6249149217937</v>
      </c>
      <c r="S35" s="78" t="s">
        <v>13</v>
      </c>
      <c r="T35" s="73">
        <f t="shared" si="3"/>
        <v>445.4422645573319</v>
      </c>
      <c r="U35" s="78" t="s">
        <v>13</v>
      </c>
      <c r="V35" s="73">
        <f t="shared" si="4"/>
        <v>437.0659825687048</v>
      </c>
      <c r="W35" s="78" t="s">
        <v>13</v>
      </c>
      <c r="X35" s="73">
        <f t="shared" si="5"/>
        <v>436.03187833486476</v>
      </c>
      <c r="Y35" s="78"/>
      <c r="Z35" s="73"/>
      <c r="AA35" s="78"/>
      <c r="AB35" s="73"/>
      <c r="AC35" s="73"/>
      <c r="AD35" s="73">
        <f t="shared" si="6"/>
        <v>0</v>
      </c>
      <c r="AE35" s="73"/>
      <c r="AF35" s="73">
        <f t="shared" si="7"/>
        <v>0</v>
      </c>
      <c r="AG35" s="73"/>
      <c r="AH35" s="73">
        <f t="shared" si="8"/>
        <v>0</v>
      </c>
      <c r="AI35" s="73"/>
      <c r="AJ35" s="73">
        <f t="shared" si="9"/>
        <v>0</v>
      </c>
      <c r="AK35" s="73"/>
      <c r="AL35" s="73"/>
      <c r="AM35" s="73"/>
      <c r="AN35" s="73"/>
      <c r="AO35" s="73"/>
      <c r="AP35" s="73">
        <f t="shared" si="10"/>
        <v>0</v>
      </c>
      <c r="AQ35" s="73"/>
      <c r="AR35" s="73">
        <f t="shared" si="11"/>
        <v>0</v>
      </c>
      <c r="AS35" s="73"/>
      <c r="AT35" s="73">
        <f t="shared" si="12"/>
        <v>0</v>
      </c>
      <c r="AU35" s="73"/>
      <c r="AV35" s="73">
        <f t="shared" si="13"/>
        <v>0</v>
      </c>
      <c r="AW35" s="73"/>
      <c r="AX35" s="73"/>
      <c r="AY35" s="73"/>
      <c r="AZ35" s="73"/>
      <c r="BA35" s="73"/>
      <c r="BB35" s="73">
        <f t="shared" si="14"/>
        <v>0</v>
      </c>
      <c r="BC35" s="73"/>
      <c r="BD35" s="73">
        <f t="shared" si="15"/>
        <v>0</v>
      </c>
      <c r="BE35" s="73"/>
      <c r="BF35" s="73">
        <f t="shared" si="16"/>
        <v>0</v>
      </c>
      <c r="BG35" s="73"/>
      <c r="BH35" s="73">
        <f t="shared" si="17"/>
        <v>0</v>
      </c>
      <c r="BI35" s="73"/>
      <c r="BJ35" s="73"/>
      <c r="BK35" s="73"/>
      <c r="BL35" s="73"/>
      <c r="BM35" s="73"/>
      <c r="BN35" s="73">
        <f t="shared" si="18"/>
        <v>0</v>
      </c>
      <c r="BO35" s="73"/>
      <c r="BP35" s="73">
        <f t="shared" si="19"/>
        <v>0</v>
      </c>
      <c r="BQ35" s="73"/>
      <c r="BR35" s="73">
        <f t="shared" si="20"/>
        <v>0</v>
      </c>
      <c r="BS35" s="73"/>
      <c r="BT35" s="73">
        <f t="shared" si="21"/>
        <v>0</v>
      </c>
      <c r="BU35" s="73"/>
      <c r="BV35" s="73"/>
      <c r="BW35" s="73"/>
      <c r="BX35" s="73"/>
      <c r="BY35" s="73"/>
      <c r="BZ35" s="73">
        <f t="shared" si="22"/>
        <v>35.3638905930155</v>
      </c>
      <c r="CA35" s="73"/>
      <c r="CB35" s="73">
        <f t="shared" si="23"/>
        <v>36.020331269759545</v>
      </c>
      <c r="CC35" s="73"/>
      <c r="CD35" s="73">
        <f t="shared" si="24"/>
        <v>35.34298994845698</v>
      </c>
      <c r="CE35" s="73"/>
      <c r="CF35" s="73">
        <f t="shared" si="25"/>
        <v>34.82937564748004</v>
      </c>
      <c r="CG35" s="73"/>
      <c r="CH35" s="73"/>
      <c r="CI35" s="73"/>
      <c r="CJ35" s="73"/>
      <c r="CK35" s="73"/>
      <c r="CL35" s="73">
        <f t="shared" si="26"/>
        <v>0</v>
      </c>
      <c r="CM35" s="73"/>
      <c r="CN35" s="73">
        <f t="shared" si="27"/>
        <v>0</v>
      </c>
      <c r="CO35" s="73"/>
      <c r="CP35" s="73">
        <f t="shared" si="28"/>
        <v>0</v>
      </c>
      <c r="CQ35" s="73"/>
      <c r="CR35" s="73">
        <f t="shared" si="29"/>
        <v>0</v>
      </c>
      <c r="CS35" s="73"/>
      <c r="CT35" s="73"/>
      <c r="CU35" s="73"/>
      <c r="CV35" s="73"/>
      <c r="CW35" s="73"/>
      <c r="CX35" s="73">
        <f t="shared" si="30"/>
        <v>35.3638905930155</v>
      </c>
      <c r="CY35" s="73"/>
      <c r="CZ35" s="73">
        <f t="shared" si="31"/>
        <v>36.020331269759545</v>
      </c>
      <c r="DA35" s="73"/>
      <c r="DB35" s="73">
        <f t="shared" si="32"/>
        <v>35.34298994845698</v>
      </c>
      <c r="DC35" s="73"/>
      <c r="DD35" s="73">
        <f t="shared" si="33"/>
        <v>34.82937564748004</v>
      </c>
      <c r="DE35" s="73"/>
      <c r="DF35" s="73"/>
      <c r="DG35" s="73"/>
      <c r="DH35" s="73"/>
      <c r="DI35" s="73"/>
      <c r="DJ35" s="73">
        <f t="shared" si="35"/>
        <v>0</v>
      </c>
      <c r="DK35" s="73"/>
      <c r="DL35" s="73">
        <f t="shared" si="35"/>
        <v>0</v>
      </c>
      <c r="DM35" s="73"/>
      <c r="DN35" s="73">
        <f t="shared" si="35"/>
        <v>0</v>
      </c>
      <c r="DO35" s="73"/>
      <c r="DP35" s="73">
        <f t="shared" si="35"/>
        <v>0</v>
      </c>
      <c r="DQ35" s="73"/>
      <c r="DR35" s="73">
        <f t="shared" si="35"/>
        <v>0</v>
      </c>
      <c r="DS35" s="73"/>
      <c r="DT35" s="73">
        <f t="shared" si="35"/>
        <v>0</v>
      </c>
      <c r="DU35" s="73"/>
      <c r="DV35" s="73">
        <f t="shared" si="36"/>
        <v>546.6555606935603</v>
      </c>
      <c r="DW35" s="73"/>
      <c r="DX35" s="73">
        <f t="shared" si="37"/>
        <v>557.3527594183406</v>
      </c>
      <c r="DY35" s="73"/>
      <c r="DZ35" s="73">
        <f t="shared" si="38"/>
        <v>535.5407255548636</v>
      </c>
      <c r="EA35" s="73"/>
      <c r="EB35" s="73">
        <f t="shared" si="39"/>
        <v>570.5636651869632</v>
      </c>
      <c r="EC35" s="73"/>
      <c r="ED35" s="73"/>
      <c r="EE35" s="73"/>
      <c r="EF35" s="73"/>
      <c r="EG35" s="73"/>
      <c r="EH35" s="73">
        <f t="shared" si="40"/>
        <v>552.5281777134319</v>
      </c>
    </row>
    <row r="36" spans="2:138" ht="12.75">
      <c r="B36" s="55" t="s">
        <v>105</v>
      </c>
      <c r="D36" s="55" t="s">
        <v>66</v>
      </c>
      <c r="E36" s="68"/>
      <c r="F36" s="73">
        <f t="shared" si="34"/>
        <v>14.874430318130951</v>
      </c>
      <c r="G36" s="75"/>
      <c r="H36" s="73">
        <f t="shared" si="34"/>
        <v>11.521006719106298</v>
      </c>
      <c r="I36" s="75"/>
      <c r="J36" s="73">
        <f t="shared" si="0"/>
        <v>57.7358767096931</v>
      </c>
      <c r="K36" s="75"/>
      <c r="L36" s="73">
        <f t="shared" si="1"/>
        <v>43.86906093003213</v>
      </c>
      <c r="M36" s="75"/>
      <c r="N36" s="73"/>
      <c r="O36" s="75"/>
      <c r="P36" s="73"/>
      <c r="Q36" s="78" t="s">
        <v>13</v>
      </c>
      <c r="R36" s="73">
        <f t="shared" si="2"/>
        <v>434.6249149217937</v>
      </c>
      <c r="S36" s="78" t="s">
        <v>13</v>
      </c>
      <c r="T36" s="73">
        <f t="shared" si="3"/>
        <v>445.4422645573319</v>
      </c>
      <c r="U36" s="78" t="s">
        <v>13</v>
      </c>
      <c r="V36" s="73">
        <f t="shared" si="4"/>
        <v>437.0659825687048</v>
      </c>
      <c r="W36" s="78" t="s">
        <v>13</v>
      </c>
      <c r="X36" s="73">
        <f t="shared" si="5"/>
        <v>436.03187833486476</v>
      </c>
      <c r="Y36" s="78"/>
      <c r="Z36" s="73"/>
      <c r="AA36" s="78"/>
      <c r="AB36" s="73"/>
      <c r="AC36" s="73"/>
      <c r="AD36" s="73">
        <f t="shared" si="6"/>
        <v>32.66435695996088</v>
      </c>
      <c r="AE36" s="73"/>
      <c r="AF36" s="73">
        <f t="shared" si="7"/>
        <v>20.579432622548733</v>
      </c>
      <c r="AG36" s="73"/>
      <c r="AH36" s="73">
        <f t="shared" si="8"/>
        <v>57.7358767096931</v>
      </c>
      <c r="AI36" s="73"/>
      <c r="AJ36" s="73">
        <f t="shared" si="9"/>
        <v>14.649607619665272</v>
      </c>
      <c r="AK36" s="73"/>
      <c r="AL36" s="73"/>
      <c r="AM36" s="73"/>
      <c r="AN36" s="73"/>
      <c r="AO36" s="73"/>
      <c r="AP36" s="73">
        <f t="shared" si="10"/>
        <v>73.6972681823911</v>
      </c>
      <c r="AQ36" s="73"/>
      <c r="AR36" s="73">
        <f t="shared" si="11"/>
        <v>896.3838163314209</v>
      </c>
      <c r="AS36" s="73"/>
      <c r="AT36" s="73">
        <f t="shared" si="12"/>
        <v>112.50402143898141</v>
      </c>
      <c r="AU36" s="73"/>
      <c r="AV36" s="73">
        <f t="shared" si="13"/>
        <v>146.23020310010708</v>
      </c>
      <c r="AW36" s="73"/>
      <c r="AX36" s="73"/>
      <c r="AY36" s="73"/>
      <c r="AZ36" s="73"/>
      <c r="BA36" s="73"/>
      <c r="BB36" s="73">
        <f t="shared" si="14"/>
        <v>561.5029956753607</v>
      </c>
      <c r="BC36" s="73"/>
      <c r="BD36" s="73">
        <f t="shared" si="15"/>
        <v>635.1676735354548</v>
      </c>
      <c r="BE36" s="73"/>
      <c r="BF36" s="73">
        <f t="shared" si="16"/>
        <v>132.4687638526136</v>
      </c>
      <c r="BG36" s="73"/>
      <c r="BH36" s="73">
        <f t="shared" si="17"/>
        <v>27.916675137293172</v>
      </c>
      <c r="BI36" s="73"/>
      <c r="BJ36" s="73"/>
      <c r="BK36" s="73"/>
      <c r="BL36" s="73"/>
      <c r="BM36" s="73"/>
      <c r="BN36" s="73">
        <f t="shared" si="18"/>
        <v>12660.812739026165</v>
      </c>
      <c r="BO36" s="73"/>
      <c r="BP36" s="73">
        <f t="shared" si="19"/>
        <v>12318.40336553609</v>
      </c>
      <c r="BQ36" s="73"/>
      <c r="BR36" s="73">
        <f t="shared" si="20"/>
        <v>11061.546472417833</v>
      </c>
      <c r="BS36" s="73"/>
      <c r="BT36" s="73">
        <f t="shared" si="21"/>
        <v>15101.591883792877</v>
      </c>
      <c r="BU36" s="73"/>
      <c r="BV36" s="73"/>
      <c r="BW36" s="73"/>
      <c r="BX36" s="73"/>
      <c r="BY36" s="73"/>
      <c r="BZ36" s="73">
        <f t="shared" si="22"/>
        <v>0</v>
      </c>
      <c r="CA36" s="73"/>
      <c r="CB36" s="73">
        <f t="shared" si="23"/>
        <v>0</v>
      </c>
      <c r="CC36" s="73"/>
      <c r="CD36" s="73">
        <f t="shared" si="24"/>
        <v>0</v>
      </c>
      <c r="CE36" s="73"/>
      <c r="CF36" s="73">
        <f t="shared" si="25"/>
        <v>0</v>
      </c>
      <c r="CG36" s="73"/>
      <c r="CH36" s="73"/>
      <c r="CI36" s="73"/>
      <c r="CJ36" s="73"/>
      <c r="CK36" s="73"/>
      <c r="CL36" s="73">
        <f t="shared" si="26"/>
        <v>64.24890046669994</v>
      </c>
      <c r="CM36" s="73"/>
      <c r="CN36" s="73">
        <f t="shared" si="27"/>
        <v>43.719333373219605</v>
      </c>
      <c r="CO36" s="73"/>
      <c r="CP36" s="73">
        <f t="shared" si="28"/>
        <v>24.98290739868028</v>
      </c>
      <c r="CQ36" s="73"/>
      <c r="CR36" s="73">
        <f t="shared" si="29"/>
        <v>13.479765994864417</v>
      </c>
      <c r="CS36" s="73"/>
      <c r="CT36" s="73"/>
      <c r="CU36" s="73"/>
      <c r="CV36" s="73"/>
      <c r="CW36" s="73"/>
      <c r="CX36" s="73">
        <f t="shared" si="30"/>
        <v>13360.261903350618</v>
      </c>
      <c r="CY36" s="73"/>
      <c r="CZ36" s="73">
        <f t="shared" si="31"/>
        <v>13893.674188776185</v>
      </c>
      <c r="DA36" s="73"/>
      <c r="DB36" s="73">
        <f t="shared" si="32"/>
        <v>11331.502165108108</v>
      </c>
      <c r="DC36" s="73"/>
      <c r="DD36" s="73">
        <f t="shared" si="33"/>
        <v>15289.218528025141</v>
      </c>
      <c r="DE36" s="73"/>
      <c r="DF36" s="73"/>
      <c r="DG36" s="73"/>
      <c r="DH36" s="73"/>
      <c r="DI36" s="73"/>
      <c r="DJ36" s="73">
        <f t="shared" si="35"/>
        <v>96.9132574266608</v>
      </c>
      <c r="DK36" s="73"/>
      <c r="DL36" s="73">
        <f t="shared" si="35"/>
        <v>64.29876599576833</v>
      </c>
      <c r="DM36" s="73"/>
      <c r="DN36" s="73">
        <f t="shared" si="35"/>
        <v>82.71878410837338</v>
      </c>
      <c r="DO36" s="73"/>
      <c r="DP36" s="73">
        <f t="shared" si="35"/>
        <v>28.12937361452969</v>
      </c>
      <c r="DQ36" s="73"/>
      <c r="DR36" s="73">
        <f t="shared" si="35"/>
        <v>0</v>
      </c>
      <c r="DS36" s="73"/>
      <c r="DT36" s="73">
        <f t="shared" si="35"/>
        <v>0</v>
      </c>
      <c r="DU36" s="73"/>
      <c r="DV36" s="73">
        <f t="shared" si="36"/>
        <v>13842.425605550501</v>
      </c>
      <c r="DW36" s="73"/>
      <c r="DX36" s="73">
        <f t="shared" si="37"/>
        <v>14371.216892675173</v>
      </c>
      <c r="DY36" s="73"/>
      <c r="DZ36" s="73">
        <f t="shared" si="38"/>
        <v>11884.039901096201</v>
      </c>
      <c r="EA36" s="73"/>
      <c r="EB36" s="73">
        <f t="shared" si="39"/>
        <v>15783.769074909704</v>
      </c>
      <c r="EC36" s="73"/>
      <c r="ED36" s="73"/>
      <c r="EE36" s="73"/>
      <c r="EF36" s="73"/>
      <c r="EG36" s="73"/>
      <c r="EH36" s="73">
        <f t="shared" si="40"/>
        <v>13970.362868557893</v>
      </c>
    </row>
    <row r="37" spans="2:138" ht="12.75">
      <c r="B37" s="55" t="s">
        <v>107</v>
      </c>
      <c r="D37" s="55" t="s">
        <v>66</v>
      </c>
      <c r="E37" s="68"/>
      <c r="F37" s="73">
        <f t="shared" si="34"/>
        <v>394.13191042597435</v>
      </c>
      <c r="G37" s="75"/>
      <c r="H37" s="73">
        <f t="shared" si="34"/>
        <v>368.4522435227313</v>
      </c>
      <c r="I37" s="75"/>
      <c r="J37" s="73">
        <f t="shared" si="0"/>
        <v>493.7226840127961</v>
      </c>
      <c r="K37" s="75"/>
      <c r="L37" s="73">
        <f t="shared" si="1"/>
        <v>497.1826905403641</v>
      </c>
      <c r="M37" s="75"/>
      <c r="N37" s="73"/>
      <c r="O37" s="75"/>
      <c r="P37" s="73"/>
      <c r="Q37" s="78"/>
      <c r="R37" s="73">
        <f t="shared" si="2"/>
        <v>1741.1991933202291</v>
      </c>
      <c r="S37" s="78"/>
      <c r="T37" s="73">
        <f t="shared" si="3"/>
        <v>1787.2683454460848</v>
      </c>
      <c r="U37" s="78"/>
      <c r="V37" s="73">
        <f t="shared" si="4"/>
        <v>4397.639207327091</v>
      </c>
      <c r="W37" s="78"/>
      <c r="X37" s="73">
        <f t="shared" si="5"/>
        <v>2616.191270009189</v>
      </c>
      <c r="Y37" s="78"/>
      <c r="Z37" s="73"/>
      <c r="AA37" s="78"/>
      <c r="AB37" s="73"/>
      <c r="AC37" s="73"/>
      <c r="AD37" s="73">
        <f t="shared" si="6"/>
        <v>92.32405025046796</v>
      </c>
      <c r="AE37" s="73"/>
      <c r="AF37" s="73">
        <f t="shared" si="7"/>
        <v>108.61092253095437</v>
      </c>
      <c r="AG37" s="73"/>
      <c r="AH37" s="73">
        <f t="shared" si="8"/>
        <v>90.92051612694661</v>
      </c>
      <c r="AI37" s="73"/>
      <c r="AJ37" s="73">
        <f t="shared" si="9"/>
        <v>43.86906093003213</v>
      </c>
      <c r="AK37" s="73"/>
      <c r="AL37" s="73"/>
      <c r="AM37" s="73"/>
      <c r="AN37" s="73"/>
      <c r="AO37" s="73"/>
      <c r="AP37" s="73">
        <f t="shared" si="10"/>
        <v>9151.419016055157</v>
      </c>
      <c r="AQ37" s="73"/>
      <c r="AR37" s="73">
        <f t="shared" si="11"/>
        <v>17075.286808031055</v>
      </c>
      <c r="AS37" s="73"/>
      <c r="AT37" s="73">
        <f t="shared" si="12"/>
        <v>15755.958877785406</v>
      </c>
      <c r="AU37" s="73"/>
      <c r="AV37" s="73">
        <f t="shared" si="13"/>
        <v>14224.210665192233</v>
      </c>
      <c r="AW37" s="73"/>
      <c r="AX37" s="73"/>
      <c r="AY37" s="73"/>
      <c r="AZ37" s="73"/>
      <c r="BA37" s="73"/>
      <c r="BB37" s="73">
        <f t="shared" si="14"/>
        <v>56.420252930841535</v>
      </c>
      <c r="BC37" s="73"/>
      <c r="BD37" s="73">
        <f t="shared" si="15"/>
        <v>172.40265424533766</v>
      </c>
      <c r="BE37" s="73"/>
      <c r="BF37" s="73">
        <f t="shared" si="16"/>
        <v>48.293093135677864</v>
      </c>
      <c r="BG37" s="73"/>
      <c r="BH37" s="73">
        <f t="shared" si="17"/>
        <v>65.40478175022972</v>
      </c>
      <c r="BI37" s="73"/>
      <c r="BJ37" s="73"/>
      <c r="BK37" s="73"/>
      <c r="BL37" s="73"/>
      <c r="BM37" s="73"/>
      <c r="BN37" s="73">
        <f t="shared" si="18"/>
        <v>650.5876055661632</v>
      </c>
      <c r="BO37" s="73"/>
      <c r="BP37" s="73">
        <f t="shared" si="19"/>
        <v>174.05244041036485</v>
      </c>
      <c r="BQ37" s="73"/>
      <c r="BR37" s="73">
        <f t="shared" si="20"/>
        <v>106.02896984537095</v>
      </c>
      <c r="BS37" s="73"/>
      <c r="BT37" s="73">
        <f t="shared" si="21"/>
        <v>221.2064163259802</v>
      </c>
      <c r="BU37" s="73"/>
      <c r="BV37" s="73"/>
      <c r="BW37" s="73"/>
      <c r="BX37" s="73"/>
      <c r="BY37" s="73"/>
      <c r="BZ37" s="73">
        <f t="shared" si="22"/>
        <v>0</v>
      </c>
      <c r="CA37" s="73"/>
      <c r="CB37" s="73">
        <f t="shared" si="23"/>
        <v>0</v>
      </c>
      <c r="CC37" s="73"/>
      <c r="CD37" s="73">
        <f t="shared" si="24"/>
        <v>0</v>
      </c>
      <c r="CE37" s="73"/>
      <c r="CF37" s="73">
        <f t="shared" si="25"/>
        <v>0</v>
      </c>
      <c r="CG37" s="73"/>
      <c r="CH37" s="73"/>
      <c r="CI37" s="73"/>
      <c r="CJ37" s="73"/>
      <c r="CK37" s="73"/>
      <c r="CL37" s="73">
        <f t="shared" si="26"/>
        <v>130.38747447653807</v>
      </c>
      <c r="CM37" s="73"/>
      <c r="CN37" s="73">
        <f t="shared" si="27"/>
        <v>83.58916569470918</v>
      </c>
      <c r="CO37" s="73"/>
      <c r="CP37" s="73">
        <f t="shared" si="28"/>
        <v>148.65639283663972</v>
      </c>
      <c r="CQ37" s="73"/>
      <c r="CR37" s="73">
        <f t="shared" si="29"/>
        <v>52.11112692294725</v>
      </c>
      <c r="CS37" s="73"/>
      <c r="CT37" s="73"/>
      <c r="CU37" s="73"/>
      <c r="CV37" s="73"/>
      <c r="CW37" s="73"/>
      <c r="CX37" s="73">
        <f t="shared" si="30"/>
        <v>9988.8143490287</v>
      </c>
      <c r="CY37" s="73"/>
      <c r="CZ37" s="73">
        <f t="shared" si="31"/>
        <v>17505.331068381467</v>
      </c>
      <c r="DA37" s="73"/>
      <c r="DB37" s="73">
        <f t="shared" si="32"/>
        <v>16058.937333603095</v>
      </c>
      <c r="DC37" s="73"/>
      <c r="DD37" s="73">
        <f t="shared" si="33"/>
        <v>14562.93299019139</v>
      </c>
      <c r="DE37" s="73"/>
      <c r="DF37" s="73"/>
      <c r="DG37" s="73"/>
      <c r="DH37" s="73"/>
      <c r="DI37" s="73"/>
      <c r="DJ37" s="73">
        <f t="shared" si="35"/>
        <v>222.71152472700604</v>
      </c>
      <c r="DK37" s="73"/>
      <c r="DL37" s="73">
        <f t="shared" si="35"/>
        <v>192.20008822566354</v>
      </c>
      <c r="DM37" s="73"/>
      <c r="DN37" s="73">
        <f t="shared" si="35"/>
        <v>239.57690896358633</v>
      </c>
      <c r="DO37" s="73"/>
      <c r="DP37" s="73">
        <f t="shared" si="35"/>
        <v>95.98018785297938</v>
      </c>
      <c r="DQ37" s="73"/>
      <c r="DR37" s="73">
        <f t="shared" si="35"/>
        <v>0</v>
      </c>
      <c r="DS37" s="73"/>
      <c r="DT37" s="73">
        <f t="shared" si="35"/>
        <v>0</v>
      </c>
      <c r="DU37" s="73"/>
      <c r="DV37" s="73">
        <f t="shared" si="36"/>
        <v>12216.469503025373</v>
      </c>
      <c r="DW37" s="73"/>
      <c r="DX37" s="73">
        <f t="shared" si="37"/>
        <v>19769.66257988124</v>
      </c>
      <c r="DY37" s="73"/>
      <c r="DZ37" s="73">
        <f t="shared" si="38"/>
        <v>21041.219741069926</v>
      </c>
      <c r="EA37" s="73"/>
      <c r="EB37" s="73">
        <f t="shared" si="39"/>
        <v>17720.176011670977</v>
      </c>
      <c r="EC37" s="73"/>
      <c r="ED37" s="73"/>
      <c r="EE37" s="73"/>
      <c r="EF37" s="73"/>
      <c r="EG37" s="73"/>
      <c r="EH37" s="73">
        <f t="shared" si="40"/>
        <v>17686.88195891188</v>
      </c>
    </row>
    <row r="38" spans="2:138" ht="12.75">
      <c r="B38" s="55" t="s">
        <v>191</v>
      </c>
      <c r="D38" s="55" t="s">
        <v>66</v>
      </c>
      <c r="E38" s="68"/>
      <c r="F38" s="73">
        <f t="shared" si="34"/>
        <v>0</v>
      </c>
      <c r="G38" s="75"/>
      <c r="H38" s="73">
        <f t="shared" si="34"/>
        <v>0</v>
      </c>
      <c r="I38" s="75"/>
      <c r="J38" s="73">
        <f t="shared" si="0"/>
        <v>0</v>
      </c>
      <c r="K38" s="75"/>
      <c r="L38" s="73">
        <f t="shared" si="1"/>
        <v>0</v>
      </c>
      <c r="M38" s="75"/>
      <c r="N38" s="73"/>
      <c r="O38" s="75"/>
      <c r="P38" s="73"/>
      <c r="Q38" s="78"/>
      <c r="R38" s="73">
        <f t="shared" si="2"/>
        <v>0</v>
      </c>
      <c r="S38" s="78"/>
      <c r="T38" s="73">
        <f t="shared" si="3"/>
        <v>0</v>
      </c>
      <c r="U38" s="78"/>
      <c r="V38" s="73">
        <f t="shared" si="4"/>
        <v>0</v>
      </c>
      <c r="W38" s="78"/>
      <c r="X38" s="73">
        <f t="shared" si="5"/>
        <v>0</v>
      </c>
      <c r="Y38" s="78"/>
      <c r="Z38" s="73"/>
      <c r="AA38" s="78"/>
      <c r="AB38" s="73"/>
      <c r="AC38" s="73"/>
      <c r="AD38" s="73">
        <f t="shared" si="6"/>
        <v>0</v>
      </c>
      <c r="AE38" s="73"/>
      <c r="AF38" s="73">
        <f t="shared" si="7"/>
        <v>0</v>
      </c>
      <c r="AG38" s="73"/>
      <c r="AH38" s="73">
        <f t="shared" si="8"/>
        <v>0</v>
      </c>
      <c r="AI38" s="73"/>
      <c r="AJ38" s="73">
        <f t="shared" si="9"/>
        <v>0</v>
      </c>
      <c r="AK38" s="73"/>
      <c r="AL38" s="73"/>
      <c r="AM38" s="73"/>
      <c r="AN38" s="73"/>
      <c r="AO38" s="73"/>
      <c r="AP38" s="73">
        <f t="shared" si="10"/>
        <v>7342.731481908563</v>
      </c>
      <c r="AQ38" s="73"/>
      <c r="AR38" s="73">
        <f t="shared" si="11"/>
        <v>14903.068357411967</v>
      </c>
      <c r="AS38" s="73"/>
      <c r="AT38" s="73">
        <f t="shared" si="12"/>
        <v>12599.371225900313</v>
      </c>
      <c r="AU38" s="73"/>
      <c r="AV38" s="73">
        <f t="shared" si="13"/>
        <v>9943.653810807284</v>
      </c>
      <c r="AW38" s="73"/>
      <c r="AX38" s="73"/>
      <c r="AY38" s="73"/>
      <c r="AZ38" s="73"/>
      <c r="BA38" s="73"/>
      <c r="BB38" s="73">
        <f t="shared" si="14"/>
        <v>64.78880719331084</v>
      </c>
      <c r="BC38" s="73"/>
      <c r="BD38" s="73">
        <f t="shared" si="15"/>
        <v>27.276464595115627</v>
      </c>
      <c r="BE38" s="73"/>
      <c r="BF38" s="73">
        <f t="shared" si="16"/>
        <v>67.17866028370831</v>
      </c>
      <c r="BG38" s="73"/>
      <c r="BH38" s="73">
        <f t="shared" si="17"/>
        <v>0</v>
      </c>
      <c r="BI38" s="73"/>
      <c r="BJ38" s="73"/>
      <c r="BK38" s="73"/>
      <c r="BL38" s="73"/>
      <c r="BM38" s="73"/>
      <c r="BN38" s="73">
        <f t="shared" si="18"/>
        <v>145.50486282164397</v>
      </c>
      <c r="BO38" s="73"/>
      <c r="BP38" s="73">
        <f t="shared" si="19"/>
        <v>0</v>
      </c>
      <c r="BQ38" s="73"/>
      <c r="BR38" s="73">
        <f t="shared" si="20"/>
        <v>0</v>
      </c>
      <c r="BS38" s="73"/>
      <c r="BT38" s="73">
        <f t="shared" si="21"/>
        <v>1.4649607619665275</v>
      </c>
      <c r="BU38" s="73"/>
      <c r="BV38" s="73"/>
      <c r="BW38" s="73"/>
      <c r="BX38" s="73"/>
      <c r="BY38" s="73"/>
      <c r="BZ38" s="73">
        <f t="shared" si="22"/>
        <v>0</v>
      </c>
      <c r="CA38" s="73"/>
      <c r="CB38" s="73">
        <f t="shared" si="23"/>
        <v>0</v>
      </c>
      <c r="CC38" s="73"/>
      <c r="CD38" s="73">
        <f t="shared" si="24"/>
        <v>0</v>
      </c>
      <c r="CE38" s="73"/>
      <c r="CF38" s="73">
        <f t="shared" si="25"/>
        <v>0</v>
      </c>
      <c r="CG38" s="73"/>
      <c r="CH38" s="73"/>
      <c r="CI38" s="73"/>
      <c r="CJ38" s="73"/>
      <c r="CK38" s="73"/>
      <c r="CL38" s="73">
        <f t="shared" si="26"/>
        <v>0</v>
      </c>
      <c r="CM38" s="73"/>
      <c r="CN38" s="73">
        <f t="shared" si="27"/>
        <v>0</v>
      </c>
      <c r="CO38" s="73"/>
      <c r="CP38" s="73">
        <f t="shared" si="28"/>
        <v>0</v>
      </c>
      <c r="CQ38" s="73"/>
      <c r="CR38" s="73">
        <f t="shared" si="29"/>
        <v>0</v>
      </c>
      <c r="CS38" s="73"/>
      <c r="CT38" s="73"/>
      <c r="CU38" s="73"/>
      <c r="CV38" s="73"/>
      <c r="CW38" s="73"/>
      <c r="CX38" s="73">
        <f t="shared" si="30"/>
        <v>7553.025151923518</v>
      </c>
      <c r="CY38" s="73"/>
      <c r="CZ38" s="73">
        <f t="shared" si="31"/>
        <v>14930.344822007082</v>
      </c>
      <c r="DA38" s="73"/>
      <c r="DB38" s="73">
        <f t="shared" si="32"/>
        <v>12666.549886184022</v>
      </c>
      <c r="DC38" s="73"/>
      <c r="DD38" s="73">
        <f t="shared" si="33"/>
        <v>9945.11877156925</v>
      </c>
      <c r="DE38" s="73"/>
      <c r="DF38" s="73"/>
      <c r="DG38" s="73"/>
      <c r="DH38" s="73"/>
      <c r="DI38" s="73"/>
      <c r="DJ38" s="73">
        <f t="shared" si="35"/>
        <v>0</v>
      </c>
      <c r="DK38" s="73"/>
      <c r="DL38" s="73">
        <f t="shared" si="35"/>
        <v>0</v>
      </c>
      <c r="DM38" s="73"/>
      <c r="DN38" s="73">
        <f t="shared" si="35"/>
        <v>0</v>
      </c>
      <c r="DO38" s="73"/>
      <c r="DP38" s="73">
        <f t="shared" si="35"/>
        <v>0</v>
      </c>
      <c r="DQ38" s="73"/>
      <c r="DR38" s="73">
        <f t="shared" si="35"/>
        <v>0</v>
      </c>
      <c r="DS38" s="73"/>
      <c r="DT38" s="73">
        <f t="shared" si="35"/>
        <v>0</v>
      </c>
      <c r="DU38" s="73"/>
      <c r="DV38" s="73">
        <f t="shared" si="36"/>
        <v>7553.025151923518</v>
      </c>
      <c r="DW38" s="73"/>
      <c r="DX38" s="73">
        <f t="shared" si="37"/>
        <v>14930.344822007082</v>
      </c>
      <c r="DY38" s="73"/>
      <c r="DZ38" s="73">
        <f t="shared" si="38"/>
        <v>12666.549886184022</v>
      </c>
      <c r="EA38" s="73"/>
      <c r="EB38" s="73">
        <f t="shared" si="39"/>
        <v>9945.11877156925</v>
      </c>
      <c r="EC38" s="73"/>
      <c r="ED38" s="73"/>
      <c r="EE38" s="73"/>
      <c r="EF38" s="73"/>
      <c r="EG38" s="73"/>
      <c r="EH38" s="73">
        <f t="shared" si="40"/>
        <v>11273.759657920968</v>
      </c>
    </row>
    <row r="39" spans="2:138" ht="12.75">
      <c r="B39" s="55" t="s">
        <v>103</v>
      </c>
      <c r="D39" s="55" t="s">
        <v>66</v>
      </c>
      <c r="E39" s="68"/>
      <c r="F39" s="73">
        <f t="shared" si="34"/>
        <v>296.9486996360081</v>
      </c>
      <c r="G39" s="75"/>
      <c r="H39" s="73">
        <f t="shared" si="34"/>
        <v>253.51714069250616</v>
      </c>
      <c r="I39" s="75"/>
      <c r="J39" s="73">
        <f t="shared" si="0"/>
        <v>631.3175303770179</v>
      </c>
      <c r="K39" s="75"/>
      <c r="L39" s="73">
        <f t="shared" si="1"/>
        <v>584.9208124004283</v>
      </c>
      <c r="M39" s="75"/>
      <c r="N39" s="73"/>
      <c r="O39" s="75"/>
      <c r="P39" s="73"/>
      <c r="Q39" s="78"/>
      <c r="R39" s="73">
        <f t="shared" si="2"/>
        <v>3482.3983866404583</v>
      </c>
      <c r="S39" s="78"/>
      <c r="T39" s="73">
        <f t="shared" si="3"/>
        <v>2680.9025181691272</v>
      </c>
      <c r="U39" s="78"/>
      <c r="V39" s="73">
        <f t="shared" si="4"/>
        <v>4397.639207327091</v>
      </c>
      <c r="W39" s="78"/>
      <c r="X39" s="73">
        <f t="shared" si="5"/>
        <v>5237.70000194929</v>
      </c>
      <c r="Y39" s="78"/>
      <c r="Z39" s="73"/>
      <c r="AA39" s="78"/>
      <c r="AB39" s="73"/>
      <c r="AC39" s="73"/>
      <c r="AD39" s="73">
        <f t="shared" si="6"/>
        <v>626.2918028686715</v>
      </c>
      <c r="AE39" s="73"/>
      <c r="AF39" s="73">
        <f t="shared" si="7"/>
        <v>373.9515307394886</v>
      </c>
      <c r="AG39" s="73"/>
      <c r="AH39" s="73">
        <f t="shared" si="8"/>
        <v>704.1618608051353</v>
      </c>
      <c r="AI39" s="73"/>
      <c r="AJ39" s="73">
        <f t="shared" si="9"/>
        <v>640.7541626750146</v>
      </c>
      <c r="AK39" s="73"/>
      <c r="AL39" s="73"/>
      <c r="AM39" s="73"/>
      <c r="AN39" s="73"/>
      <c r="AO39" s="73"/>
      <c r="AP39" s="73">
        <f t="shared" si="10"/>
        <v>50.751232301426846</v>
      </c>
      <c r="AQ39" s="73"/>
      <c r="AR39" s="73">
        <f t="shared" si="11"/>
        <v>962.3752629325071</v>
      </c>
      <c r="AS39" s="73"/>
      <c r="AT39" s="73">
        <f t="shared" si="12"/>
        <v>196.4098983395167</v>
      </c>
      <c r="AU39" s="73"/>
      <c r="AV39" s="73">
        <f t="shared" si="13"/>
        <v>161.91671579630037</v>
      </c>
      <c r="AW39" s="73"/>
      <c r="AX39" s="73"/>
      <c r="AY39" s="73"/>
      <c r="AZ39" s="73"/>
      <c r="BA39" s="73"/>
      <c r="BB39" s="73">
        <f t="shared" si="14"/>
        <v>12012.924667093055</v>
      </c>
      <c r="BC39" s="73"/>
      <c r="BD39" s="73">
        <f t="shared" si="15"/>
        <v>38769.974878138135</v>
      </c>
      <c r="BE39" s="73"/>
      <c r="BF39" s="73">
        <f t="shared" si="16"/>
        <v>16457.42280042653</v>
      </c>
      <c r="BG39" s="73"/>
      <c r="BH39" s="73">
        <f t="shared" si="17"/>
        <v>14091.27411691941</v>
      </c>
      <c r="BI39" s="73"/>
      <c r="BJ39" s="73"/>
      <c r="BK39" s="73"/>
      <c r="BL39" s="73"/>
      <c r="BM39" s="73"/>
      <c r="BN39" s="73">
        <f t="shared" si="18"/>
        <v>219.47208436734041</v>
      </c>
      <c r="BO39" s="73"/>
      <c r="BP39" s="73">
        <f t="shared" si="19"/>
        <v>174.6023691320406</v>
      </c>
      <c r="BQ39" s="73"/>
      <c r="BR39" s="73">
        <f t="shared" si="20"/>
        <v>47.48371168647656</v>
      </c>
      <c r="BS39" s="73"/>
      <c r="BT39" s="73">
        <f t="shared" si="21"/>
        <v>436.03187833486476</v>
      </c>
      <c r="BU39" s="73"/>
      <c r="BV39" s="73"/>
      <c r="BW39" s="73"/>
      <c r="BX39" s="73"/>
      <c r="BY39" s="73"/>
      <c r="BZ39" s="73">
        <f t="shared" si="22"/>
        <v>0</v>
      </c>
      <c r="CA39" s="73"/>
      <c r="CB39" s="73">
        <f t="shared" si="23"/>
        <v>0</v>
      </c>
      <c r="CC39" s="73"/>
      <c r="CD39" s="73">
        <f t="shared" si="24"/>
        <v>0</v>
      </c>
      <c r="CE39" s="73"/>
      <c r="CF39" s="73">
        <f t="shared" si="25"/>
        <v>0</v>
      </c>
      <c r="CG39" s="73"/>
      <c r="CH39" s="73"/>
      <c r="CI39" s="73"/>
      <c r="CJ39" s="73"/>
      <c r="CK39" s="73"/>
      <c r="CL39" s="73">
        <f t="shared" si="26"/>
        <v>620.8927356025622</v>
      </c>
      <c r="CM39" s="73"/>
      <c r="CN39" s="73">
        <f t="shared" si="27"/>
        <v>145.4561468832275</v>
      </c>
      <c r="CO39" s="73"/>
      <c r="CP39" s="73">
        <f t="shared" si="28"/>
        <v>580.0567052609354</v>
      </c>
      <c r="CQ39" s="73"/>
      <c r="CR39" s="73">
        <f t="shared" si="29"/>
        <v>475.9128428167121</v>
      </c>
      <c r="CS39" s="73"/>
      <c r="CT39" s="73"/>
      <c r="CU39" s="73"/>
      <c r="CV39" s="73"/>
      <c r="CW39" s="73"/>
      <c r="CX39" s="73">
        <f t="shared" si="30"/>
        <v>12904.040719364384</v>
      </c>
      <c r="CY39" s="73"/>
      <c r="CZ39" s="73">
        <f t="shared" si="31"/>
        <v>40052.408657085914</v>
      </c>
      <c r="DA39" s="73"/>
      <c r="DB39" s="73">
        <f t="shared" si="32"/>
        <v>17281.37311571346</v>
      </c>
      <c r="DC39" s="73"/>
      <c r="DD39" s="73">
        <f t="shared" si="33"/>
        <v>15165.135553867287</v>
      </c>
      <c r="DE39" s="73"/>
      <c r="DF39" s="73"/>
      <c r="DG39" s="73"/>
      <c r="DH39" s="73"/>
      <c r="DI39" s="73"/>
      <c r="DJ39" s="73">
        <f t="shared" si="35"/>
        <v>1247.1845384712337</v>
      </c>
      <c r="DK39" s="73"/>
      <c r="DL39" s="73">
        <f t="shared" si="35"/>
        <v>519.407677622716</v>
      </c>
      <c r="DM39" s="73"/>
      <c r="DN39" s="73">
        <f t="shared" si="35"/>
        <v>1284.2185660660707</v>
      </c>
      <c r="DO39" s="73"/>
      <c r="DP39" s="73">
        <f t="shared" si="35"/>
        <v>1116.6670054917267</v>
      </c>
      <c r="DQ39" s="73"/>
      <c r="DR39" s="73">
        <f t="shared" si="35"/>
        <v>0</v>
      </c>
      <c r="DS39" s="73"/>
      <c r="DT39" s="73">
        <f t="shared" si="35"/>
        <v>0</v>
      </c>
      <c r="DU39" s="73"/>
      <c r="DV39" s="73">
        <f t="shared" si="36"/>
        <v>17309.67960850952</v>
      </c>
      <c r="DW39" s="73"/>
      <c r="DX39" s="73">
        <f t="shared" si="37"/>
        <v>43360.77984668704</v>
      </c>
      <c r="DY39" s="73"/>
      <c r="DZ39" s="73">
        <f t="shared" si="38"/>
        <v>23014.491714222706</v>
      </c>
      <c r="EA39" s="73"/>
      <c r="EB39" s="73">
        <f t="shared" si="39"/>
        <v>21628.51053089202</v>
      </c>
      <c r="EC39" s="73"/>
      <c r="ED39" s="73"/>
      <c r="EE39" s="73"/>
      <c r="EF39" s="73"/>
      <c r="EG39" s="73"/>
      <c r="EH39" s="73">
        <f t="shared" si="40"/>
        <v>26328.36542507782</v>
      </c>
    </row>
    <row r="40" spans="2:144" ht="12.75">
      <c r="B40" s="55" t="s">
        <v>110</v>
      </c>
      <c r="D40" s="55" t="s">
        <v>66</v>
      </c>
      <c r="E40" s="68"/>
      <c r="F40" s="73">
        <f t="shared" si="34"/>
        <v>12.498840721042884</v>
      </c>
      <c r="G40" s="75"/>
      <c r="H40" s="73">
        <f t="shared" si="34"/>
        <v>13.94069309447946</v>
      </c>
      <c r="I40" s="75"/>
      <c r="J40" s="73">
        <f t="shared" si="0"/>
        <v>13.678546491502056</v>
      </c>
      <c r="K40" s="75"/>
      <c r="L40" s="73">
        <f t="shared" si="1"/>
        <v>14.649607619665272</v>
      </c>
      <c r="M40" s="75"/>
      <c r="N40" s="73"/>
      <c r="O40" s="75"/>
      <c r="P40" s="73"/>
      <c r="Q40" s="78" t="s">
        <v>13</v>
      </c>
      <c r="R40" s="73">
        <f t="shared" si="2"/>
        <v>86.92498298435873</v>
      </c>
      <c r="S40" s="78" t="s">
        <v>13</v>
      </c>
      <c r="T40" s="73">
        <f t="shared" si="3"/>
        <v>89.08845291146636</v>
      </c>
      <c r="U40" s="78" t="s">
        <v>13</v>
      </c>
      <c r="V40" s="73">
        <f t="shared" si="4"/>
        <v>87.41319651374094</v>
      </c>
      <c r="W40" s="78" t="s">
        <v>13</v>
      </c>
      <c r="X40" s="73">
        <f t="shared" si="5"/>
        <v>87.20637566697296</v>
      </c>
      <c r="Y40" s="78"/>
      <c r="Z40" s="73"/>
      <c r="AA40" s="78"/>
      <c r="AB40" s="73"/>
      <c r="AC40" s="73"/>
      <c r="AD40" s="73">
        <f t="shared" si="6"/>
        <v>3.563384395632097</v>
      </c>
      <c r="AE40" s="73"/>
      <c r="AF40" s="73">
        <f t="shared" si="7"/>
        <v>3.6295295630597413</v>
      </c>
      <c r="AG40" s="73"/>
      <c r="AH40" s="73">
        <f t="shared" si="8"/>
        <v>6.555989738530569</v>
      </c>
      <c r="AI40" s="73"/>
      <c r="AJ40" s="73">
        <f t="shared" si="9"/>
        <v>0</v>
      </c>
      <c r="AK40" s="73"/>
      <c r="AL40" s="73"/>
      <c r="AM40" s="73"/>
      <c r="AN40" s="73"/>
      <c r="AO40" s="73"/>
      <c r="AP40" s="73">
        <f t="shared" si="10"/>
        <v>0.1190494332177087</v>
      </c>
      <c r="AQ40" s="73"/>
      <c r="AR40" s="73">
        <f t="shared" si="11"/>
        <v>0.36295295630597413</v>
      </c>
      <c r="AS40" s="73"/>
      <c r="AT40" s="73">
        <f t="shared" si="12"/>
        <v>0.23795814606518373</v>
      </c>
      <c r="AU40" s="73"/>
      <c r="AV40" s="73">
        <f t="shared" si="13"/>
        <v>0.17574211681667415</v>
      </c>
      <c r="AW40" s="73"/>
      <c r="AX40" s="73"/>
      <c r="AY40" s="73"/>
      <c r="AZ40" s="73"/>
      <c r="BA40" s="73"/>
      <c r="BB40" s="73">
        <f t="shared" si="14"/>
        <v>1.3686635519586918</v>
      </c>
      <c r="BC40" s="73"/>
      <c r="BD40" s="73">
        <f t="shared" si="15"/>
        <v>1.6360379469852626</v>
      </c>
      <c r="BE40" s="73"/>
      <c r="BF40" s="73">
        <f t="shared" si="16"/>
        <v>3.507319613205656</v>
      </c>
      <c r="BG40" s="73"/>
      <c r="BH40" s="73">
        <f t="shared" si="17"/>
        <v>0</v>
      </c>
      <c r="BI40" s="73"/>
      <c r="BJ40" s="73"/>
      <c r="BK40" s="73"/>
      <c r="BL40" s="73"/>
      <c r="BM40" s="73"/>
      <c r="BN40" s="73">
        <f t="shared" si="18"/>
        <v>0.059389739927201604</v>
      </c>
      <c r="BO40" s="73"/>
      <c r="BP40" s="73">
        <f t="shared" si="19"/>
        <v>0.06049215938432901</v>
      </c>
      <c r="BQ40" s="73"/>
      <c r="BR40" s="73">
        <f t="shared" si="20"/>
        <v>0.05935463960809569</v>
      </c>
      <c r="BS40" s="73"/>
      <c r="BT40" s="73">
        <f t="shared" si="21"/>
        <v>0.05849208124004283</v>
      </c>
      <c r="BU40" s="73"/>
      <c r="BV40" s="73"/>
      <c r="BW40" s="73"/>
      <c r="BX40" s="73"/>
      <c r="BY40" s="73"/>
      <c r="BZ40" s="73">
        <f t="shared" si="22"/>
        <v>0</v>
      </c>
      <c r="CA40" s="73"/>
      <c r="CB40" s="73">
        <f t="shared" si="23"/>
        <v>0</v>
      </c>
      <c r="CC40" s="73"/>
      <c r="CD40" s="73">
        <f t="shared" si="24"/>
        <v>0</v>
      </c>
      <c r="CE40" s="73"/>
      <c r="CF40" s="73">
        <f t="shared" si="25"/>
        <v>0</v>
      </c>
      <c r="CG40" s="73"/>
      <c r="CH40" s="73"/>
      <c r="CI40" s="73"/>
      <c r="CJ40" s="73"/>
      <c r="CK40" s="73"/>
      <c r="CL40" s="73">
        <f t="shared" si="26"/>
        <v>0</v>
      </c>
      <c r="CM40" s="73"/>
      <c r="CN40" s="73">
        <f t="shared" si="27"/>
        <v>0</v>
      </c>
      <c r="CO40" s="73"/>
      <c r="CP40" s="73">
        <f t="shared" si="28"/>
        <v>1.7833371264068756</v>
      </c>
      <c r="CQ40" s="73"/>
      <c r="CR40" s="73">
        <f t="shared" si="29"/>
        <v>0</v>
      </c>
      <c r="CS40" s="73"/>
      <c r="CT40" s="73"/>
      <c r="CU40" s="73"/>
      <c r="CV40" s="73"/>
      <c r="CW40" s="73"/>
      <c r="CX40" s="73">
        <f t="shared" si="30"/>
        <v>1.5471027251036022</v>
      </c>
      <c r="CY40" s="73"/>
      <c r="CZ40" s="73">
        <f t="shared" si="31"/>
        <v>2.059483062675566</v>
      </c>
      <c r="DA40" s="73"/>
      <c r="DB40" s="73">
        <f t="shared" si="32"/>
        <v>5.587969525285811</v>
      </c>
      <c r="DC40" s="73"/>
      <c r="DD40" s="73">
        <f t="shared" si="33"/>
        <v>0.23423419805671697</v>
      </c>
      <c r="DE40" s="73"/>
      <c r="DF40" s="73"/>
      <c r="DG40" s="73"/>
      <c r="DH40" s="73"/>
      <c r="DI40" s="73"/>
      <c r="DJ40" s="73">
        <f t="shared" si="35"/>
        <v>3.563384395632097</v>
      </c>
      <c r="DK40" s="73"/>
      <c r="DL40" s="73">
        <f t="shared" si="35"/>
        <v>3.6295295630597413</v>
      </c>
      <c r="DM40" s="73"/>
      <c r="DN40" s="73">
        <f t="shared" si="35"/>
        <v>8.339326864937444</v>
      </c>
      <c r="DO40" s="73"/>
      <c r="DP40" s="73">
        <f t="shared" si="35"/>
        <v>0</v>
      </c>
      <c r="DQ40" s="73"/>
      <c r="DR40" s="73">
        <f t="shared" si="35"/>
        <v>0</v>
      </c>
      <c r="DS40" s="73"/>
      <c r="DT40" s="73">
        <f t="shared" si="35"/>
        <v>0</v>
      </c>
      <c r="DU40" s="73"/>
      <c r="DV40" s="73">
        <f>CL40+BZ40+BN40+BB40+AP40+AD40+R40+F40</f>
        <v>104.53431082613731</v>
      </c>
      <c r="DW40" s="73"/>
      <c r="DX40" s="73">
        <f>CN40+CB40+BP40+BD40+AR40+AF40+T40+H40</f>
        <v>108.71815863168112</v>
      </c>
      <c r="DY40" s="73"/>
      <c r="DZ40" s="73">
        <f>CP40+CD40+BR40+BF40+AT40+AH40+V40+J40</f>
        <v>113.23570226905939</v>
      </c>
      <c r="EA40" s="73"/>
      <c r="EB40" s="73">
        <f>CR40+CF40+BT40+BH40+AV40+AJ40+X40+L40</f>
        <v>102.09021748469495</v>
      </c>
      <c r="EC40" s="73"/>
      <c r="ED40" s="73"/>
      <c r="EE40" s="73"/>
      <c r="EF40" s="73"/>
      <c r="EG40" s="73"/>
      <c r="EH40" s="73">
        <f t="shared" si="40"/>
        <v>107.1445973028932</v>
      </c>
      <c r="EK40" s="57">
        <f>AVERAGE(AD40,AF40,AH40,AJ40,AL40,AN40)+AVERAGE(CL40,CN40,CP40,CR40,CT40,CV40)</f>
        <v>3.8830602059073205</v>
      </c>
      <c r="EL40" s="57">
        <f>AVERAGE(AP40,AR40,AT40,AV40,AX40,AZ40)+AVERAGE(BB40,BD40,BF40,BH40,BJ40,BL40)+AVERAGE(BN40,BP40,BR40,BT40,BV40,BX40)+AVERAGE(BZ40,CB40,CD40,CF40,CH40,CJ40)</f>
        <v>1.911363096178705</v>
      </c>
      <c r="EM40" s="57">
        <f>AVERAGE(F40,H40,J40,L40,N40,P40)+AVERAGE(R40,T40,V40,X40,Z40,AB40)/2</f>
        <v>57.5210479912398</v>
      </c>
      <c r="EN40" s="57">
        <f>SUM(EK40,EL40,EM40)</f>
        <v>63.31547129332582</v>
      </c>
    </row>
    <row r="41" spans="2:138" ht="12.75">
      <c r="B41" s="55" t="s">
        <v>104</v>
      </c>
      <c r="D41" s="55" t="s">
        <v>66</v>
      </c>
      <c r="E41" s="68"/>
      <c r="F41" s="73">
        <f t="shared" si="34"/>
        <v>418.42771312346594</v>
      </c>
      <c r="G41" s="75"/>
      <c r="H41" s="73">
        <f t="shared" si="34"/>
        <v>390.4493923897599</v>
      </c>
      <c r="I41" s="75"/>
      <c r="J41" s="73">
        <f t="shared" si="0"/>
        <v>383.10721928861767</v>
      </c>
      <c r="K41" s="75"/>
      <c r="L41" s="73">
        <f t="shared" si="1"/>
        <v>497.1826905403641</v>
      </c>
      <c r="M41" s="75"/>
      <c r="N41" s="73"/>
      <c r="O41" s="75"/>
      <c r="P41" s="73"/>
      <c r="Q41" s="78" t="s">
        <v>13</v>
      </c>
      <c r="R41" s="73">
        <f t="shared" si="2"/>
        <v>3482.3983866404583</v>
      </c>
      <c r="S41" s="78" t="s">
        <v>13</v>
      </c>
      <c r="T41" s="73">
        <f t="shared" si="3"/>
        <v>3574.5366908921696</v>
      </c>
      <c r="U41" s="78"/>
      <c r="V41" s="73">
        <f t="shared" si="4"/>
        <v>5260.979419808483</v>
      </c>
      <c r="W41" s="78" t="s">
        <v>13</v>
      </c>
      <c r="X41" s="73">
        <f t="shared" si="5"/>
        <v>3482.9375647480056</v>
      </c>
      <c r="Y41" s="78"/>
      <c r="Z41" s="73"/>
      <c r="AA41" s="78"/>
      <c r="AB41" s="73"/>
      <c r="AC41" s="73"/>
      <c r="AD41" s="73">
        <f t="shared" si="6"/>
        <v>49.40146548489952</v>
      </c>
      <c r="AE41" s="73"/>
      <c r="AF41" s="73">
        <f t="shared" si="7"/>
        <v>0</v>
      </c>
      <c r="AG41" s="73"/>
      <c r="AH41" s="73">
        <f t="shared" si="8"/>
        <v>64.21092830330355</v>
      </c>
      <c r="AI41" s="73"/>
      <c r="AJ41" s="73">
        <f t="shared" si="9"/>
        <v>0</v>
      </c>
      <c r="AK41" s="73"/>
      <c r="AL41" s="73"/>
      <c r="AM41" s="73"/>
      <c r="AN41" s="73"/>
      <c r="AO41" s="73"/>
      <c r="AP41" s="73">
        <f t="shared" si="10"/>
        <v>57.77001974736884</v>
      </c>
      <c r="AQ41" s="73"/>
      <c r="AR41" s="73">
        <f t="shared" si="11"/>
        <v>102.56170659252146</v>
      </c>
      <c r="AS41" s="73"/>
      <c r="AT41" s="73">
        <f t="shared" si="12"/>
        <v>82.5569078185331</v>
      </c>
      <c r="AU41" s="73"/>
      <c r="AV41" s="73">
        <f t="shared" si="13"/>
        <v>74.17859393623614</v>
      </c>
      <c r="AW41" s="73"/>
      <c r="AX41" s="73"/>
      <c r="AY41" s="73"/>
      <c r="AZ41" s="73"/>
      <c r="BA41" s="73"/>
      <c r="BB41" s="73">
        <f t="shared" si="14"/>
        <v>407.6295785912474</v>
      </c>
      <c r="BC41" s="73"/>
      <c r="BD41" s="73">
        <f t="shared" si="15"/>
        <v>533.4308600254468</v>
      </c>
      <c r="BE41" s="73"/>
      <c r="BF41" s="73">
        <f t="shared" si="16"/>
        <v>561.1711381129048</v>
      </c>
      <c r="BG41" s="73"/>
      <c r="BH41" s="73">
        <f t="shared" si="17"/>
        <v>0</v>
      </c>
      <c r="BI41" s="73"/>
      <c r="BJ41" s="73"/>
      <c r="BK41" s="73"/>
      <c r="BL41" s="73"/>
      <c r="BM41" s="73"/>
      <c r="BN41" s="73">
        <f t="shared" si="18"/>
        <v>27.53524305715711</v>
      </c>
      <c r="BO41" s="73"/>
      <c r="BP41" s="73">
        <f t="shared" si="19"/>
        <v>32.72075893970525</v>
      </c>
      <c r="BQ41" s="73"/>
      <c r="BR41" s="73">
        <f t="shared" si="20"/>
        <v>21.04391767923393</v>
      </c>
      <c r="BS41" s="73"/>
      <c r="BT41" s="73">
        <f t="shared" si="21"/>
        <v>25.8428649842371</v>
      </c>
      <c r="BU41" s="73"/>
      <c r="BV41" s="73"/>
      <c r="BW41" s="73"/>
      <c r="BX41" s="73"/>
      <c r="BY41" s="73"/>
      <c r="BZ41" s="73">
        <f t="shared" si="22"/>
        <v>0</v>
      </c>
      <c r="CA41" s="73"/>
      <c r="CB41" s="73">
        <f t="shared" si="23"/>
        <v>0</v>
      </c>
      <c r="CC41" s="73"/>
      <c r="CD41" s="73">
        <f t="shared" si="24"/>
        <v>0</v>
      </c>
      <c r="CE41" s="73"/>
      <c r="CF41" s="73">
        <f t="shared" si="25"/>
        <v>0</v>
      </c>
      <c r="CG41" s="73"/>
      <c r="CH41" s="73"/>
      <c r="CI41" s="73"/>
      <c r="CJ41" s="73"/>
      <c r="CK41" s="73"/>
      <c r="CL41" s="73">
        <f t="shared" si="26"/>
        <v>0</v>
      </c>
      <c r="CM41" s="73"/>
      <c r="CN41" s="73">
        <f t="shared" si="27"/>
        <v>0</v>
      </c>
      <c r="CO41" s="73"/>
      <c r="CP41" s="73">
        <f t="shared" si="28"/>
        <v>0</v>
      </c>
      <c r="CQ41" s="73"/>
      <c r="CR41" s="73">
        <f t="shared" si="29"/>
        <v>0</v>
      </c>
      <c r="CS41" s="73"/>
      <c r="CT41" s="73"/>
      <c r="CU41" s="73"/>
      <c r="CV41" s="73"/>
      <c r="CW41" s="73"/>
      <c r="CX41" s="73">
        <f t="shared" si="30"/>
        <v>492.9348413957734</v>
      </c>
      <c r="CY41" s="73"/>
      <c r="CZ41" s="73">
        <f t="shared" si="31"/>
        <v>668.7133255576734</v>
      </c>
      <c r="DA41" s="73"/>
      <c r="DB41" s="73">
        <f t="shared" si="32"/>
        <v>664.7719636106718</v>
      </c>
      <c r="DC41" s="73"/>
      <c r="DD41" s="73">
        <f t="shared" si="33"/>
        <v>100.02145892047324</v>
      </c>
      <c r="DE41" s="73"/>
      <c r="DF41" s="73"/>
      <c r="DG41" s="73"/>
      <c r="DH41" s="73"/>
      <c r="DI41" s="73"/>
      <c r="DJ41" s="73">
        <f t="shared" si="35"/>
        <v>49.40146548489952</v>
      </c>
      <c r="DK41" s="73"/>
      <c r="DL41" s="73">
        <f t="shared" si="35"/>
        <v>0</v>
      </c>
      <c r="DM41" s="73"/>
      <c r="DN41" s="73">
        <f t="shared" si="35"/>
        <v>64.21092830330355</v>
      </c>
      <c r="DO41" s="73"/>
      <c r="DP41" s="73">
        <f t="shared" si="35"/>
        <v>0</v>
      </c>
      <c r="DQ41" s="73"/>
      <c r="DR41" s="73">
        <f t="shared" si="35"/>
        <v>0</v>
      </c>
      <c r="DS41" s="73"/>
      <c r="DT41" s="73">
        <f t="shared" si="35"/>
        <v>0</v>
      </c>
      <c r="DU41" s="73"/>
      <c r="DV41" s="73">
        <f t="shared" si="36"/>
        <v>4443.1624066445975</v>
      </c>
      <c r="DW41" s="73"/>
      <c r="DX41" s="73">
        <f t="shared" si="37"/>
        <v>4633.699408839603</v>
      </c>
      <c r="DY41" s="73"/>
      <c r="DZ41" s="73">
        <f t="shared" si="38"/>
        <v>6373.069531011076</v>
      </c>
      <c r="EA41" s="73"/>
      <c r="EB41" s="73">
        <f t="shared" si="39"/>
        <v>4080.141714208843</v>
      </c>
      <c r="EC41" s="73"/>
      <c r="ED41" s="73"/>
      <c r="EE41" s="73"/>
      <c r="EF41" s="73"/>
      <c r="EG41" s="73"/>
      <c r="EH41" s="73">
        <f t="shared" si="40"/>
        <v>4882.51826517603</v>
      </c>
    </row>
    <row r="42" spans="2:138" ht="12.75">
      <c r="B42" s="55" t="s">
        <v>106</v>
      </c>
      <c r="D42" s="55" t="s">
        <v>66</v>
      </c>
      <c r="E42" s="68" t="s">
        <v>13</v>
      </c>
      <c r="F42" s="73">
        <f t="shared" si="34"/>
        <v>22.028194445725696</v>
      </c>
      <c r="G42" s="75" t="s">
        <v>13</v>
      </c>
      <c r="H42" s="73">
        <f t="shared" si="34"/>
        <v>18.175144251382495</v>
      </c>
      <c r="I42" s="75" t="s">
        <v>13</v>
      </c>
      <c r="J42" s="73">
        <f t="shared" si="0"/>
        <v>27.249175456443936</v>
      </c>
      <c r="K42" s="75" t="s">
        <v>13</v>
      </c>
      <c r="L42" s="73">
        <f t="shared" si="1"/>
        <v>17.574211681667418</v>
      </c>
      <c r="M42" s="75"/>
      <c r="N42" s="73"/>
      <c r="O42" s="75"/>
      <c r="P42" s="73"/>
      <c r="Q42" s="78" t="s">
        <v>13</v>
      </c>
      <c r="R42" s="73">
        <f t="shared" si="2"/>
        <v>782.8647535858394</v>
      </c>
      <c r="S42" s="78" t="s">
        <v>13</v>
      </c>
      <c r="T42" s="73">
        <f t="shared" si="3"/>
        <v>893.6341727230424</v>
      </c>
      <c r="U42" s="78" t="s">
        <v>13</v>
      </c>
      <c r="V42" s="73">
        <f t="shared" si="4"/>
        <v>876.8299033014139</v>
      </c>
      <c r="W42" s="78" t="s">
        <v>13</v>
      </c>
      <c r="X42" s="73">
        <f t="shared" si="5"/>
        <v>784.3256348096653</v>
      </c>
      <c r="Y42" s="78"/>
      <c r="Z42" s="73"/>
      <c r="AA42" s="78"/>
      <c r="AB42" s="73"/>
      <c r="AC42" s="73"/>
      <c r="AD42" s="73">
        <f t="shared" si="6"/>
        <v>0</v>
      </c>
      <c r="AE42" s="73"/>
      <c r="AF42" s="73">
        <f t="shared" si="7"/>
        <v>0</v>
      </c>
      <c r="AG42" s="73"/>
      <c r="AH42" s="73">
        <f t="shared" si="8"/>
        <v>14.272092887583012</v>
      </c>
      <c r="AI42" s="73"/>
      <c r="AJ42" s="73">
        <f t="shared" si="9"/>
        <v>0</v>
      </c>
      <c r="AK42" s="73"/>
      <c r="AL42" s="73"/>
      <c r="AM42" s="73"/>
      <c r="AN42" s="73"/>
      <c r="AO42" s="73"/>
      <c r="AP42" s="73">
        <f t="shared" si="10"/>
        <v>0</v>
      </c>
      <c r="AQ42" s="73"/>
      <c r="AR42" s="73">
        <f t="shared" si="11"/>
        <v>0</v>
      </c>
      <c r="AS42" s="73"/>
      <c r="AT42" s="73">
        <f t="shared" si="12"/>
        <v>0</v>
      </c>
      <c r="AU42" s="73"/>
      <c r="AV42" s="73">
        <f t="shared" si="13"/>
        <v>0</v>
      </c>
      <c r="AW42" s="73"/>
      <c r="AX42" s="73"/>
      <c r="AY42" s="73"/>
      <c r="AZ42" s="73"/>
      <c r="BA42" s="73"/>
      <c r="BB42" s="73">
        <f t="shared" si="14"/>
        <v>0.059389739927201604</v>
      </c>
      <c r="BC42" s="73"/>
      <c r="BD42" s="73">
        <f t="shared" si="15"/>
        <v>0.1212592831294959</v>
      </c>
      <c r="BE42" s="73"/>
      <c r="BF42" s="73">
        <f t="shared" si="16"/>
        <v>0.11897907303259186</v>
      </c>
      <c r="BG42" s="73"/>
      <c r="BH42" s="73">
        <f t="shared" si="17"/>
        <v>0</v>
      </c>
      <c r="BI42" s="73"/>
      <c r="BJ42" s="73"/>
      <c r="BK42" s="73"/>
      <c r="BL42" s="73"/>
      <c r="BM42" s="73"/>
      <c r="BN42" s="73">
        <f t="shared" si="18"/>
        <v>0</v>
      </c>
      <c r="BO42" s="73"/>
      <c r="BP42" s="73">
        <f t="shared" si="19"/>
        <v>0</v>
      </c>
      <c r="BQ42" s="73"/>
      <c r="BR42" s="73">
        <f t="shared" si="20"/>
        <v>0</v>
      </c>
      <c r="BS42" s="73"/>
      <c r="BT42" s="73">
        <f t="shared" si="21"/>
        <v>0</v>
      </c>
      <c r="BU42" s="73"/>
      <c r="BV42" s="73"/>
      <c r="BW42" s="73"/>
      <c r="BX42" s="73"/>
      <c r="BY42" s="73"/>
      <c r="BZ42" s="73">
        <f t="shared" si="22"/>
        <v>0</v>
      </c>
      <c r="CA42" s="73"/>
      <c r="CB42" s="73">
        <f t="shared" si="23"/>
        <v>0</v>
      </c>
      <c r="CC42" s="73"/>
      <c r="CD42" s="73">
        <f t="shared" si="24"/>
        <v>0</v>
      </c>
      <c r="CE42" s="73"/>
      <c r="CF42" s="73">
        <f t="shared" si="25"/>
        <v>0</v>
      </c>
      <c r="CG42" s="73"/>
      <c r="CH42" s="73"/>
      <c r="CI42" s="73"/>
      <c r="CJ42" s="73"/>
      <c r="CK42" s="73"/>
      <c r="CL42" s="73">
        <f t="shared" si="26"/>
        <v>0</v>
      </c>
      <c r="CM42" s="73"/>
      <c r="CN42" s="73">
        <f t="shared" si="27"/>
        <v>0</v>
      </c>
      <c r="CO42" s="73"/>
      <c r="CP42" s="73">
        <f t="shared" si="28"/>
        <v>24.98290739868028</v>
      </c>
      <c r="CQ42" s="73"/>
      <c r="CR42" s="73">
        <f t="shared" si="29"/>
        <v>0</v>
      </c>
      <c r="CS42" s="73"/>
      <c r="CT42" s="73"/>
      <c r="CU42" s="73"/>
      <c r="CV42" s="73"/>
      <c r="CW42" s="73"/>
      <c r="CX42" s="73">
        <f t="shared" si="30"/>
        <v>0.059389739927201604</v>
      </c>
      <c r="CY42" s="73"/>
      <c r="CZ42" s="73">
        <f t="shared" si="31"/>
        <v>0.1212592831294959</v>
      </c>
      <c r="DA42" s="73"/>
      <c r="DB42" s="73">
        <f t="shared" si="32"/>
        <v>25.10188647171287</v>
      </c>
      <c r="DC42" s="73"/>
      <c r="DD42" s="73">
        <f t="shared" si="33"/>
        <v>0</v>
      </c>
      <c r="DE42" s="73"/>
      <c r="DF42" s="73"/>
      <c r="DG42" s="73"/>
      <c r="DH42" s="73"/>
      <c r="DI42" s="73"/>
      <c r="DJ42" s="73">
        <f t="shared" si="35"/>
        <v>0</v>
      </c>
      <c r="DK42" s="73"/>
      <c r="DL42" s="73">
        <f t="shared" si="35"/>
        <v>0</v>
      </c>
      <c r="DM42" s="73"/>
      <c r="DN42" s="73">
        <f t="shared" si="35"/>
        <v>39.25500028626329</v>
      </c>
      <c r="DO42" s="73"/>
      <c r="DP42" s="73">
        <f t="shared" si="35"/>
        <v>0</v>
      </c>
      <c r="DQ42" s="73"/>
      <c r="DR42" s="73">
        <f t="shared" si="35"/>
        <v>0</v>
      </c>
      <c r="DS42" s="73"/>
      <c r="DT42" s="73">
        <f t="shared" si="35"/>
        <v>0</v>
      </c>
      <c r="DU42" s="73"/>
      <c r="DV42" s="73">
        <f t="shared" si="36"/>
        <v>804.9523377714922</v>
      </c>
      <c r="DW42" s="73"/>
      <c r="DX42" s="73">
        <f t="shared" si="37"/>
        <v>911.9305762575543</v>
      </c>
      <c r="DY42" s="73"/>
      <c r="DZ42" s="73">
        <f t="shared" si="38"/>
        <v>943.4530581171537</v>
      </c>
      <c r="EA42" s="73"/>
      <c r="EB42" s="73">
        <f t="shared" si="39"/>
        <v>801.8998464913327</v>
      </c>
      <c r="EC42" s="73"/>
      <c r="ED42" s="73"/>
      <c r="EE42" s="73"/>
      <c r="EF42" s="73"/>
      <c r="EG42" s="73"/>
      <c r="EH42" s="73">
        <f t="shared" si="40"/>
        <v>865.5589546593833</v>
      </c>
    </row>
    <row r="43" spans="2:138" ht="12.75">
      <c r="B43" s="55" t="s">
        <v>101</v>
      </c>
      <c r="D43" s="55" t="s">
        <v>66</v>
      </c>
      <c r="E43" s="68" t="s">
        <v>13</v>
      </c>
      <c r="F43" s="73">
        <f t="shared" si="34"/>
        <v>24.403784042813754</v>
      </c>
      <c r="G43" s="75" t="s">
        <v>13</v>
      </c>
      <c r="H43" s="73">
        <f t="shared" si="34"/>
        <v>20.62232706283944</v>
      </c>
      <c r="I43" s="75" t="s">
        <v>13</v>
      </c>
      <c r="J43" s="73">
        <f t="shared" si="0"/>
        <v>19.020464056230665</v>
      </c>
      <c r="K43" s="75" t="s">
        <v>13</v>
      </c>
      <c r="L43" s="73">
        <f t="shared" si="1"/>
        <v>26.374611177328404</v>
      </c>
      <c r="M43" s="75"/>
      <c r="N43" s="73"/>
      <c r="O43" s="75"/>
      <c r="P43" s="73"/>
      <c r="Q43" s="78" t="s">
        <v>13</v>
      </c>
      <c r="R43" s="73">
        <f t="shared" si="2"/>
        <v>871.9493634766419</v>
      </c>
      <c r="S43" s="78" t="s">
        <v>13</v>
      </c>
      <c r="T43" s="73">
        <f t="shared" si="3"/>
        <v>893.6341727230424</v>
      </c>
      <c r="U43" s="78" t="s">
        <v>13</v>
      </c>
      <c r="V43" s="73">
        <f t="shared" si="4"/>
        <v>876.8299033014139</v>
      </c>
      <c r="W43" s="78" t="s">
        <v>13</v>
      </c>
      <c r="X43" s="73">
        <f t="shared" si="5"/>
        <v>872.0637566697295</v>
      </c>
      <c r="Y43" s="78"/>
      <c r="Z43" s="73"/>
      <c r="AA43" s="78"/>
      <c r="AB43" s="73"/>
      <c r="AC43" s="73"/>
      <c r="AD43" s="73">
        <f t="shared" si="6"/>
        <v>0</v>
      </c>
      <c r="AE43" s="73"/>
      <c r="AF43" s="73">
        <f t="shared" si="7"/>
        <v>0</v>
      </c>
      <c r="AG43" s="73"/>
      <c r="AH43" s="73">
        <f t="shared" si="8"/>
        <v>0</v>
      </c>
      <c r="AI43" s="73"/>
      <c r="AJ43" s="73">
        <f t="shared" si="9"/>
        <v>0</v>
      </c>
      <c r="AK43" s="73"/>
      <c r="AL43" s="73"/>
      <c r="AM43" s="73"/>
      <c r="AN43" s="73"/>
      <c r="AO43" s="73"/>
      <c r="AP43" s="73">
        <f t="shared" si="10"/>
        <v>0</v>
      </c>
      <c r="AQ43" s="73"/>
      <c r="AR43" s="73">
        <f t="shared" si="11"/>
        <v>0</v>
      </c>
      <c r="AS43" s="73"/>
      <c r="AT43" s="73">
        <f t="shared" si="12"/>
        <v>0</v>
      </c>
      <c r="AU43" s="73"/>
      <c r="AV43" s="73">
        <f t="shared" si="13"/>
        <v>0</v>
      </c>
      <c r="AW43" s="73"/>
      <c r="AX43" s="73"/>
      <c r="AY43" s="73"/>
      <c r="AZ43" s="73"/>
      <c r="BA43" s="73"/>
      <c r="BB43" s="73">
        <f t="shared" si="14"/>
        <v>0</v>
      </c>
      <c r="BC43" s="73"/>
      <c r="BD43" s="73">
        <f t="shared" si="15"/>
        <v>0</v>
      </c>
      <c r="BE43" s="73"/>
      <c r="BF43" s="73">
        <f t="shared" si="16"/>
        <v>0</v>
      </c>
      <c r="BG43" s="73"/>
      <c r="BH43" s="73">
        <f t="shared" si="17"/>
        <v>0</v>
      </c>
      <c r="BI43" s="73"/>
      <c r="BJ43" s="73"/>
      <c r="BK43" s="73"/>
      <c r="BL43" s="73"/>
      <c r="BM43" s="73"/>
      <c r="BN43" s="73">
        <f t="shared" si="18"/>
        <v>0</v>
      </c>
      <c r="BO43" s="73"/>
      <c r="BP43" s="73">
        <f t="shared" si="19"/>
        <v>0</v>
      </c>
      <c r="BQ43" s="73"/>
      <c r="BR43" s="73">
        <f t="shared" si="20"/>
        <v>0</v>
      </c>
      <c r="BS43" s="73"/>
      <c r="BT43" s="73">
        <f t="shared" si="21"/>
        <v>0</v>
      </c>
      <c r="BU43" s="73"/>
      <c r="BV43" s="73"/>
      <c r="BW43" s="73"/>
      <c r="BX43" s="73"/>
      <c r="BY43" s="73"/>
      <c r="BZ43" s="73">
        <f t="shared" si="22"/>
        <v>0</v>
      </c>
      <c r="CA43" s="73"/>
      <c r="CB43" s="73">
        <f t="shared" si="23"/>
        <v>0</v>
      </c>
      <c r="CC43" s="73"/>
      <c r="CD43" s="73">
        <f t="shared" si="24"/>
        <v>0</v>
      </c>
      <c r="CE43" s="73"/>
      <c r="CF43" s="73">
        <f t="shared" si="25"/>
        <v>0</v>
      </c>
      <c r="CG43" s="73"/>
      <c r="CH43" s="73"/>
      <c r="CI43" s="73"/>
      <c r="CJ43" s="73"/>
      <c r="CK43" s="73"/>
      <c r="CL43" s="73">
        <f t="shared" si="26"/>
        <v>0</v>
      </c>
      <c r="CM43" s="73"/>
      <c r="CN43" s="73">
        <f t="shared" si="27"/>
        <v>0</v>
      </c>
      <c r="CO43" s="73"/>
      <c r="CP43" s="73">
        <f t="shared" si="28"/>
        <v>0</v>
      </c>
      <c r="CQ43" s="73"/>
      <c r="CR43" s="73">
        <f t="shared" si="29"/>
        <v>0</v>
      </c>
      <c r="CS43" s="73"/>
      <c r="CT43" s="73"/>
      <c r="CU43" s="73"/>
      <c r="CV43" s="73"/>
      <c r="CW43" s="73"/>
      <c r="CX43" s="73">
        <f t="shared" si="30"/>
        <v>0</v>
      </c>
      <c r="CY43" s="73"/>
      <c r="CZ43" s="73">
        <f t="shared" si="31"/>
        <v>0</v>
      </c>
      <c r="DA43" s="73"/>
      <c r="DB43" s="73">
        <f t="shared" si="32"/>
        <v>0</v>
      </c>
      <c r="DC43" s="73"/>
      <c r="DD43" s="73">
        <f t="shared" si="33"/>
        <v>0</v>
      </c>
      <c r="DE43" s="73"/>
      <c r="DF43" s="73"/>
      <c r="DG43" s="73"/>
      <c r="DH43" s="73"/>
      <c r="DI43" s="73"/>
      <c r="DJ43" s="73">
        <f t="shared" si="35"/>
        <v>0</v>
      </c>
      <c r="DK43" s="73"/>
      <c r="DL43" s="73">
        <f t="shared" si="35"/>
        <v>0</v>
      </c>
      <c r="DM43" s="73"/>
      <c r="DN43" s="73">
        <f t="shared" si="35"/>
        <v>0</v>
      </c>
      <c r="DO43" s="73"/>
      <c r="DP43" s="73">
        <f t="shared" si="35"/>
        <v>0</v>
      </c>
      <c r="DQ43" s="73"/>
      <c r="DR43" s="73">
        <f t="shared" si="35"/>
        <v>0</v>
      </c>
      <c r="DS43" s="73"/>
      <c r="DT43" s="73">
        <f t="shared" si="35"/>
        <v>0</v>
      </c>
      <c r="DU43" s="73"/>
      <c r="DV43" s="73">
        <f t="shared" si="36"/>
        <v>896.3531475194557</v>
      </c>
      <c r="DW43" s="73"/>
      <c r="DX43" s="73">
        <f t="shared" si="37"/>
        <v>914.2564997858818</v>
      </c>
      <c r="DY43" s="73"/>
      <c r="DZ43" s="73">
        <f t="shared" si="38"/>
        <v>895.8503673576446</v>
      </c>
      <c r="EA43" s="73"/>
      <c r="EB43" s="73">
        <f t="shared" si="39"/>
        <v>898.4383678470579</v>
      </c>
      <c r="EC43" s="73"/>
      <c r="ED43" s="73"/>
      <c r="EE43" s="73"/>
      <c r="EF43" s="73"/>
      <c r="EG43" s="73"/>
      <c r="EH43" s="73">
        <f t="shared" si="40"/>
        <v>901.2245956275101</v>
      </c>
    </row>
    <row r="44" spans="2:144" ht="12.75">
      <c r="B44" s="55" t="s">
        <v>75</v>
      </c>
      <c r="D44" s="55" t="s">
        <v>66</v>
      </c>
      <c r="E44" s="68"/>
      <c r="F44" s="73">
        <f>F36+F39</f>
        <v>311.82312995413906</v>
      </c>
      <c r="G44" s="75"/>
      <c r="H44" s="73">
        <f>H36+H39</f>
        <v>265.03814741161244</v>
      </c>
      <c r="I44" s="75"/>
      <c r="J44" s="73">
        <f>J36+J39</f>
        <v>689.053407086711</v>
      </c>
      <c r="K44" s="75"/>
      <c r="L44" s="73">
        <f>L36+L39</f>
        <v>628.7898733304604</v>
      </c>
      <c r="M44" s="75"/>
      <c r="N44" s="73"/>
      <c r="O44" s="75"/>
      <c r="P44" s="73"/>
      <c r="Q44" s="78"/>
      <c r="R44" s="73">
        <f>R36+R39</f>
        <v>3917.023301562252</v>
      </c>
      <c r="S44" s="78"/>
      <c r="T44" s="73">
        <f>T36+T39</f>
        <v>3126.344782726459</v>
      </c>
      <c r="U44" s="78"/>
      <c r="V44" s="73">
        <f>V36+V39</f>
        <v>4834.705189895795</v>
      </c>
      <c r="W44" s="78"/>
      <c r="X44" s="73">
        <f>X36+X39</f>
        <v>5673.731880284155</v>
      </c>
      <c r="Y44" s="78"/>
      <c r="Z44" s="73"/>
      <c r="AA44" s="78"/>
      <c r="AB44" s="73"/>
      <c r="AC44" s="73"/>
      <c r="AD44" s="73">
        <f>AD36+AD39</f>
        <v>658.9561598286324</v>
      </c>
      <c r="AE44" s="73"/>
      <c r="AF44" s="73">
        <f>AF36+AF39</f>
        <v>394.5309633620373</v>
      </c>
      <c r="AG44" s="73"/>
      <c r="AH44" s="73">
        <f>AH36+AH39</f>
        <v>761.8977375148285</v>
      </c>
      <c r="AI44" s="73"/>
      <c r="AJ44" s="73">
        <f>AJ36+AJ39</f>
        <v>655.4037702946799</v>
      </c>
      <c r="AK44" s="73"/>
      <c r="AL44" s="73"/>
      <c r="AM44" s="73"/>
      <c r="AN44" s="73"/>
      <c r="AO44" s="73"/>
      <c r="AP44" s="73">
        <f>AP36+AP39</f>
        <v>124.44850048381795</v>
      </c>
      <c r="AQ44" s="73"/>
      <c r="AR44" s="73">
        <f>AR36+AR39</f>
        <v>1858.759079263928</v>
      </c>
      <c r="AS44" s="73"/>
      <c r="AT44" s="73">
        <f>AT36+AT39</f>
        <v>308.9139197784981</v>
      </c>
      <c r="AU44" s="73"/>
      <c r="AV44" s="73">
        <f>AV36+AV39</f>
        <v>308.14691889640744</v>
      </c>
      <c r="AW44" s="73"/>
      <c r="AX44" s="73"/>
      <c r="AY44" s="73"/>
      <c r="AZ44" s="73"/>
      <c r="BA44" s="73"/>
      <c r="BB44" s="73">
        <f>BB36+BB39</f>
        <v>12574.427662768416</v>
      </c>
      <c r="BC44" s="73"/>
      <c r="BD44" s="73">
        <f>BD36+BD39</f>
        <v>39405.14255167359</v>
      </c>
      <c r="BE44" s="73"/>
      <c r="BF44" s="73">
        <f>BF36+BF39</f>
        <v>16589.891564279143</v>
      </c>
      <c r="BG44" s="73"/>
      <c r="BH44" s="73">
        <f>BH36+BH39</f>
        <v>14119.190792056705</v>
      </c>
      <c r="BI44" s="73"/>
      <c r="BJ44" s="73"/>
      <c r="BK44" s="73"/>
      <c r="BL44" s="73"/>
      <c r="BM44" s="73"/>
      <c r="BN44" s="73">
        <f>BN36+BN39</f>
        <v>12880.284823393506</v>
      </c>
      <c r="BO44" s="73"/>
      <c r="BP44" s="73">
        <f>BP36+BP39</f>
        <v>12493.005734668131</v>
      </c>
      <c r="BQ44" s="73"/>
      <c r="BR44" s="73">
        <f>BR36+BR39</f>
        <v>11109.03018410431</v>
      </c>
      <c r="BS44" s="73"/>
      <c r="BT44" s="73">
        <f>BT36+BT39</f>
        <v>15537.623762127741</v>
      </c>
      <c r="BU44" s="73"/>
      <c r="BV44" s="73"/>
      <c r="BW44" s="73"/>
      <c r="BX44" s="73"/>
      <c r="BY44" s="73"/>
      <c r="BZ44" s="73">
        <f>BZ36+BZ39</f>
        <v>0</v>
      </c>
      <c r="CA44" s="73"/>
      <c r="CB44" s="73">
        <f>CB36+CB39</f>
        <v>0</v>
      </c>
      <c r="CC44" s="73"/>
      <c r="CD44" s="73">
        <f>CD36+CD39</f>
        <v>0</v>
      </c>
      <c r="CE44" s="73"/>
      <c r="CF44" s="73">
        <f>CF36+CF39</f>
        <v>0</v>
      </c>
      <c r="CG44" s="73"/>
      <c r="CH44" s="73"/>
      <c r="CI44" s="73"/>
      <c r="CJ44" s="73"/>
      <c r="CK44" s="73"/>
      <c r="CL44" s="73">
        <f>CL36+CL39</f>
        <v>685.1416360692622</v>
      </c>
      <c r="CM44" s="73"/>
      <c r="CN44" s="73">
        <f>CN36+CN39</f>
        <v>189.1754802564471</v>
      </c>
      <c r="CO44" s="73"/>
      <c r="CP44" s="73">
        <f>CP36+CP39</f>
        <v>605.0396126596156</v>
      </c>
      <c r="CQ44" s="73"/>
      <c r="CR44" s="73">
        <f>CR36+CR39</f>
        <v>489.3926088115765</v>
      </c>
      <c r="CS44" s="73"/>
      <c r="CT44" s="73"/>
      <c r="CU44" s="73"/>
      <c r="CV44" s="73"/>
      <c r="CW44" s="73"/>
      <c r="CX44" s="73">
        <f t="shared" si="30"/>
        <v>26264.302622715</v>
      </c>
      <c r="CY44" s="73"/>
      <c r="CZ44" s="73">
        <f t="shared" si="31"/>
        <v>53946.0828458621</v>
      </c>
      <c r="DA44" s="73"/>
      <c r="DB44" s="73">
        <f t="shared" si="32"/>
        <v>28612.875280821565</v>
      </c>
      <c r="DC44" s="73"/>
      <c r="DD44" s="73">
        <f t="shared" si="33"/>
        <v>30454.35408189243</v>
      </c>
      <c r="DE44" s="73"/>
      <c r="DF44" s="73"/>
      <c r="DG44" s="73"/>
      <c r="DH44" s="73"/>
      <c r="DI44" s="73"/>
      <c r="DJ44" s="73">
        <f t="shared" si="35"/>
        <v>1344.0977958978947</v>
      </c>
      <c r="DK44" s="73"/>
      <c r="DL44" s="73">
        <f t="shared" si="35"/>
        <v>583.7064436184844</v>
      </c>
      <c r="DM44" s="73"/>
      <c r="DN44" s="73">
        <f t="shared" si="35"/>
        <v>1366.937350174444</v>
      </c>
      <c r="DO44" s="73"/>
      <c r="DP44" s="73">
        <f t="shared" si="35"/>
        <v>1144.7963791062564</v>
      </c>
      <c r="DQ44" s="73"/>
      <c r="DR44" s="73">
        <f t="shared" si="35"/>
        <v>0</v>
      </c>
      <c r="DS44" s="73"/>
      <c r="DT44" s="73">
        <f t="shared" si="35"/>
        <v>0</v>
      </c>
      <c r="DU44" s="73"/>
      <c r="DV44" s="73">
        <f t="shared" si="36"/>
        <v>31152.105214060022</v>
      </c>
      <c r="DW44" s="73"/>
      <c r="DX44" s="73">
        <f t="shared" si="37"/>
        <v>57731.996739362214</v>
      </c>
      <c r="DY44" s="73"/>
      <c r="DZ44" s="73">
        <f t="shared" si="38"/>
        <v>34898.531615318905</v>
      </c>
      <c r="EA44" s="73"/>
      <c r="EB44" s="73">
        <f t="shared" si="39"/>
        <v>37412.27960580173</v>
      </c>
      <c r="EC44" s="73"/>
      <c r="ED44" s="73"/>
      <c r="EE44" s="73"/>
      <c r="EF44" s="73"/>
      <c r="EG44" s="73"/>
      <c r="EH44" s="73">
        <f t="shared" si="40"/>
        <v>40298.72829363572</v>
      </c>
      <c r="EK44" s="57">
        <f>AVERAGE(AD44,AF44,AH44,AJ44,AL44,AN44)+AVERAGE(CL44,CN44,CP44,CR44,CT44,CV44)</f>
        <v>1109.88449219927</v>
      </c>
      <c r="EL44" s="57">
        <f>AVERAGE(AP44,AR44,AT44,AV44,AX44,AZ44)+AVERAGE(BB44,BD44,BF44,BH44,BJ44,BL44)+AVERAGE(BN44,BP44,BR44,BT44,BV44,BX44)+AVERAGE(BZ44,CB44,CD44,CF44,CH44,CJ44)</f>
        <v>34327.21637337355</v>
      </c>
      <c r="EM44" s="57">
        <f>AVERAGE(F44,H44,J44,L44,N44,P44)+AVERAGE(R44,T44,V44,X44,Z44,AB44)</f>
        <v>4861.627428062896</v>
      </c>
      <c r="EN44" s="57">
        <f>SUM(EK44,EL44,EM44)</f>
        <v>40298.728293635715</v>
      </c>
    </row>
    <row r="45" spans="2:144" ht="12.75">
      <c r="B45" s="55" t="s">
        <v>76</v>
      </c>
      <c r="D45" s="55" t="s">
        <v>66</v>
      </c>
      <c r="E45" s="68"/>
      <c r="F45" s="73">
        <f>F33+F35+F37</f>
        <v>1061.996531243687</v>
      </c>
      <c r="G45" s="75"/>
      <c r="H45" s="73">
        <f>H33+H35+H37</f>
        <v>928.2796821886125</v>
      </c>
      <c r="I45" s="75"/>
      <c r="J45" s="73">
        <f>J33+J35+J37</f>
        <v>1134.2132041474288</v>
      </c>
      <c r="K45" s="75"/>
      <c r="L45" s="73">
        <f>L33+L35+L37</f>
        <v>1152.5598735253895</v>
      </c>
      <c r="M45" s="75"/>
      <c r="N45" s="73"/>
      <c r="O45" s="75"/>
      <c r="P45" s="73"/>
      <c r="Q45" s="78"/>
      <c r="R45" s="73">
        <f>R33+R35+R37</f>
        <v>3047.773471718665</v>
      </c>
      <c r="S45" s="78"/>
      <c r="T45" s="73">
        <f>T33+T35+T37</f>
        <v>3126.344782726459</v>
      </c>
      <c r="U45" s="78"/>
      <c r="V45" s="73">
        <f>V33+V35+V37</f>
        <v>5711.53509319721</v>
      </c>
      <c r="W45" s="78"/>
      <c r="X45" s="73">
        <f>X33+X35+X37</f>
        <v>3924.2869050137833</v>
      </c>
      <c r="Y45" s="78"/>
      <c r="Z45" s="73"/>
      <c r="AA45" s="78"/>
      <c r="AB45" s="73"/>
      <c r="AC45" s="73"/>
      <c r="AD45" s="73">
        <f>AD33+AD35+AD37</f>
        <v>92.32405025046796</v>
      </c>
      <c r="AE45" s="73"/>
      <c r="AF45" s="73">
        <f>AF33+AF35+AF37</f>
        <v>131.04801437532367</v>
      </c>
      <c r="AG45" s="73"/>
      <c r="AH45" s="73">
        <f>AH33+AH35+AH37</f>
        <v>106.9732482027725</v>
      </c>
      <c r="AI45" s="73"/>
      <c r="AJ45" s="73">
        <f>AJ33+AJ35+AJ37</f>
        <v>43.86906093003213</v>
      </c>
      <c r="AK45" s="73"/>
      <c r="AL45" s="73"/>
      <c r="AM45" s="73"/>
      <c r="AN45" s="73"/>
      <c r="AO45" s="73"/>
      <c r="AP45" s="73">
        <f>AP33+AP35+AP37</f>
        <v>9153.800004719511</v>
      </c>
      <c r="AQ45" s="73"/>
      <c r="AR45" s="73">
        <f>AR33+AR35+AR37</f>
        <v>17133.30428816784</v>
      </c>
      <c r="AS45" s="73"/>
      <c r="AT45" s="73">
        <f>AT33+AT35+AT37</f>
        <v>15761.840382982935</v>
      </c>
      <c r="AU45" s="73"/>
      <c r="AV45" s="73">
        <f>AV33+AV35+AV37</f>
        <v>14233.250350474786</v>
      </c>
      <c r="AW45" s="73"/>
      <c r="AX45" s="73"/>
      <c r="AY45" s="73"/>
      <c r="AZ45" s="73"/>
      <c r="BA45" s="73"/>
      <c r="BB45" s="73">
        <f>BB33+BB35+BB37</f>
        <v>80.09516289273054</v>
      </c>
      <c r="BC45" s="73"/>
      <c r="BD45" s="73">
        <f>BD33+BD35+BD37</f>
        <v>242.5185662589917</v>
      </c>
      <c r="BE45" s="73"/>
      <c r="BF45" s="73">
        <f>BF33+BF35+BF37</f>
        <v>48.293093135677864</v>
      </c>
      <c r="BG45" s="73"/>
      <c r="BH45" s="73">
        <f>BH33+BH35+BH37</f>
        <v>65.40478175022972</v>
      </c>
      <c r="BI45" s="73"/>
      <c r="BJ45" s="73"/>
      <c r="BK45" s="73"/>
      <c r="BL45" s="73"/>
      <c r="BM45" s="73"/>
      <c r="BN45" s="73">
        <f>BN33+BN35+BN37</f>
        <v>1252.583605737343</v>
      </c>
      <c r="BO45" s="73"/>
      <c r="BP45" s="73">
        <f>BP33+BP35+BP37</f>
        <v>1444.3877874812745</v>
      </c>
      <c r="BQ45" s="73"/>
      <c r="BR45" s="73">
        <f>BR33+BR35+BR37</f>
        <v>1034.1196982628674</v>
      </c>
      <c r="BS45" s="73"/>
      <c r="BT45" s="73">
        <f>BT33+BT35+BT37</f>
        <v>1274.0638786467514</v>
      </c>
      <c r="BU45" s="73"/>
      <c r="BV45" s="73"/>
      <c r="BW45" s="73"/>
      <c r="BX45" s="73"/>
      <c r="BY45" s="73"/>
      <c r="BZ45" s="73">
        <f>BZ33+BZ35+BZ37</f>
        <v>35.3638905930155</v>
      </c>
      <c r="CA45" s="73"/>
      <c r="CB45" s="73">
        <f>CB33+CB35+CB37</f>
        <v>36.020331269759545</v>
      </c>
      <c r="CC45" s="73"/>
      <c r="CD45" s="73">
        <f>CD33+CD35+CD37</f>
        <v>35.34298994845698</v>
      </c>
      <c r="CE45" s="73"/>
      <c r="CF45" s="73">
        <f>CF33+CF35+CF37</f>
        <v>34.82937564748004</v>
      </c>
      <c r="CG45" s="73"/>
      <c r="CH45" s="73"/>
      <c r="CI45" s="73"/>
      <c r="CJ45" s="73"/>
      <c r="CK45" s="73"/>
      <c r="CL45" s="73">
        <f>CL33+CL35+CL37</f>
        <v>130.38747447653807</v>
      </c>
      <c r="CM45" s="73"/>
      <c r="CN45" s="73">
        <f>CN33+CN35+CN37</f>
        <v>100.55446675840508</v>
      </c>
      <c r="CO45" s="73"/>
      <c r="CP45" s="73">
        <f>CP33+CP35+CP37</f>
        <v>181.84103225389322</v>
      </c>
      <c r="CQ45" s="73"/>
      <c r="CR45" s="73">
        <f>CR33+CR35+CR37</f>
        <v>76.73097566307436</v>
      </c>
      <c r="CS45" s="73"/>
      <c r="CT45" s="73"/>
      <c r="CU45" s="73"/>
      <c r="CV45" s="73"/>
      <c r="CW45" s="73"/>
      <c r="CX45" s="73">
        <f t="shared" si="30"/>
        <v>10652.230138419138</v>
      </c>
      <c r="CY45" s="73"/>
      <c r="CZ45" s="73">
        <f t="shared" si="31"/>
        <v>18956.785439936273</v>
      </c>
      <c r="DA45" s="73"/>
      <c r="DB45" s="73">
        <f t="shared" si="32"/>
        <v>17061.43719658383</v>
      </c>
      <c r="DC45" s="73"/>
      <c r="DD45" s="73">
        <f t="shared" si="33"/>
        <v>15684.27936218232</v>
      </c>
      <c r="DE45" s="73"/>
      <c r="DF45" s="73"/>
      <c r="DG45" s="73"/>
      <c r="DH45" s="73"/>
      <c r="DI45" s="73"/>
      <c r="DJ45" s="73">
        <f t="shared" si="35"/>
        <v>222.71152472700604</v>
      </c>
      <c r="DK45" s="73"/>
      <c r="DL45" s="73">
        <f t="shared" si="35"/>
        <v>231.60248113372876</v>
      </c>
      <c r="DM45" s="73"/>
      <c r="DN45" s="73">
        <f t="shared" si="35"/>
        <v>288.8142804566657</v>
      </c>
      <c r="DO45" s="73"/>
      <c r="DP45" s="73">
        <f t="shared" si="35"/>
        <v>120.6000365931065</v>
      </c>
      <c r="DQ45" s="73"/>
      <c r="DR45" s="73">
        <f t="shared" si="35"/>
        <v>0</v>
      </c>
      <c r="DS45" s="73"/>
      <c r="DT45" s="73">
        <f t="shared" si="35"/>
        <v>0</v>
      </c>
      <c r="DU45" s="73"/>
      <c r="DV45" s="73">
        <f t="shared" si="36"/>
        <v>14854.324191631958</v>
      </c>
      <c r="DW45" s="73"/>
      <c r="DX45" s="73">
        <f t="shared" si="37"/>
        <v>23142.457919226665</v>
      </c>
      <c r="DY45" s="73"/>
      <c r="DZ45" s="73">
        <f t="shared" si="38"/>
        <v>24014.15874213124</v>
      </c>
      <c r="EA45" s="73"/>
      <c r="EB45" s="73">
        <f t="shared" si="39"/>
        <v>20804.995201651524</v>
      </c>
      <c r="EC45" s="73"/>
      <c r="ED45" s="73"/>
      <c r="EE45" s="73"/>
      <c r="EF45" s="73"/>
      <c r="EG45" s="73"/>
      <c r="EH45" s="73">
        <f t="shared" si="40"/>
        <v>20703.984013660345</v>
      </c>
      <c r="EK45" s="57">
        <f>AVERAGE(AD45,AF45,AH45,AJ45,AL45,AN45)+AVERAGE(CL45,CN45,CP45,CR45,CT45,CV45)</f>
        <v>215.93208072762675</v>
      </c>
      <c r="EL45" s="57">
        <f>AVERAGE(AP45,AR45,AT45,AV45,AX45,AZ45)+AVERAGE(BB45,BD45,BF45,BH45,BJ45,BL45)+AVERAGE(BN45,BP45,BR45,BT45,BV45,BX45)+AVERAGE(BZ45,CB45,CD45,CF45,CH45,CJ45)</f>
        <v>15466.304546992413</v>
      </c>
      <c r="EM45" s="57">
        <f>AVERAGE(F45,H45,J45,L45,N45,P45)+AVERAGE(R45,T45,V45,X45,Z45,AB45)</f>
        <v>5021.747385940309</v>
      </c>
      <c r="EN45" s="57">
        <f>SUM(EK45,EL45,EM45)</f>
        <v>20703.98401366035</v>
      </c>
    </row>
    <row r="46" spans="5:124" ht="12.75">
      <c r="E46" s="68"/>
      <c r="F46" s="53"/>
      <c r="G46" s="68"/>
      <c r="H46" s="53"/>
      <c r="I46" s="68"/>
      <c r="J46" s="53"/>
      <c r="K46" s="68"/>
      <c r="L46" s="53"/>
      <c r="M46" s="68"/>
      <c r="N46" s="53"/>
      <c r="O46" s="68"/>
      <c r="P46" s="53"/>
      <c r="Q46" s="77"/>
      <c r="R46" s="53"/>
      <c r="S46" s="77"/>
      <c r="T46" s="53"/>
      <c r="U46" s="77"/>
      <c r="V46" s="53"/>
      <c r="W46" s="77"/>
      <c r="X46" s="53"/>
      <c r="Y46" s="77"/>
      <c r="Z46" s="53"/>
      <c r="AA46" s="77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</row>
    <row r="47" spans="2:138" ht="12.75">
      <c r="B47" s="27" t="s">
        <v>179</v>
      </c>
      <c r="C47" s="27"/>
      <c r="D47" s="27"/>
      <c r="F47" s="59" t="s">
        <v>124</v>
      </c>
      <c r="H47" s="59" t="s">
        <v>125</v>
      </c>
      <c r="J47" s="59" t="s">
        <v>126</v>
      </c>
      <c r="L47" s="59" t="s">
        <v>186</v>
      </c>
      <c r="N47" s="59" t="s">
        <v>187</v>
      </c>
      <c r="P47" s="59" t="s">
        <v>188</v>
      </c>
      <c r="R47" s="59" t="s">
        <v>124</v>
      </c>
      <c r="T47" s="59" t="s">
        <v>125</v>
      </c>
      <c r="V47" s="59" t="s">
        <v>126</v>
      </c>
      <c r="X47" s="59" t="s">
        <v>186</v>
      </c>
      <c r="Z47" s="59" t="s">
        <v>187</v>
      </c>
      <c r="AB47" s="59" t="s">
        <v>188</v>
      </c>
      <c r="AC47" s="59"/>
      <c r="AD47" s="59" t="s">
        <v>124</v>
      </c>
      <c r="AE47" s="59"/>
      <c r="AF47" s="59" t="s">
        <v>125</v>
      </c>
      <c r="AG47" s="59"/>
      <c r="AH47" s="59" t="s">
        <v>126</v>
      </c>
      <c r="AI47" s="59"/>
      <c r="AJ47" s="59" t="s">
        <v>186</v>
      </c>
      <c r="AK47" s="59"/>
      <c r="AL47" s="59" t="s">
        <v>187</v>
      </c>
      <c r="AM47" s="59"/>
      <c r="AN47" s="59" t="s">
        <v>188</v>
      </c>
      <c r="AO47" s="59"/>
      <c r="AP47" s="59" t="s">
        <v>124</v>
      </c>
      <c r="AQ47" s="59"/>
      <c r="AR47" s="59" t="s">
        <v>125</v>
      </c>
      <c r="AS47" s="59"/>
      <c r="AT47" s="59" t="s">
        <v>126</v>
      </c>
      <c r="AU47" s="59"/>
      <c r="AV47" s="59" t="s">
        <v>186</v>
      </c>
      <c r="AW47" s="59"/>
      <c r="AX47" s="59" t="s">
        <v>187</v>
      </c>
      <c r="AY47" s="59"/>
      <c r="AZ47" s="59" t="s">
        <v>188</v>
      </c>
      <c r="BA47" s="59"/>
      <c r="BB47" s="59" t="s">
        <v>124</v>
      </c>
      <c r="BC47" s="59"/>
      <c r="BD47" s="59" t="s">
        <v>125</v>
      </c>
      <c r="BE47" s="59"/>
      <c r="BF47" s="59" t="s">
        <v>126</v>
      </c>
      <c r="BG47" s="59"/>
      <c r="BH47" s="59" t="s">
        <v>186</v>
      </c>
      <c r="BI47" s="59"/>
      <c r="BJ47" s="59" t="s">
        <v>187</v>
      </c>
      <c r="BK47" s="59"/>
      <c r="BL47" s="59" t="s">
        <v>188</v>
      </c>
      <c r="BM47" s="59"/>
      <c r="BN47" s="59" t="s">
        <v>124</v>
      </c>
      <c r="BO47" s="59"/>
      <c r="BP47" s="59" t="s">
        <v>125</v>
      </c>
      <c r="BQ47" s="59"/>
      <c r="BR47" s="59" t="s">
        <v>126</v>
      </c>
      <c r="BS47" s="59"/>
      <c r="BT47" s="59" t="s">
        <v>186</v>
      </c>
      <c r="BU47" s="59"/>
      <c r="BV47" s="59" t="s">
        <v>187</v>
      </c>
      <c r="BW47" s="59"/>
      <c r="BX47" s="59" t="s">
        <v>188</v>
      </c>
      <c r="BY47" s="59"/>
      <c r="BZ47" s="59" t="s">
        <v>124</v>
      </c>
      <c r="CA47" s="59"/>
      <c r="CB47" s="59" t="s">
        <v>125</v>
      </c>
      <c r="CC47" s="59"/>
      <c r="CD47" s="59" t="s">
        <v>126</v>
      </c>
      <c r="CE47" s="59"/>
      <c r="CF47" s="59" t="s">
        <v>186</v>
      </c>
      <c r="CG47" s="59"/>
      <c r="CH47" s="59" t="s">
        <v>187</v>
      </c>
      <c r="CI47" s="59"/>
      <c r="CJ47" s="59" t="s">
        <v>188</v>
      </c>
      <c r="CK47" s="59"/>
      <c r="CL47" s="59" t="s">
        <v>124</v>
      </c>
      <c r="CM47" s="59"/>
      <c r="CN47" s="59" t="s">
        <v>125</v>
      </c>
      <c r="CO47" s="59"/>
      <c r="CP47" s="59" t="s">
        <v>126</v>
      </c>
      <c r="CQ47" s="59"/>
      <c r="CR47" s="59" t="s">
        <v>186</v>
      </c>
      <c r="CS47" s="59"/>
      <c r="CT47" s="59" t="s">
        <v>187</v>
      </c>
      <c r="CU47" s="59"/>
      <c r="CV47" s="59" t="s">
        <v>188</v>
      </c>
      <c r="CW47" s="59"/>
      <c r="CX47" s="59" t="s">
        <v>124</v>
      </c>
      <c r="CY47" s="59"/>
      <c r="CZ47" s="59" t="s">
        <v>125</v>
      </c>
      <c r="DA47" s="59"/>
      <c r="DB47" s="59" t="s">
        <v>126</v>
      </c>
      <c r="DC47" s="59"/>
      <c r="DD47" s="59" t="s">
        <v>186</v>
      </c>
      <c r="DE47" s="59"/>
      <c r="DF47" s="59" t="s">
        <v>187</v>
      </c>
      <c r="DG47" s="59"/>
      <c r="DH47" s="59" t="s">
        <v>188</v>
      </c>
      <c r="DI47" s="59"/>
      <c r="DJ47" s="59" t="s">
        <v>124</v>
      </c>
      <c r="DK47" s="59"/>
      <c r="DL47" s="59" t="s">
        <v>125</v>
      </c>
      <c r="DM47" s="59"/>
      <c r="DN47" s="59" t="s">
        <v>126</v>
      </c>
      <c r="DO47" s="59"/>
      <c r="DP47" s="59" t="s">
        <v>186</v>
      </c>
      <c r="DQ47" s="59"/>
      <c r="DR47" s="59" t="s">
        <v>187</v>
      </c>
      <c r="DS47" s="59"/>
      <c r="DT47" s="59" t="s">
        <v>188</v>
      </c>
      <c r="DU47" s="59"/>
      <c r="DV47" s="59" t="s">
        <v>124</v>
      </c>
      <c r="DW47" s="59"/>
      <c r="DX47" s="59" t="s">
        <v>125</v>
      </c>
      <c r="DY47" s="59"/>
      <c r="DZ47" s="59" t="s">
        <v>126</v>
      </c>
      <c r="EA47" s="59"/>
      <c r="EB47" s="59" t="s">
        <v>186</v>
      </c>
      <c r="EC47" s="59"/>
      <c r="ED47" s="59" t="s">
        <v>187</v>
      </c>
      <c r="EE47" s="59"/>
      <c r="EF47" s="59" t="s">
        <v>188</v>
      </c>
      <c r="EG47" s="59"/>
      <c r="EH47" s="59" t="s">
        <v>67</v>
      </c>
    </row>
    <row r="48" spans="2:138" ht="12.75">
      <c r="B48" s="27"/>
      <c r="C48" s="27"/>
      <c r="D48" s="27"/>
      <c r="F48" s="59"/>
      <c r="H48" s="59"/>
      <c r="J48" s="59"/>
      <c r="L48" s="59"/>
      <c r="N48" s="59"/>
      <c r="P48" s="59"/>
      <c r="R48" s="59"/>
      <c r="T48" s="59"/>
      <c r="V48" s="59"/>
      <c r="X48" s="59"/>
      <c r="Z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</row>
    <row r="49" spans="2:138" ht="12.75">
      <c r="B49" s="9" t="s">
        <v>276</v>
      </c>
      <c r="C49" s="9"/>
      <c r="D49" s="27"/>
      <c r="F49" s="59" t="s">
        <v>279</v>
      </c>
      <c r="H49" s="59" t="s">
        <v>279</v>
      </c>
      <c r="J49" s="59" t="s">
        <v>279</v>
      </c>
      <c r="L49" s="59" t="s">
        <v>279</v>
      </c>
      <c r="N49" s="59" t="s">
        <v>279</v>
      </c>
      <c r="P49" s="59" t="s">
        <v>279</v>
      </c>
      <c r="R49" s="59" t="s">
        <v>281</v>
      </c>
      <c r="T49" s="59" t="s">
        <v>281</v>
      </c>
      <c r="V49" s="59" t="s">
        <v>281</v>
      </c>
      <c r="X49" s="59" t="s">
        <v>281</v>
      </c>
      <c r="Z49" s="59" t="s">
        <v>281</v>
      </c>
      <c r="AB49" s="59" t="s">
        <v>281</v>
      </c>
      <c r="AC49" s="59"/>
      <c r="AD49" s="59" t="s">
        <v>283</v>
      </c>
      <c r="AE49" s="59"/>
      <c r="AF49" s="59" t="s">
        <v>283</v>
      </c>
      <c r="AG49" s="59"/>
      <c r="AH49" s="59" t="s">
        <v>283</v>
      </c>
      <c r="AI49" s="59"/>
      <c r="AJ49" s="59" t="s">
        <v>283</v>
      </c>
      <c r="AK49" s="59"/>
      <c r="AL49" s="59" t="s">
        <v>283</v>
      </c>
      <c r="AM49" s="59"/>
      <c r="AN49" s="59" t="s">
        <v>283</v>
      </c>
      <c r="AO49" s="59"/>
      <c r="AP49" s="59" t="s">
        <v>284</v>
      </c>
      <c r="AQ49" s="59"/>
      <c r="AR49" s="59" t="s">
        <v>284</v>
      </c>
      <c r="AS49" s="59"/>
      <c r="AT49" s="59" t="s">
        <v>284</v>
      </c>
      <c r="AU49" s="59"/>
      <c r="AV49" s="59" t="s">
        <v>284</v>
      </c>
      <c r="AW49" s="59"/>
      <c r="AX49" s="59" t="s">
        <v>284</v>
      </c>
      <c r="AY49" s="59"/>
      <c r="AZ49" s="59" t="s">
        <v>284</v>
      </c>
      <c r="BA49" s="59"/>
      <c r="BB49" s="59" t="s">
        <v>285</v>
      </c>
      <c r="BC49" s="59"/>
      <c r="BD49" s="59" t="s">
        <v>285</v>
      </c>
      <c r="BE49" s="59"/>
      <c r="BF49" s="59" t="s">
        <v>285</v>
      </c>
      <c r="BG49" s="59"/>
      <c r="BH49" s="59" t="s">
        <v>285</v>
      </c>
      <c r="BI49" s="59"/>
      <c r="BJ49" s="59" t="s">
        <v>285</v>
      </c>
      <c r="BK49" s="59"/>
      <c r="BL49" s="59" t="s">
        <v>285</v>
      </c>
      <c r="BM49" s="59"/>
      <c r="BN49" s="59" t="s">
        <v>286</v>
      </c>
      <c r="BO49" s="59"/>
      <c r="BP49" s="59" t="s">
        <v>286</v>
      </c>
      <c r="BQ49" s="59"/>
      <c r="BR49" s="59" t="s">
        <v>286</v>
      </c>
      <c r="BS49" s="59"/>
      <c r="BT49" s="59" t="s">
        <v>286</v>
      </c>
      <c r="BU49" s="59"/>
      <c r="BV49" s="59" t="s">
        <v>286</v>
      </c>
      <c r="BW49" s="59"/>
      <c r="BX49" s="59" t="s">
        <v>286</v>
      </c>
      <c r="BY49" s="59"/>
      <c r="BZ49" s="59" t="s">
        <v>287</v>
      </c>
      <c r="CA49" s="59"/>
      <c r="CB49" s="59" t="s">
        <v>287</v>
      </c>
      <c r="CC49" s="59"/>
      <c r="CD49" s="59" t="s">
        <v>287</v>
      </c>
      <c r="CE49" s="59"/>
      <c r="CF49" s="59" t="s">
        <v>287</v>
      </c>
      <c r="CG49" s="59"/>
      <c r="CH49" s="59" t="s">
        <v>287</v>
      </c>
      <c r="CI49" s="59"/>
      <c r="CJ49" s="59" t="s">
        <v>287</v>
      </c>
      <c r="CK49" s="59"/>
      <c r="CL49" s="59" t="s">
        <v>288</v>
      </c>
      <c r="CM49" s="59"/>
      <c r="CN49" s="59" t="s">
        <v>288</v>
      </c>
      <c r="CO49" s="59"/>
      <c r="CP49" s="59" t="s">
        <v>288</v>
      </c>
      <c r="CQ49" s="59"/>
      <c r="CR49" s="59" t="s">
        <v>288</v>
      </c>
      <c r="CS49" s="59"/>
      <c r="CT49" s="59" t="s">
        <v>288</v>
      </c>
      <c r="CU49" s="59"/>
      <c r="CV49" s="59" t="s">
        <v>288</v>
      </c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 t="s">
        <v>289</v>
      </c>
      <c r="DW49" s="59"/>
      <c r="DX49" s="59" t="s">
        <v>289</v>
      </c>
      <c r="DY49" s="59"/>
      <c r="DZ49" s="59" t="s">
        <v>289</v>
      </c>
      <c r="EA49" s="59"/>
      <c r="EB49" s="59" t="s">
        <v>289</v>
      </c>
      <c r="EC49" s="59"/>
      <c r="ED49" s="59" t="s">
        <v>289</v>
      </c>
      <c r="EE49" s="59"/>
      <c r="EF49" s="59" t="s">
        <v>289</v>
      </c>
      <c r="EG49" s="59"/>
      <c r="EH49" s="59" t="s">
        <v>289</v>
      </c>
    </row>
    <row r="50" spans="2:138" ht="12.75">
      <c r="B50" s="9" t="s">
        <v>277</v>
      </c>
      <c r="C50" s="9"/>
      <c r="F50" s="59" t="s">
        <v>123</v>
      </c>
      <c r="H50" s="59" t="s">
        <v>123</v>
      </c>
      <c r="J50" s="59" t="s">
        <v>123</v>
      </c>
      <c r="L50" s="59" t="s">
        <v>123</v>
      </c>
      <c r="N50" s="59" t="s">
        <v>123</v>
      </c>
      <c r="P50" s="59" t="s">
        <v>123</v>
      </c>
      <c r="R50" s="59" t="s">
        <v>280</v>
      </c>
      <c r="T50" s="59" t="s">
        <v>280</v>
      </c>
      <c r="V50" s="59" t="s">
        <v>280</v>
      </c>
      <c r="X50" s="59" t="s">
        <v>280</v>
      </c>
      <c r="Z50" s="59" t="s">
        <v>280</v>
      </c>
      <c r="AB50" s="59" t="s">
        <v>280</v>
      </c>
      <c r="AC50" s="59"/>
      <c r="AD50" s="59" t="s">
        <v>282</v>
      </c>
      <c r="AE50" s="59"/>
      <c r="AF50" s="59" t="s">
        <v>282</v>
      </c>
      <c r="AG50" s="59"/>
      <c r="AH50" s="59" t="s">
        <v>282</v>
      </c>
      <c r="AI50" s="59"/>
      <c r="AJ50" s="59" t="s">
        <v>282</v>
      </c>
      <c r="AK50" s="59"/>
      <c r="AL50" s="59" t="s">
        <v>282</v>
      </c>
      <c r="AM50" s="59"/>
      <c r="AN50" s="59" t="s">
        <v>282</v>
      </c>
      <c r="AO50" s="59"/>
      <c r="AP50" s="59" t="s">
        <v>64</v>
      </c>
      <c r="AQ50" s="59"/>
      <c r="AR50" s="59" t="s">
        <v>64</v>
      </c>
      <c r="AS50" s="59"/>
      <c r="AT50" s="59" t="s">
        <v>64</v>
      </c>
      <c r="AU50" s="59"/>
      <c r="AV50" s="59" t="s">
        <v>64</v>
      </c>
      <c r="AW50" s="59"/>
      <c r="AX50" s="59" t="s">
        <v>64</v>
      </c>
      <c r="AY50" s="59"/>
      <c r="AZ50" s="59" t="s">
        <v>64</v>
      </c>
      <c r="BA50" s="59"/>
      <c r="BB50" s="59" t="s">
        <v>64</v>
      </c>
      <c r="BC50" s="59"/>
      <c r="BD50" s="59" t="s">
        <v>64</v>
      </c>
      <c r="BE50" s="59"/>
      <c r="BF50" s="59" t="s">
        <v>64</v>
      </c>
      <c r="BG50" s="59"/>
      <c r="BH50" s="59" t="s">
        <v>64</v>
      </c>
      <c r="BI50" s="59"/>
      <c r="BJ50" s="59" t="s">
        <v>64</v>
      </c>
      <c r="BK50" s="59"/>
      <c r="BL50" s="59" t="s">
        <v>64</v>
      </c>
      <c r="BM50" s="59"/>
      <c r="BN50" s="59" t="s">
        <v>64</v>
      </c>
      <c r="BO50" s="59"/>
      <c r="BP50" s="59" t="s">
        <v>64</v>
      </c>
      <c r="BQ50" s="59"/>
      <c r="BR50" s="59" t="s">
        <v>64</v>
      </c>
      <c r="BS50" s="59"/>
      <c r="BT50" s="59" t="s">
        <v>64</v>
      </c>
      <c r="BU50" s="59"/>
      <c r="BV50" s="59" t="s">
        <v>64</v>
      </c>
      <c r="BW50" s="59"/>
      <c r="BX50" s="59" t="s">
        <v>64</v>
      </c>
      <c r="BY50" s="59"/>
      <c r="BZ50" s="59" t="s">
        <v>64</v>
      </c>
      <c r="CA50" s="59"/>
      <c r="CB50" s="59" t="s">
        <v>64</v>
      </c>
      <c r="CC50" s="59"/>
      <c r="CD50" s="59" t="s">
        <v>64</v>
      </c>
      <c r="CE50" s="59"/>
      <c r="CF50" s="59" t="s">
        <v>64</v>
      </c>
      <c r="CG50" s="59"/>
      <c r="CH50" s="59" t="s">
        <v>64</v>
      </c>
      <c r="CI50" s="59"/>
      <c r="CJ50" s="59" t="s">
        <v>64</v>
      </c>
      <c r="CK50" s="59"/>
      <c r="CL50" s="59" t="s">
        <v>282</v>
      </c>
      <c r="CM50" s="59"/>
      <c r="CN50" s="59" t="s">
        <v>282</v>
      </c>
      <c r="CO50" s="59"/>
      <c r="CP50" s="59" t="s">
        <v>282</v>
      </c>
      <c r="CQ50" s="59"/>
      <c r="CR50" s="59" t="s">
        <v>282</v>
      </c>
      <c r="CS50" s="59"/>
      <c r="CT50" s="59" t="s">
        <v>282</v>
      </c>
      <c r="CU50" s="59"/>
      <c r="CV50" s="59" t="s">
        <v>282</v>
      </c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 t="s">
        <v>30</v>
      </c>
      <c r="DW50" s="59"/>
      <c r="DX50" s="59" t="s">
        <v>30</v>
      </c>
      <c r="DY50" s="59"/>
      <c r="DZ50" s="59" t="s">
        <v>30</v>
      </c>
      <c r="EA50" s="59"/>
      <c r="EB50" s="59" t="s">
        <v>30</v>
      </c>
      <c r="EC50" s="59"/>
      <c r="ED50" s="59" t="s">
        <v>30</v>
      </c>
      <c r="EE50" s="59"/>
      <c r="EF50" s="59" t="s">
        <v>30</v>
      </c>
      <c r="EG50" s="59"/>
      <c r="EH50" s="59" t="s">
        <v>30</v>
      </c>
    </row>
    <row r="51" spans="2:138" ht="12.75">
      <c r="B51" s="9" t="s">
        <v>290</v>
      </c>
      <c r="C51" s="9"/>
      <c r="F51" s="59" t="s">
        <v>123</v>
      </c>
      <c r="H51" s="59" t="s">
        <v>123</v>
      </c>
      <c r="J51" s="59" t="s">
        <v>123</v>
      </c>
      <c r="L51" s="59" t="s">
        <v>123</v>
      </c>
      <c r="N51" s="59" t="s">
        <v>123</v>
      </c>
      <c r="P51" s="59" t="s">
        <v>123</v>
      </c>
      <c r="R51" s="59" t="s">
        <v>291</v>
      </c>
      <c r="T51" s="59" t="s">
        <v>291</v>
      </c>
      <c r="V51" s="59" t="s">
        <v>291</v>
      </c>
      <c r="X51" s="59" t="s">
        <v>291</v>
      </c>
      <c r="Z51" s="59" t="s">
        <v>291</v>
      </c>
      <c r="AB51" s="59" t="s">
        <v>291</v>
      </c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 t="s">
        <v>64</v>
      </c>
      <c r="CY51" s="59"/>
      <c r="CZ51" s="59" t="s">
        <v>64</v>
      </c>
      <c r="DA51" s="59"/>
      <c r="DB51" s="59" t="s">
        <v>64</v>
      </c>
      <c r="DC51" s="59"/>
      <c r="DD51" s="59" t="s">
        <v>64</v>
      </c>
      <c r="DE51" s="59"/>
      <c r="DF51" s="59" t="s">
        <v>64</v>
      </c>
      <c r="DG51" s="59"/>
      <c r="DH51" s="59" t="s">
        <v>64</v>
      </c>
      <c r="DI51" s="59"/>
      <c r="DJ51" s="59" t="s">
        <v>77</v>
      </c>
      <c r="DK51" s="59"/>
      <c r="DL51" s="59" t="s">
        <v>77</v>
      </c>
      <c r="DM51" s="59"/>
      <c r="DN51" s="59" t="s">
        <v>77</v>
      </c>
      <c r="DO51" s="59"/>
      <c r="DP51" s="59" t="s">
        <v>77</v>
      </c>
      <c r="DQ51" s="59"/>
      <c r="DR51" s="59" t="s">
        <v>77</v>
      </c>
      <c r="DS51" s="59"/>
      <c r="DT51" s="59" t="s">
        <v>77</v>
      </c>
      <c r="DU51" s="59"/>
      <c r="DV51" s="59" t="s">
        <v>30</v>
      </c>
      <c r="DW51" s="59"/>
      <c r="DX51" s="59" t="s">
        <v>30</v>
      </c>
      <c r="DY51" s="59"/>
      <c r="DZ51" s="59" t="s">
        <v>30</v>
      </c>
      <c r="EA51" s="59"/>
      <c r="EB51" s="59" t="s">
        <v>30</v>
      </c>
      <c r="EC51" s="59"/>
      <c r="ED51" s="59" t="s">
        <v>30</v>
      </c>
      <c r="EE51" s="59"/>
      <c r="EF51" s="59" t="s">
        <v>30</v>
      </c>
      <c r="EG51" s="59"/>
      <c r="EH51" s="59" t="s">
        <v>30</v>
      </c>
    </row>
    <row r="52" spans="2:138" ht="12.75">
      <c r="B52" s="16" t="s">
        <v>108</v>
      </c>
      <c r="C52" s="16"/>
      <c r="F52" s="59" t="s">
        <v>123</v>
      </c>
      <c r="H52" s="59" t="s">
        <v>123</v>
      </c>
      <c r="J52" s="59" t="s">
        <v>123</v>
      </c>
      <c r="L52" s="59" t="s">
        <v>123</v>
      </c>
      <c r="N52" s="59" t="s">
        <v>123</v>
      </c>
      <c r="P52" s="59" t="s">
        <v>123</v>
      </c>
      <c r="R52" s="59" t="s">
        <v>301</v>
      </c>
      <c r="T52" s="59" t="s">
        <v>301</v>
      </c>
      <c r="V52" s="59" t="s">
        <v>301</v>
      </c>
      <c r="X52" s="59" t="s">
        <v>301</v>
      </c>
      <c r="Z52" s="59" t="s">
        <v>301</v>
      </c>
      <c r="AB52" s="59" t="s">
        <v>301</v>
      </c>
      <c r="AC52" s="59"/>
      <c r="AD52" s="59" t="s">
        <v>302</v>
      </c>
      <c r="AE52" s="59"/>
      <c r="AF52" s="59" t="s">
        <v>302</v>
      </c>
      <c r="AG52" s="59"/>
      <c r="AH52" s="59" t="s">
        <v>302</v>
      </c>
      <c r="AI52" s="59"/>
      <c r="AJ52" s="59" t="s">
        <v>302</v>
      </c>
      <c r="AK52" s="59"/>
      <c r="AL52" s="59" t="s">
        <v>302</v>
      </c>
      <c r="AM52" s="59"/>
      <c r="AN52" s="59" t="s">
        <v>302</v>
      </c>
      <c r="AO52" s="59"/>
      <c r="AP52" s="59" t="s">
        <v>196</v>
      </c>
      <c r="AQ52" s="59"/>
      <c r="AR52" s="59" t="s">
        <v>196</v>
      </c>
      <c r="AS52" s="59"/>
      <c r="AT52" s="59" t="s">
        <v>196</v>
      </c>
      <c r="AU52" s="59"/>
      <c r="AV52" s="59" t="s">
        <v>196</v>
      </c>
      <c r="AW52" s="59"/>
      <c r="AX52" s="59" t="s">
        <v>196</v>
      </c>
      <c r="AY52" s="59"/>
      <c r="AZ52" s="59" t="s">
        <v>196</v>
      </c>
      <c r="BA52" s="59"/>
      <c r="BB52" s="59" t="s">
        <v>197</v>
      </c>
      <c r="BC52" s="59"/>
      <c r="BD52" s="59" t="s">
        <v>197</v>
      </c>
      <c r="BE52" s="59"/>
      <c r="BF52" s="59" t="s">
        <v>197</v>
      </c>
      <c r="BG52" s="59"/>
      <c r="BH52" s="59" t="s">
        <v>197</v>
      </c>
      <c r="BI52" s="59"/>
      <c r="BJ52" s="59" t="s">
        <v>197</v>
      </c>
      <c r="BK52" s="59"/>
      <c r="BL52" s="59" t="s">
        <v>197</v>
      </c>
      <c r="BM52" s="59"/>
      <c r="BN52" s="59" t="s">
        <v>198</v>
      </c>
      <c r="BO52" s="59"/>
      <c r="BP52" s="59" t="s">
        <v>198</v>
      </c>
      <c r="BQ52" s="59"/>
      <c r="BR52" s="59" t="s">
        <v>198</v>
      </c>
      <c r="BS52" s="59"/>
      <c r="BT52" s="59" t="s">
        <v>198</v>
      </c>
      <c r="BU52" s="59"/>
      <c r="BV52" s="59" t="s">
        <v>198</v>
      </c>
      <c r="BW52" s="59"/>
      <c r="BX52" s="59" t="s">
        <v>198</v>
      </c>
      <c r="BY52" s="59"/>
      <c r="BZ52" s="59" t="s">
        <v>199</v>
      </c>
      <c r="CA52" s="59"/>
      <c r="CB52" s="59" t="s">
        <v>199</v>
      </c>
      <c r="CC52" s="59"/>
      <c r="CD52" s="59" t="s">
        <v>199</v>
      </c>
      <c r="CE52" s="59"/>
      <c r="CF52" s="59" t="s">
        <v>199</v>
      </c>
      <c r="CG52" s="59"/>
      <c r="CH52" s="59" t="s">
        <v>199</v>
      </c>
      <c r="CI52" s="59"/>
      <c r="CJ52" s="59" t="s">
        <v>199</v>
      </c>
      <c r="CK52" s="59"/>
      <c r="CL52" s="59" t="s">
        <v>303</v>
      </c>
      <c r="CM52" s="59"/>
      <c r="CN52" s="59" t="s">
        <v>303</v>
      </c>
      <c r="CO52" s="59"/>
      <c r="CP52" s="59" t="s">
        <v>303</v>
      </c>
      <c r="CQ52" s="59"/>
      <c r="CR52" s="59" t="s">
        <v>303</v>
      </c>
      <c r="CS52" s="59"/>
      <c r="CT52" s="59" t="s">
        <v>303</v>
      </c>
      <c r="CU52" s="59"/>
      <c r="CV52" s="59" t="s">
        <v>303</v>
      </c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 t="s">
        <v>30</v>
      </c>
      <c r="DW52" s="59"/>
      <c r="DX52" s="59" t="s">
        <v>30</v>
      </c>
      <c r="DY52" s="59"/>
      <c r="DZ52" s="59" t="s">
        <v>30</v>
      </c>
      <c r="EA52" s="59"/>
      <c r="EB52" s="59" t="s">
        <v>30</v>
      </c>
      <c r="EC52" s="59"/>
      <c r="ED52" s="59" t="s">
        <v>30</v>
      </c>
      <c r="EE52" s="59"/>
      <c r="EF52" s="59" t="s">
        <v>30</v>
      </c>
      <c r="EG52" s="59"/>
      <c r="EH52" s="59" t="s">
        <v>30</v>
      </c>
    </row>
    <row r="53" spans="2:138" ht="12.75">
      <c r="B53" s="28" t="s">
        <v>111</v>
      </c>
      <c r="C53" s="16"/>
      <c r="D53" s="55" t="s">
        <v>121</v>
      </c>
      <c r="F53" s="73">
        <v>8300000</v>
      </c>
      <c r="G53" s="75"/>
      <c r="H53" s="73">
        <v>6480000</v>
      </c>
      <c r="I53" s="75"/>
      <c r="J53" s="73">
        <v>6570000</v>
      </c>
      <c r="K53" s="75"/>
      <c r="L53" s="73">
        <v>6480000</v>
      </c>
      <c r="M53" s="75"/>
      <c r="N53" s="73">
        <v>7080000</v>
      </c>
      <c r="O53" s="75"/>
      <c r="P53" s="73">
        <v>5840000</v>
      </c>
      <c r="Q53" s="78"/>
      <c r="R53" s="73"/>
      <c r="S53" s="78"/>
      <c r="T53" s="73"/>
      <c r="U53" s="78"/>
      <c r="V53" s="73"/>
      <c r="W53" s="78"/>
      <c r="X53" s="73"/>
      <c r="Y53" s="78"/>
      <c r="Z53" s="73"/>
      <c r="AA53" s="78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>
        <v>2490000</v>
      </c>
      <c r="DK53" s="73"/>
      <c r="DL53" s="73">
        <v>4350000</v>
      </c>
      <c r="DM53" s="73"/>
      <c r="DN53" s="73">
        <v>4350000</v>
      </c>
      <c r="DO53" s="73"/>
      <c r="DP53" s="73">
        <v>4120000</v>
      </c>
      <c r="DQ53" s="73"/>
      <c r="DR53" s="73">
        <v>4120000</v>
      </c>
      <c r="DS53" s="73"/>
      <c r="DT53" s="73">
        <v>4120000</v>
      </c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</row>
    <row r="54" spans="1:138" ht="12.75">
      <c r="A54" s="55" t="s">
        <v>179</v>
      </c>
      <c r="B54" s="55" t="s">
        <v>278</v>
      </c>
      <c r="D54" s="55" t="s">
        <v>200</v>
      </c>
      <c r="E54" s="68"/>
      <c r="F54" s="73">
        <v>13008.530183727</v>
      </c>
      <c r="G54" s="75"/>
      <c r="H54" s="73">
        <v>12998.740025199497</v>
      </c>
      <c r="I54" s="75"/>
      <c r="J54" s="73">
        <v>12995.169082125603</v>
      </c>
      <c r="K54" s="75"/>
      <c r="L54" s="73">
        <v>12993.28295549958</v>
      </c>
      <c r="M54" s="75"/>
      <c r="N54" s="73">
        <v>12991.42015623</v>
      </c>
      <c r="O54" s="75"/>
      <c r="P54" s="73">
        <v>13006.993006993</v>
      </c>
      <c r="Q54" s="78"/>
      <c r="R54" s="73"/>
      <c r="S54" s="78"/>
      <c r="T54" s="73"/>
      <c r="U54" s="78"/>
      <c r="V54" s="73"/>
      <c r="W54" s="78"/>
      <c r="X54" s="73"/>
      <c r="Y54" s="78"/>
      <c r="Z54" s="73"/>
      <c r="AA54" s="78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>
        <v>0</v>
      </c>
      <c r="AQ54" s="73"/>
      <c r="AR54" s="73">
        <v>0</v>
      </c>
      <c r="AS54" s="73"/>
      <c r="AT54" s="73">
        <v>0</v>
      </c>
      <c r="AU54" s="73"/>
      <c r="AV54" s="73">
        <v>0</v>
      </c>
      <c r="AW54" s="73"/>
      <c r="AX54" s="73">
        <v>0</v>
      </c>
      <c r="AY54" s="73"/>
      <c r="AZ54" s="73">
        <v>0</v>
      </c>
      <c r="BA54" s="73"/>
      <c r="BB54" s="73">
        <v>0</v>
      </c>
      <c r="BC54" s="73"/>
      <c r="BD54" s="73">
        <v>0</v>
      </c>
      <c r="BE54" s="73"/>
      <c r="BF54" s="73">
        <v>0</v>
      </c>
      <c r="BG54" s="73"/>
      <c r="BH54" s="73">
        <v>0</v>
      </c>
      <c r="BI54" s="73"/>
      <c r="BJ54" s="73">
        <v>0</v>
      </c>
      <c r="BK54" s="73"/>
      <c r="BL54" s="73">
        <v>0</v>
      </c>
      <c r="BM54" s="73"/>
      <c r="BN54" s="73">
        <v>0</v>
      </c>
      <c r="BO54" s="73"/>
      <c r="BP54" s="73">
        <v>0</v>
      </c>
      <c r="BQ54" s="73"/>
      <c r="BR54" s="73">
        <v>0</v>
      </c>
      <c r="BS54" s="73"/>
      <c r="BT54" s="73">
        <v>0</v>
      </c>
      <c r="BU54" s="73"/>
      <c r="BV54" s="73">
        <v>0</v>
      </c>
      <c r="BW54" s="73"/>
      <c r="BX54" s="73">
        <v>0</v>
      </c>
      <c r="BY54" s="73"/>
      <c r="BZ54" s="73">
        <v>0</v>
      </c>
      <c r="CA54" s="73"/>
      <c r="CB54" s="73">
        <v>0</v>
      </c>
      <c r="CC54" s="73"/>
      <c r="CD54" s="73">
        <v>0</v>
      </c>
      <c r="CE54" s="73"/>
      <c r="CF54" s="73">
        <v>0</v>
      </c>
      <c r="CG54" s="73"/>
      <c r="CH54" s="73">
        <v>0</v>
      </c>
      <c r="CI54" s="73"/>
      <c r="CJ54" s="73">
        <v>0</v>
      </c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>
        <f>DJ55/DJ53*454*1000000</f>
        <v>11504.979919678715</v>
      </c>
      <c r="DK54" s="73"/>
      <c r="DL54" s="73">
        <f>DL55/DL53*454*1000000</f>
        <v>10008.87356321839</v>
      </c>
      <c r="DM54" s="73"/>
      <c r="DN54" s="73">
        <f>DN55/DN53*454*1000000</f>
        <v>10008.87356321839</v>
      </c>
      <c r="DO54" s="73"/>
      <c r="DP54" s="73">
        <f>DP55/DP53*454*1000000</f>
        <v>12011.16504854369</v>
      </c>
      <c r="DQ54" s="73"/>
      <c r="DR54" s="73">
        <f>DR55/DR53*454*1000000</f>
        <v>8705.339805825242</v>
      </c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</row>
    <row r="55" spans="2:138" ht="12.75">
      <c r="B55" s="28" t="s">
        <v>141</v>
      </c>
      <c r="D55" s="55" t="s">
        <v>70</v>
      </c>
      <c r="E55" s="68"/>
      <c r="F55" s="73">
        <v>237.9</v>
      </c>
      <c r="G55" s="75"/>
      <c r="H55" s="73">
        <v>185.7</v>
      </c>
      <c r="I55" s="75"/>
      <c r="J55" s="73">
        <v>188.3</v>
      </c>
      <c r="K55" s="75"/>
      <c r="L55" s="73">
        <v>185.7</v>
      </c>
      <c r="M55" s="75"/>
      <c r="N55" s="73">
        <v>202.9</v>
      </c>
      <c r="O55" s="75"/>
      <c r="P55" s="73">
        <v>167.4</v>
      </c>
      <c r="Q55" s="78"/>
      <c r="R55" s="73"/>
      <c r="S55" s="78"/>
      <c r="T55" s="73"/>
      <c r="U55" s="78"/>
      <c r="V55" s="73"/>
      <c r="W55" s="78"/>
      <c r="X55" s="73"/>
      <c r="Y55" s="78"/>
      <c r="Z55" s="73"/>
      <c r="AA55" s="78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>
        <v>63.1</v>
      </c>
      <c r="DK55" s="73"/>
      <c r="DL55" s="73">
        <v>95.9</v>
      </c>
      <c r="DM55" s="73"/>
      <c r="DN55" s="73">
        <v>95.9</v>
      </c>
      <c r="DO55" s="73"/>
      <c r="DP55" s="73">
        <v>109</v>
      </c>
      <c r="DQ55" s="73"/>
      <c r="DR55" s="73">
        <v>79</v>
      </c>
      <c r="DS55" s="73"/>
      <c r="DT55" s="73">
        <v>108.9</v>
      </c>
      <c r="DU55" s="73"/>
      <c r="DV55" s="73">
        <f>SUM(DJ55,F55)</f>
        <v>301</v>
      </c>
      <c r="DW55" s="73"/>
      <c r="DX55" s="73">
        <f>SUM(DL55,H55)</f>
        <v>281.6</v>
      </c>
      <c r="DY55" s="73"/>
      <c r="DZ55" s="73">
        <f>SUM(DN55,J55)</f>
        <v>284.20000000000005</v>
      </c>
      <c r="EA55" s="73"/>
      <c r="EB55" s="73">
        <f>SUM(DP55,L55)</f>
        <v>294.7</v>
      </c>
      <c r="EC55" s="73"/>
      <c r="ED55" s="73">
        <f>SUM(DR55,N55)</f>
        <v>281.9</v>
      </c>
      <c r="EE55" s="73"/>
      <c r="EF55" s="73">
        <f>SUM(DT55,P55)</f>
        <v>276.3</v>
      </c>
      <c r="EG55" s="73"/>
      <c r="EH55" s="73">
        <f>AVERAGE(DV55,DX55,DZ55,EB55,ED55,EF55)</f>
        <v>286.6166666666667</v>
      </c>
    </row>
    <row r="56" spans="1:124" ht="12.75">
      <c r="A56" s="55" t="s">
        <v>179</v>
      </c>
      <c r="B56" s="55" t="s">
        <v>21</v>
      </c>
      <c r="D56" s="55" t="s">
        <v>155</v>
      </c>
      <c r="E56" s="68"/>
      <c r="F56" s="53">
        <v>23.8</v>
      </c>
      <c r="G56" s="68"/>
      <c r="H56" s="53">
        <v>20</v>
      </c>
      <c r="I56" s="68"/>
      <c r="J56" s="53">
        <v>21.7</v>
      </c>
      <c r="K56" s="68"/>
      <c r="L56" s="53">
        <v>24.3</v>
      </c>
      <c r="M56" s="68"/>
      <c r="N56" s="53">
        <v>26.6</v>
      </c>
      <c r="O56" s="68"/>
      <c r="P56" s="53"/>
      <c r="Q56" s="77" t="s">
        <v>13</v>
      </c>
      <c r="R56" s="53">
        <v>65.6</v>
      </c>
      <c r="S56" s="77" t="s">
        <v>13</v>
      </c>
      <c r="T56" s="53">
        <v>62.3</v>
      </c>
      <c r="U56" s="77" t="s">
        <v>13</v>
      </c>
      <c r="V56" s="53">
        <v>64.8</v>
      </c>
      <c r="W56" s="77" t="s">
        <v>13</v>
      </c>
      <c r="X56" s="53">
        <v>64.8</v>
      </c>
      <c r="Y56" s="77" t="s">
        <v>13</v>
      </c>
      <c r="Z56" s="53">
        <v>42.8</v>
      </c>
      <c r="AA56" s="77"/>
      <c r="AB56" s="53"/>
      <c r="AC56" s="53"/>
      <c r="AD56" s="53">
        <v>104</v>
      </c>
      <c r="AE56" s="53"/>
      <c r="AF56" s="53"/>
      <c r="AG56" s="53"/>
      <c r="AH56" s="53"/>
      <c r="AI56" s="53"/>
      <c r="AJ56" s="53"/>
      <c r="AK56" s="53"/>
      <c r="AL56" s="53">
        <v>30</v>
      </c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</row>
    <row r="57" spans="1:124" ht="12.75">
      <c r="A57" s="55" t="s">
        <v>179</v>
      </c>
      <c r="B57" s="55" t="s">
        <v>102</v>
      </c>
      <c r="D57" s="55" t="s">
        <v>155</v>
      </c>
      <c r="E57" s="68" t="s">
        <v>13</v>
      </c>
      <c r="F57" s="74">
        <v>0.146</v>
      </c>
      <c r="G57" s="76" t="s">
        <v>13</v>
      </c>
      <c r="H57" s="74">
        <v>0.1</v>
      </c>
      <c r="I57" s="76" t="s">
        <v>13</v>
      </c>
      <c r="J57" s="74">
        <v>0.145</v>
      </c>
      <c r="K57" s="76" t="s">
        <v>13</v>
      </c>
      <c r="L57" s="74">
        <v>0.114</v>
      </c>
      <c r="M57" s="76" t="s">
        <v>13</v>
      </c>
      <c r="N57" s="74">
        <v>0.125</v>
      </c>
      <c r="O57" s="76" t="s">
        <v>13</v>
      </c>
      <c r="P57" s="74">
        <v>0.257</v>
      </c>
      <c r="Q57" s="79" t="s">
        <v>13</v>
      </c>
      <c r="R57" s="74">
        <v>3.28</v>
      </c>
      <c r="S57" s="79" t="s">
        <v>13</v>
      </c>
      <c r="T57" s="74">
        <v>3.11</v>
      </c>
      <c r="U57" s="79" t="s">
        <v>13</v>
      </c>
      <c r="V57" s="74">
        <v>3.24</v>
      </c>
      <c r="W57" s="79" t="s">
        <v>13</v>
      </c>
      <c r="X57" s="74">
        <v>3.24</v>
      </c>
      <c r="Y57" s="79" t="s">
        <v>13</v>
      </c>
      <c r="Z57" s="74">
        <v>3.24</v>
      </c>
      <c r="AA57" s="79"/>
      <c r="AB57" s="74">
        <v>0.0324</v>
      </c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>
        <v>8.82E-05</v>
      </c>
      <c r="AQ57" s="74"/>
      <c r="AR57" s="74">
        <v>0.00011</v>
      </c>
      <c r="AS57" s="74"/>
      <c r="AT57" s="74">
        <v>0.000132</v>
      </c>
      <c r="AU57" s="74"/>
      <c r="AV57" s="74">
        <v>8.82E-05</v>
      </c>
      <c r="AW57" s="74"/>
      <c r="AX57" s="74">
        <v>0.000132</v>
      </c>
      <c r="AY57" s="74"/>
      <c r="AZ57" s="74">
        <v>0.000154</v>
      </c>
      <c r="BA57" s="74"/>
      <c r="BB57" s="74"/>
      <c r="BC57" s="74"/>
      <c r="BD57" s="74"/>
      <c r="BE57" s="74"/>
      <c r="BF57" s="74">
        <v>2.2E-05</v>
      </c>
      <c r="BG57" s="74"/>
      <c r="BH57" s="74"/>
      <c r="BI57" s="74"/>
      <c r="BJ57" s="74"/>
      <c r="BK57" s="74"/>
      <c r="BL57" s="74"/>
      <c r="BM57" s="74"/>
      <c r="BN57" s="74">
        <v>0.000176</v>
      </c>
      <c r="BO57" s="74"/>
      <c r="BP57" s="74">
        <v>0.000176</v>
      </c>
      <c r="BQ57" s="74"/>
      <c r="BR57" s="74">
        <v>0.000198</v>
      </c>
      <c r="BS57" s="74"/>
      <c r="BT57" s="74">
        <v>0.000176</v>
      </c>
      <c r="BU57" s="74"/>
      <c r="BV57" s="74">
        <v>0.000176</v>
      </c>
      <c r="BW57" s="74"/>
      <c r="BX57" s="74">
        <v>0.000176</v>
      </c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</row>
    <row r="58" spans="1:124" ht="12.75">
      <c r="A58" s="55" t="s">
        <v>179</v>
      </c>
      <c r="B58" s="55" t="s">
        <v>98</v>
      </c>
      <c r="D58" s="55" t="s">
        <v>155</v>
      </c>
      <c r="E58" s="68"/>
      <c r="F58" s="74">
        <v>0.402</v>
      </c>
      <c r="G58" s="76"/>
      <c r="H58" s="74">
        <v>0.371</v>
      </c>
      <c r="I58" s="76"/>
      <c r="J58" s="74">
        <v>0.348</v>
      </c>
      <c r="K58" s="76"/>
      <c r="L58" s="74">
        <v>0.357</v>
      </c>
      <c r="M58" s="76"/>
      <c r="N58" s="74">
        <v>0.312</v>
      </c>
      <c r="O58" s="76" t="s">
        <v>13</v>
      </c>
      <c r="P58" s="74">
        <v>2.57</v>
      </c>
      <c r="Q58" s="79" t="s">
        <v>13</v>
      </c>
      <c r="R58" s="74">
        <v>0.328</v>
      </c>
      <c r="S58" s="79" t="s">
        <v>13</v>
      </c>
      <c r="T58" s="74">
        <v>0.312</v>
      </c>
      <c r="U58" s="79" t="s">
        <v>13</v>
      </c>
      <c r="V58" s="74">
        <v>0.324</v>
      </c>
      <c r="W58" s="79" t="s">
        <v>13</v>
      </c>
      <c r="X58" s="74">
        <v>0.324</v>
      </c>
      <c r="Y58" s="79" t="s">
        <v>13</v>
      </c>
      <c r="Z58" s="74">
        <v>0.324</v>
      </c>
      <c r="AA58" s="79" t="s">
        <v>13</v>
      </c>
      <c r="AB58" s="74">
        <v>1.62</v>
      </c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>
        <v>0.00137</v>
      </c>
      <c r="AQ58" s="74"/>
      <c r="AR58" s="74">
        <v>0.00386</v>
      </c>
      <c r="AS58" s="74"/>
      <c r="AT58" s="74">
        <v>0.00516</v>
      </c>
      <c r="AU58" s="74"/>
      <c r="AV58" s="74">
        <v>0.0019</v>
      </c>
      <c r="AW58" s="74"/>
      <c r="AX58" s="74">
        <v>0.00205</v>
      </c>
      <c r="AY58" s="74"/>
      <c r="AZ58" s="74">
        <v>0.00218</v>
      </c>
      <c r="BA58" s="74"/>
      <c r="BB58" s="74">
        <v>0.000882</v>
      </c>
      <c r="BC58" s="74"/>
      <c r="BD58" s="74">
        <v>0.00159</v>
      </c>
      <c r="BE58" s="74"/>
      <c r="BF58" s="74">
        <v>0.00152</v>
      </c>
      <c r="BG58" s="74"/>
      <c r="BH58" s="74">
        <v>0.00348</v>
      </c>
      <c r="BI58" s="74"/>
      <c r="BJ58" s="74">
        <v>0.00366</v>
      </c>
      <c r="BK58" s="74"/>
      <c r="BL58" s="74">
        <v>0.00346</v>
      </c>
      <c r="BM58" s="74"/>
      <c r="BN58" s="74">
        <v>0.172</v>
      </c>
      <c r="BO58" s="74"/>
      <c r="BP58" s="74">
        <v>0.177</v>
      </c>
      <c r="BQ58" s="74"/>
      <c r="BR58" s="74">
        <v>0.192</v>
      </c>
      <c r="BS58" s="74"/>
      <c r="BT58" s="74">
        <v>0.175</v>
      </c>
      <c r="BU58" s="74"/>
      <c r="BV58" s="74">
        <v>0.172</v>
      </c>
      <c r="BW58" s="74"/>
      <c r="BX58" s="74">
        <v>0.189</v>
      </c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</row>
    <row r="59" spans="1:124" ht="12.75">
      <c r="A59" s="55" t="s">
        <v>179</v>
      </c>
      <c r="B59" s="55" t="s">
        <v>99</v>
      </c>
      <c r="D59" s="55" t="s">
        <v>155</v>
      </c>
      <c r="E59" s="68"/>
      <c r="F59" s="74">
        <v>0.768</v>
      </c>
      <c r="G59" s="76"/>
      <c r="H59" s="74">
        <v>0.557</v>
      </c>
      <c r="I59" s="76"/>
      <c r="J59" s="74">
        <v>0.623</v>
      </c>
      <c r="K59" s="76"/>
      <c r="L59" s="74">
        <v>0.7</v>
      </c>
      <c r="M59" s="76"/>
      <c r="N59" s="74">
        <v>0.734</v>
      </c>
      <c r="O59" s="76" t="s">
        <v>13</v>
      </c>
      <c r="P59" s="74">
        <v>1.29</v>
      </c>
      <c r="Q59" s="79" t="s">
        <v>13</v>
      </c>
      <c r="R59" s="74">
        <v>6.56</v>
      </c>
      <c r="S59" s="79" t="s">
        <v>13</v>
      </c>
      <c r="T59" s="74">
        <v>6.23</v>
      </c>
      <c r="U59" s="79" t="s">
        <v>13</v>
      </c>
      <c r="V59" s="74">
        <v>6.48</v>
      </c>
      <c r="W59" s="79" t="s">
        <v>13</v>
      </c>
      <c r="X59" s="74">
        <v>6.48</v>
      </c>
      <c r="Y59" s="79" t="s">
        <v>13</v>
      </c>
      <c r="Z59" s="74">
        <v>6.48</v>
      </c>
      <c r="AA59" s="79" t="s">
        <v>13</v>
      </c>
      <c r="AB59" s="74">
        <v>6.71</v>
      </c>
      <c r="AC59" s="74"/>
      <c r="AD59" s="74"/>
      <c r="AE59" s="74"/>
      <c r="AF59" s="74"/>
      <c r="AG59" s="74"/>
      <c r="AH59" s="74"/>
      <c r="AI59" s="74"/>
      <c r="AJ59" s="74"/>
      <c r="AK59" s="74"/>
      <c r="AL59" s="74">
        <v>0.2</v>
      </c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>
        <v>0.000132</v>
      </c>
      <c r="BO59" s="74"/>
      <c r="BP59" s="74">
        <v>0.000132</v>
      </c>
      <c r="BQ59" s="74"/>
      <c r="BR59" s="74">
        <v>0.000154</v>
      </c>
      <c r="BS59" s="74"/>
      <c r="BT59" s="74">
        <v>0.000132</v>
      </c>
      <c r="BU59" s="74"/>
      <c r="BV59" s="74">
        <v>0.000132</v>
      </c>
      <c r="BW59" s="74"/>
      <c r="BX59" s="74">
        <v>0.000154</v>
      </c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</row>
    <row r="60" spans="1:124" ht="12.75">
      <c r="A60" s="55" t="s">
        <v>179</v>
      </c>
      <c r="B60" s="55" t="s">
        <v>100</v>
      </c>
      <c r="D60" s="55" t="s">
        <v>155</v>
      </c>
      <c r="E60" s="68"/>
      <c r="F60" s="74">
        <v>0.0511</v>
      </c>
      <c r="G60" s="76"/>
      <c r="H60" s="74">
        <v>0.0414</v>
      </c>
      <c r="I60" s="76"/>
      <c r="J60" s="74">
        <v>0.0421</v>
      </c>
      <c r="K60" s="76"/>
      <c r="L60" s="74">
        <v>0.0401</v>
      </c>
      <c r="M60" s="76"/>
      <c r="N60" s="74">
        <v>0.047</v>
      </c>
      <c r="O60" s="76" t="s">
        <v>13</v>
      </c>
      <c r="P60" s="74">
        <v>0.257</v>
      </c>
      <c r="Q60" s="79" t="s">
        <v>13</v>
      </c>
      <c r="R60" s="74">
        <v>0.164</v>
      </c>
      <c r="S60" s="79" t="s">
        <v>13</v>
      </c>
      <c r="T60" s="74">
        <v>0.156</v>
      </c>
      <c r="U60" s="79" t="s">
        <v>13</v>
      </c>
      <c r="V60" s="74">
        <v>0.162</v>
      </c>
      <c r="W60" s="79" t="s">
        <v>13</v>
      </c>
      <c r="X60" s="74">
        <v>0.162</v>
      </c>
      <c r="Y60" s="79" t="s">
        <v>13</v>
      </c>
      <c r="Z60" s="74">
        <v>0.162</v>
      </c>
      <c r="AA60" s="79" t="s">
        <v>13</v>
      </c>
      <c r="AB60" s="74">
        <v>0.194</v>
      </c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53"/>
      <c r="BZ60" s="53">
        <v>0.00441</v>
      </c>
      <c r="CA60" s="53"/>
      <c r="CB60" s="53">
        <v>0.00441</v>
      </c>
      <c r="CC60" s="53"/>
      <c r="CD60" s="53">
        <v>0.00441</v>
      </c>
      <c r="CE60" s="53"/>
      <c r="CF60" s="53">
        <v>0.00441</v>
      </c>
      <c r="CG60" s="53"/>
      <c r="CH60" s="53">
        <v>0.00441</v>
      </c>
      <c r="CI60" s="53"/>
      <c r="CJ60" s="53">
        <v>0.00441</v>
      </c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</row>
    <row r="61" spans="1:124" ht="12.75">
      <c r="A61" s="55" t="s">
        <v>179</v>
      </c>
      <c r="B61" s="55" t="s">
        <v>105</v>
      </c>
      <c r="D61" s="55" t="s">
        <v>155</v>
      </c>
      <c r="E61" s="68"/>
      <c r="F61" s="74">
        <v>0.0439</v>
      </c>
      <c r="G61" s="76"/>
      <c r="H61" s="74">
        <v>0.0214</v>
      </c>
      <c r="I61" s="76"/>
      <c r="J61" s="74">
        <v>0.0276</v>
      </c>
      <c r="K61" s="76"/>
      <c r="L61" s="74">
        <v>0.0201</v>
      </c>
      <c r="M61" s="76"/>
      <c r="N61" s="74">
        <v>0.0234</v>
      </c>
      <c r="O61" s="76"/>
      <c r="P61" s="74">
        <v>0.528</v>
      </c>
      <c r="Q61" s="79" t="s">
        <v>13</v>
      </c>
      <c r="R61" s="74">
        <v>0.164</v>
      </c>
      <c r="S61" s="79" t="s">
        <v>13</v>
      </c>
      <c r="T61" s="74">
        <v>0.156</v>
      </c>
      <c r="U61" s="79" t="s">
        <v>13</v>
      </c>
      <c r="V61" s="74">
        <v>0.162</v>
      </c>
      <c r="W61" s="79" t="s">
        <v>13</v>
      </c>
      <c r="X61" s="74">
        <v>0.162</v>
      </c>
      <c r="Y61" s="79" t="s">
        <v>13</v>
      </c>
      <c r="Z61" s="74">
        <v>0.162</v>
      </c>
      <c r="AA61" s="79"/>
      <c r="AB61" s="74">
        <v>1.1</v>
      </c>
      <c r="AC61" s="74"/>
      <c r="AD61" s="74">
        <v>0.00816</v>
      </c>
      <c r="AE61" s="74"/>
      <c r="AF61" s="74"/>
      <c r="AG61" s="74"/>
      <c r="AH61" s="74"/>
      <c r="AI61" s="74"/>
      <c r="AJ61" s="74"/>
      <c r="AK61" s="74"/>
      <c r="AL61" s="74">
        <v>0.00816</v>
      </c>
      <c r="AM61" s="74"/>
      <c r="AN61" s="74"/>
      <c r="AO61" s="74"/>
      <c r="AP61" s="74">
        <v>0.0229</v>
      </c>
      <c r="AQ61" s="74"/>
      <c r="AR61" s="74">
        <v>0.0386</v>
      </c>
      <c r="AS61" s="74"/>
      <c r="AT61" s="74">
        <v>0.0509</v>
      </c>
      <c r="AU61" s="74"/>
      <c r="AV61" s="74">
        <v>0.0203</v>
      </c>
      <c r="AW61" s="74"/>
      <c r="AX61" s="74">
        <v>0.0211</v>
      </c>
      <c r="AY61" s="74"/>
      <c r="AZ61" s="74">
        <v>0.0206</v>
      </c>
      <c r="BA61" s="74"/>
      <c r="BB61" s="74">
        <v>0.00567</v>
      </c>
      <c r="BC61" s="74"/>
      <c r="BD61" s="74">
        <v>0.014</v>
      </c>
      <c r="BE61" s="74"/>
      <c r="BF61" s="74">
        <v>0.0133</v>
      </c>
      <c r="BG61" s="74"/>
      <c r="BH61" s="74">
        <v>0.0168</v>
      </c>
      <c r="BI61" s="74"/>
      <c r="BJ61" s="74">
        <v>0.0174</v>
      </c>
      <c r="BK61" s="74"/>
      <c r="BL61" s="74">
        <v>0.0166</v>
      </c>
      <c r="BM61" s="74"/>
      <c r="BN61" s="74">
        <v>2.46</v>
      </c>
      <c r="BO61" s="74"/>
      <c r="BP61" s="74">
        <v>2.54</v>
      </c>
      <c r="BQ61" s="74"/>
      <c r="BR61" s="74">
        <v>2.76</v>
      </c>
      <c r="BS61" s="74"/>
      <c r="BT61" s="74">
        <v>2.5</v>
      </c>
      <c r="BU61" s="74"/>
      <c r="BV61" s="74">
        <v>2.47</v>
      </c>
      <c r="BW61" s="74"/>
      <c r="BX61" s="74">
        <v>2.69</v>
      </c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</row>
    <row r="62" spans="1:124" ht="12.75">
      <c r="A62" s="55" t="s">
        <v>179</v>
      </c>
      <c r="B62" s="55" t="s">
        <v>107</v>
      </c>
      <c r="D62" s="55" t="s">
        <v>155</v>
      </c>
      <c r="E62" s="68"/>
      <c r="F62" s="74">
        <v>0.293</v>
      </c>
      <c r="G62" s="76"/>
      <c r="H62" s="74">
        <v>0.214</v>
      </c>
      <c r="I62" s="76"/>
      <c r="J62" s="74">
        <v>0.232</v>
      </c>
      <c r="K62" s="76"/>
      <c r="L62" s="74">
        <v>0.0353</v>
      </c>
      <c r="M62" s="76"/>
      <c r="N62" s="74">
        <v>0.25</v>
      </c>
      <c r="O62" s="76" t="s">
        <v>13</v>
      </c>
      <c r="P62" s="74">
        <v>0.515</v>
      </c>
      <c r="Q62" s="79"/>
      <c r="R62" s="74">
        <v>1.64</v>
      </c>
      <c r="S62" s="79"/>
      <c r="T62" s="74">
        <v>1.56</v>
      </c>
      <c r="U62" s="79"/>
      <c r="V62" s="74">
        <v>1.62</v>
      </c>
      <c r="W62" s="79"/>
      <c r="X62" s="74">
        <v>1.94</v>
      </c>
      <c r="Y62" s="79"/>
      <c r="Z62" s="74">
        <v>1.62</v>
      </c>
      <c r="AA62" s="79"/>
      <c r="AB62" s="74">
        <v>2.4</v>
      </c>
      <c r="AC62" s="74"/>
      <c r="AD62" s="74">
        <v>0.0214</v>
      </c>
      <c r="AE62" s="74"/>
      <c r="AF62" s="74"/>
      <c r="AG62" s="74"/>
      <c r="AH62" s="74"/>
      <c r="AI62" s="74"/>
      <c r="AJ62" s="74"/>
      <c r="AK62" s="74"/>
      <c r="AL62" s="74">
        <v>0.0908</v>
      </c>
      <c r="AM62" s="74"/>
      <c r="AN62" s="74"/>
      <c r="AO62" s="74"/>
      <c r="AP62" s="74">
        <v>2.86</v>
      </c>
      <c r="AQ62" s="74"/>
      <c r="AR62" s="74">
        <v>2.1</v>
      </c>
      <c r="AS62" s="74"/>
      <c r="AT62" s="74">
        <v>2.47</v>
      </c>
      <c r="AU62" s="74"/>
      <c r="AV62" s="74">
        <v>2.31</v>
      </c>
      <c r="AW62" s="74"/>
      <c r="AX62" s="74">
        <v>2.33</v>
      </c>
      <c r="AY62" s="74"/>
      <c r="AZ62" s="74">
        <v>2.09</v>
      </c>
      <c r="BA62" s="74"/>
      <c r="BB62" s="74"/>
      <c r="BC62" s="74"/>
      <c r="BD62" s="74">
        <v>0.00421</v>
      </c>
      <c r="BE62" s="74"/>
      <c r="BF62" s="74">
        <v>0.00377</v>
      </c>
      <c r="BG62" s="74"/>
      <c r="BH62" s="74">
        <v>0.00712</v>
      </c>
      <c r="BI62" s="74"/>
      <c r="BJ62" s="74">
        <v>0.00743</v>
      </c>
      <c r="BK62" s="74"/>
      <c r="BL62" s="74">
        <v>0.00705</v>
      </c>
      <c r="BM62" s="74"/>
      <c r="BN62" s="74">
        <v>0.0361</v>
      </c>
      <c r="BO62" s="74"/>
      <c r="BP62" s="74">
        <v>0.0372</v>
      </c>
      <c r="BQ62" s="74"/>
      <c r="BR62" s="74">
        <v>0.0404</v>
      </c>
      <c r="BS62" s="74"/>
      <c r="BT62" s="74">
        <v>0.0367</v>
      </c>
      <c r="BU62" s="74"/>
      <c r="BV62" s="74">
        <v>0.0362</v>
      </c>
      <c r="BW62" s="74"/>
      <c r="BX62" s="74">
        <v>0.0394</v>
      </c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</row>
    <row r="63" spans="1:124" ht="12.75">
      <c r="A63" s="55" t="s">
        <v>179</v>
      </c>
      <c r="B63" s="55" t="s">
        <v>191</v>
      </c>
      <c r="D63" s="55" t="s">
        <v>155</v>
      </c>
      <c r="E63" s="68"/>
      <c r="F63" s="74"/>
      <c r="G63" s="76"/>
      <c r="H63" s="74"/>
      <c r="I63" s="76"/>
      <c r="J63" s="74"/>
      <c r="K63" s="76"/>
      <c r="L63" s="74"/>
      <c r="M63" s="76"/>
      <c r="N63" s="74"/>
      <c r="O63" s="76"/>
      <c r="P63" s="74"/>
      <c r="Q63" s="79"/>
      <c r="R63" s="74"/>
      <c r="S63" s="79"/>
      <c r="T63" s="74"/>
      <c r="U63" s="79"/>
      <c r="V63" s="74"/>
      <c r="W63" s="79"/>
      <c r="X63" s="74"/>
      <c r="Y63" s="79"/>
      <c r="Z63" s="74"/>
      <c r="AA63" s="79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>
        <v>2.16</v>
      </c>
      <c r="AQ63" s="74"/>
      <c r="AR63" s="74">
        <v>1.63</v>
      </c>
      <c r="AS63" s="74"/>
      <c r="AT63" s="74">
        <v>2.05</v>
      </c>
      <c r="AU63" s="74"/>
      <c r="AV63" s="74">
        <v>1.85</v>
      </c>
      <c r="AW63" s="74"/>
      <c r="AX63" s="74">
        <v>1.85</v>
      </c>
      <c r="AY63" s="74"/>
      <c r="AZ63" s="74">
        <v>1.63</v>
      </c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>
        <v>0.000243</v>
      </c>
      <c r="BO63" s="74"/>
      <c r="BP63" s="74">
        <v>0.000243</v>
      </c>
      <c r="BQ63" s="74"/>
      <c r="BR63" s="74">
        <v>0.000265</v>
      </c>
      <c r="BS63" s="74"/>
      <c r="BT63" s="74">
        <v>0.000243</v>
      </c>
      <c r="BU63" s="74"/>
      <c r="BV63" s="74">
        <v>0.000243</v>
      </c>
      <c r="BW63" s="74"/>
      <c r="BX63" s="74">
        <v>0.000265</v>
      </c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</row>
    <row r="64" spans="1:124" ht="12.75">
      <c r="A64" s="55" t="s">
        <v>179</v>
      </c>
      <c r="B64" s="55" t="s">
        <v>103</v>
      </c>
      <c r="D64" s="55" t="s">
        <v>155</v>
      </c>
      <c r="E64" s="68"/>
      <c r="F64" s="74">
        <v>0.384</v>
      </c>
      <c r="G64" s="76"/>
      <c r="H64" s="74">
        <v>0.286</v>
      </c>
      <c r="I64" s="76"/>
      <c r="J64" s="74">
        <v>0.246</v>
      </c>
      <c r="K64" s="76"/>
      <c r="L64" s="74">
        <v>0.214</v>
      </c>
      <c r="M64" s="76"/>
      <c r="N64" s="74">
        <v>0.25</v>
      </c>
      <c r="O64" s="76" t="s">
        <v>13</v>
      </c>
      <c r="P64" s="74">
        <v>2.57</v>
      </c>
      <c r="Q64" s="79"/>
      <c r="R64" s="74">
        <v>1.64</v>
      </c>
      <c r="S64" s="79"/>
      <c r="T64" s="74">
        <v>1.25</v>
      </c>
      <c r="U64" s="79"/>
      <c r="V64" s="74">
        <v>1.62</v>
      </c>
      <c r="W64" s="79"/>
      <c r="X64" s="74">
        <v>0.972</v>
      </c>
      <c r="Y64" s="79"/>
      <c r="Z64" s="74">
        <v>1.3</v>
      </c>
      <c r="AA64" s="79" t="s">
        <v>13</v>
      </c>
      <c r="AB64" s="74">
        <v>2.07</v>
      </c>
      <c r="AC64" s="74"/>
      <c r="AD64" s="74">
        <v>0.257</v>
      </c>
      <c r="AE64" s="74"/>
      <c r="AF64" s="74"/>
      <c r="AG64" s="74"/>
      <c r="AH64" s="74"/>
      <c r="AI64" s="74"/>
      <c r="AJ64" s="74"/>
      <c r="AK64" s="74"/>
      <c r="AL64" s="74">
        <v>0.391</v>
      </c>
      <c r="AM64" s="74"/>
      <c r="AN64" s="74"/>
      <c r="AO64" s="74"/>
      <c r="AP64" s="74">
        <v>0.0473</v>
      </c>
      <c r="AQ64" s="74"/>
      <c r="AR64" s="74">
        <v>0.0606</v>
      </c>
      <c r="AS64" s="74"/>
      <c r="AT64" s="74">
        <v>0.0789</v>
      </c>
      <c r="AU64" s="74"/>
      <c r="AV64" s="74">
        <v>0.0363</v>
      </c>
      <c r="AW64" s="74"/>
      <c r="AX64" s="74">
        <v>0.0545</v>
      </c>
      <c r="AY64" s="74"/>
      <c r="AZ64" s="74">
        <v>0.0878</v>
      </c>
      <c r="BA64" s="74"/>
      <c r="BB64" s="74">
        <v>2.55</v>
      </c>
      <c r="BC64" s="74"/>
      <c r="BD64" s="74">
        <v>1.31</v>
      </c>
      <c r="BE64" s="74"/>
      <c r="BF64" s="74">
        <v>1.64</v>
      </c>
      <c r="BG64" s="74"/>
      <c r="BH64" s="74">
        <v>3.61</v>
      </c>
      <c r="BI64" s="74"/>
      <c r="BJ64" s="74">
        <v>3.76</v>
      </c>
      <c r="BK64" s="74"/>
      <c r="BL64" s="74">
        <v>3.57</v>
      </c>
      <c r="BM64" s="74"/>
      <c r="BN64" s="74">
        <v>0.0713</v>
      </c>
      <c r="BO64" s="74"/>
      <c r="BP64" s="74">
        <v>0.0733</v>
      </c>
      <c r="BQ64" s="74"/>
      <c r="BR64" s="74">
        <v>0.0799</v>
      </c>
      <c r="BS64" s="74"/>
      <c r="BT64" s="74">
        <v>0.0725</v>
      </c>
      <c r="BU64" s="74"/>
      <c r="BV64" s="74">
        <v>0.0716</v>
      </c>
      <c r="BW64" s="74"/>
      <c r="BX64" s="74">
        <v>0.0778</v>
      </c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</row>
    <row r="65" spans="1:124" ht="12.75">
      <c r="A65" s="55" t="s">
        <v>179</v>
      </c>
      <c r="B65" s="55" t="s">
        <v>110</v>
      </c>
      <c r="D65" s="55" t="s">
        <v>155</v>
      </c>
      <c r="E65" s="68"/>
      <c r="F65" s="74">
        <v>0.00904</v>
      </c>
      <c r="G65" s="76"/>
      <c r="H65" s="74">
        <v>0.00705</v>
      </c>
      <c r="I65" s="76"/>
      <c r="J65" s="74">
        <v>0.0086</v>
      </c>
      <c r="K65" s="76"/>
      <c r="L65" s="74">
        <v>0.0086</v>
      </c>
      <c r="M65" s="76"/>
      <c r="N65" s="74">
        <v>0.00772</v>
      </c>
      <c r="O65" s="76"/>
      <c r="P65" s="74">
        <v>0.00265</v>
      </c>
      <c r="Q65" s="79" t="s">
        <v>13</v>
      </c>
      <c r="R65" s="74">
        <v>0.0328</v>
      </c>
      <c r="S65" s="79" t="s">
        <v>13</v>
      </c>
      <c r="T65" s="74">
        <v>0.0311</v>
      </c>
      <c r="U65" s="79" t="s">
        <v>13</v>
      </c>
      <c r="V65" s="74">
        <v>0.0324</v>
      </c>
      <c r="W65" s="79" t="s">
        <v>13</v>
      </c>
      <c r="X65" s="74">
        <v>0.0324</v>
      </c>
      <c r="Y65" s="79" t="s">
        <v>13</v>
      </c>
      <c r="Z65" s="74">
        <v>0.0324</v>
      </c>
      <c r="AA65" s="79" t="s">
        <v>13</v>
      </c>
      <c r="AB65" s="74">
        <v>0.0324</v>
      </c>
      <c r="AC65" s="74"/>
      <c r="AD65" s="74">
        <v>0.0011</v>
      </c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>
        <v>2.2E-05</v>
      </c>
      <c r="AQ65" s="74"/>
      <c r="AR65" s="74">
        <v>2.2E-05</v>
      </c>
      <c r="AS65" s="74"/>
      <c r="AT65" s="74">
        <v>2.2E-05</v>
      </c>
      <c r="AU65" s="74"/>
      <c r="AV65" s="74">
        <v>2.2E-05</v>
      </c>
      <c r="AW65" s="74"/>
      <c r="AX65" s="74">
        <v>2.2E-05</v>
      </c>
      <c r="AY65" s="74"/>
      <c r="AZ65" s="74">
        <v>2.2E-05</v>
      </c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>
        <v>2.2E-05</v>
      </c>
      <c r="BO65" s="74"/>
      <c r="BP65" s="74">
        <v>2.2E-05</v>
      </c>
      <c r="BQ65" s="74"/>
      <c r="BR65" s="74">
        <v>2.2E-05</v>
      </c>
      <c r="BS65" s="74"/>
      <c r="BT65" s="74">
        <v>2.2E-05</v>
      </c>
      <c r="BU65" s="74"/>
      <c r="BV65" s="74">
        <v>2.2E-05</v>
      </c>
      <c r="BW65" s="74"/>
      <c r="BX65" s="74">
        <v>2.2E-05</v>
      </c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</row>
    <row r="66" spans="1:124" ht="12.75">
      <c r="A66" s="55" t="s">
        <v>179</v>
      </c>
      <c r="B66" s="55" t="s">
        <v>104</v>
      </c>
      <c r="D66" s="55" t="s">
        <v>155</v>
      </c>
      <c r="E66" s="68"/>
      <c r="F66" s="74">
        <v>0.274</v>
      </c>
      <c r="G66" s="76"/>
      <c r="H66" s="74">
        <v>0.243</v>
      </c>
      <c r="I66" s="76"/>
      <c r="J66" s="74">
        <v>0.246</v>
      </c>
      <c r="K66" s="76"/>
      <c r="L66" s="74">
        <v>0.229</v>
      </c>
      <c r="M66" s="76"/>
      <c r="N66" s="74">
        <v>0.265</v>
      </c>
      <c r="O66" s="76" t="s">
        <v>13</v>
      </c>
      <c r="P66" s="74">
        <v>1.29</v>
      </c>
      <c r="Q66" s="79"/>
      <c r="R66" s="74">
        <v>1.64</v>
      </c>
      <c r="S66" s="79"/>
      <c r="T66" s="74">
        <v>1.56</v>
      </c>
      <c r="U66" s="79"/>
      <c r="V66" s="74">
        <v>2.59</v>
      </c>
      <c r="W66" s="79"/>
      <c r="X66" s="74">
        <v>2.27</v>
      </c>
      <c r="Y66" s="79"/>
      <c r="Z66" s="74">
        <v>1.94</v>
      </c>
      <c r="AA66" s="79" t="s">
        <v>13</v>
      </c>
      <c r="AB66" s="74">
        <v>0.843</v>
      </c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>
        <v>0.015</v>
      </c>
      <c r="AQ66" s="74"/>
      <c r="AR66" s="74">
        <v>0.0109</v>
      </c>
      <c r="AS66" s="74"/>
      <c r="AT66" s="74">
        <v>0.0137</v>
      </c>
      <c r="AU66" s="74"/>
      <c r="AV66" s="74">
        <v>0.0118</v>
      </c>
      <c r="AW66" s="74"/>
      <c r="AX66" s="74">
        <v>0.0119</v>
      </c>
      <c r="AY66" s="74"/>
      <c r="AZ66" s="74">
        <v>0.0108</v>
      </c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>
        <v>0.00421</v>
      </c>
      <c r="BO66" s="74"/>
      <c r="BP66" s="74">
        <v>0.00434</v>
      </c>
      <c r="BQ66" s="74"/>
      <c r="BR66" s="74">
        <v>0.00472</v>
      </c>
      <c r="BS66" s="74"/>
      <c r="BT66" s="74">
        <v>0.0043</v>
      </c>
      <c r="BU66" s="74"/>
      <c r="BV66" s="74">
        <v>0.00423</v>
      </c>
      <c r="BW66" s="74"/>
      <c r="BX66" s="74">
        <v>0.00461</v>
      </c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</row>
    <row r="67" spans="1:124" ht="12.75">
      <c r="A67" s="55" t="s">
        <v>179</v>
      </c>
      <c r="B67" s="55" t="s">
        <v>106</v>
      </c>
      <c r="D67" s="55" t="s">
        <v>155</v>
      </c>
      <c r="E67" s="68" t="s">
        <v>13</v>
      </c>
      <c r="F67" s="74">
        <v>0.0146</v>
      </c>
      <c r="G67" s="76" t="s">
        <v>13</v>
      </c>
      <c r="H67" s="74">
        <v>0.00992</v>
      </c>
      <c r="I67" s="76" t="s">
        <v>13</v>
      </c>
      <c r="J67" s="74">
        <v>0.0146</v>
      </c>
      <c r="K67" s="76" t="s">
        <v>13</v>
      </c>
      <c r="L67" s="74">
        <v>0.0115</v>
      </c>
      <c r="M67" s="76" t="s">
        <v>13</v>
      </c>
      <c r="N67" s="74">
        <v>0.0126</v>
      </c>
      <c r="O67" s="76" t="s">
        <v>13</v>
      </c>
      <c r="P67" s="74">
        <v>0.515</v>
      </c>
      <c r="Q67" s="79" t="s">
        <v>13</v>
      </c>
      <c r="R67" s="74">
        <v>0.328</v>
      </c>
      <c r="S67" s="79"/>
      <c r="T67" s="74">
        <v>0.312</v>
      </c>
      <c r="U67" s="79" t="s">
        <v>13</v>
      </c>
      <c r="V67" s="74">
        <v>0.324</v>
      </c>
      <c r="W67" s="79" t="s">
        <v>13</v>
      </c>
      <c r="X67" s="74">
        <v>0.324</v>
      </c>
      <c r="Y67" s="79" t="s">
        <v>13</v>
      </c>
      <c r="Z67" s="74">
        <v>0.324</v>
      </c>
      <c r="AA67" s="79" t="s">
        <v>13</v>
      </c>
      <c r="AB67" s="74">
        <v>0.0324</v>
      </c>
      <c r="AC67" s="74"/>
      <c r="AD67" s="74">
        <v>0.00551</v>
      </c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</row>
    <row r="68" spans="1:124" ht="12.75">
      <c r="A68" s="55" t="s">
        <v>179</v>
      </c>
      <c r="B68" s="55" t="s">
        <v>101</v>
      </c>
      <c r="D68" s="55" t="s">
        <v>155</v>
      </c>
      <c r="E68" s="68" t="s">
        <v>13</v>
      </c>
      <c r="F68" s="74">
        <v>0.0128</v>
      </c>
      <c r="G68" s="76" t="s">
        <v>13</v>
      </c>
      <c r="H68" s="74">
        <v>0.0115</v>
      </c>
      <c r="I68" s="76" t="s">
        <v>13</v>
      </c>
      <c r="J68" s="74">
        <v>0.013</v>
      </c>
      <c r="K68" s="76" t="s">
        <v>13</v>
      </c>
      <c r="L68" s="74">
        <v>0.0115</v>
      </c>
      <c r="M68" s="76" t="s">
        <v>13</v>
      </c>
      <c r="N68" s="74">
        <v>0.011</v>
      </c>
      <c r="O68" s="76" t="s">
        <v>13</v>
      </c>
      <c r="P68" s="74">
        <v>0.00639</v>
      </c>
      <c r="Q68" s="79" t="s">
        <v>13</v>
      </c>
      <c r="R68" s="74">
        <v>0.328</v>
      </c>
      <c r="S68" s="79" t="s">
        <v>13</v>
      </c>
      <c r="T68" s="74">
        <v>0.312</v>
      </c>
      <c r="U68" s="79" t="s">
        <v>13</v>
      </c>
      <c r="V68" s="74">
        <v>0.324</v>
      </c>
      <c r="W68" s="79" t="s">
        <v>13</v>
      </c>
      <c r="X68" s="74">
        <v>0.324</v>
      </c>
      <c r="Y68" s="79" t="s">
        <v>13</v>
      </c>
      <c r="Z68" s="74">
        <v>0.324</v>
      </c>
      <c r="AA68" s="79" t="s">
        <v>13</v>
      </c>
      <c r="AB68" s="74">
        <v>0.0972</v>
      </c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</row>
    <row r="70" spans="2:100" ht="12.75">
      <c r="B70" s="16" t="s">
        <v>68</v>
      </c>
      <c r="C70" s="16"/>
      <c r="D70" s="16" t="s">
        <v>16</v>
      </c>
      <c r="F70" s="73">
        <f>'emiss 2'!$G$80</f>
        <v>144600</v>
      </c>
      <c r="G70" s="75"/>
      <c r="H70" s="73">
        <f>'emiss 2'!$I$80</f>
        <v>149000</v>
      </c>
      <c r="I70" s="75"/>
      <c r="J70" s="73">
        <f>'emiss 2'!$K$80</f>
        <v>149100</v>
      </c>
      <c r="K70" s="75"/>
      <c r="L70" s="73">
        <f>'emiss 2'!$M$80</f>
        <v>152000</v>
      </c>
      <c r="M70" s="75"/>
      <c r="N70" s="73">
        <f>'emiss 2'!$O$80</f>
        <v>151800</v>
      </c>
      <c r="O70" s="75"/>
      <c r="P70" s="73">
        <f>'emiss 2'!$Q$80</f>
        <v>144700</v>
      </c>
      <c r="Q70" s="78"/>
      <c r="R70" s="73">
        <f>'emiss 2'!$G$80</f>
        <v>144600</v>
      </c>
      <c r="S70" s="75"/>
      <c r="T70" s="73">
        <f>'emiss 2'!$I$80</f>
        <v>149000</v>
      </c>
      <c r="U70" s="75"/>
      <c r="V70" s="73">
        <f>'emiss 2'!$K$80</f>
        <v>149100</v>
      </c>
      <c r="W70" s="75"/>
      <c r="X70" s="73">
        <f>'emiss 2'!$M$80</f>
        <v>152000</v>
      </c>
      <c r="Y70" s="75"/>
      <c r="Z70" s="73">
        <f>'emiss 2'!$O$80</f>
        <v>151800</v>
      </c>
      <c r="AA70" s="75"/>
      <c r="AB70" s="73">
        <f>'emiss 2'!$Q$80</f>
        <v>144700</v>
      </c>
      <c r="AC70" s="73"/>
      <c r="AD70" s="73">
        <f>'emiss 2'!$G$80</f>
        <v>144600</v>
      </c>
      <c r="AE70" s="73"/>
      <c r="AF70" s="73">
        <f>'emiss 2'!$I$80</f>
        <v>149000</v>
      </c>
      <c r="AG70" s="73"/>
      <c r="AH70" s="73">
        <f>'emiss 2'!$K$80</f>
        <v>149100</v>
      </c>
      <c r="AI70" s="73"/>
      <c r="AJ70" s="73">
        <f>'emiss 2'!$M$80</f>
        <v>152000</v>
      </c>
      <c r="AK70" s="73"/>
      <c r="AL70" s="73">
        <f>'emiss 2'!$O$80</f>
        <v>151800</v>
      </c>
      <c r="AM70" s="73"/>
      <c r="AN70" s="73">
        <f>'emiss 2'!$Q$80</f>
        <v>144700</v>
      </c>
      <c r="AO70" s="73"/>
      <c r="AP70" s="73">
        <f>'emiss 2'!$G$80</f>
        <v>144600</v>
      </c>
      <c r="AQ70" s="73"/>
      <c r="AR70" s="73">
        <f>'emiss 2'!$I$80</f>
        <v>149000</v>
      </c>
      <c r="AS70" s="73"/>
      <c r="AT70" s="73">
        <f>'emiss 2'!$K$80</f>
        <v>149100</v>
      </c>
      <c r="AU70" s="73"/>
      <c r="AV70" s="73">
        <f>'emiss 2'!$M$80</f>
        <v>152000</v>
      </c>
      <c r="AW70" s="73"/>
      <c r="AX70" s="73">
        <f>'emiss 2'!$O$80</f>
        <v>151800</v>
      </c>
      <c r="AY70" s="73"/>
      <c r="AZ70" s="73">
        <f>'emiss 2'!$Q$80</f>
        <v>144700</v>
      </c>
      <c r="BA70" s="73"/>
      <c r="BB70" s="73">
        <f>'emiss 2'!$G$80</f>
        <v>144600</v>
      </c>
      <c r="BC70" s="73"/>
      <c r="BD70" s="73">
        <f>'emiss 2'!$I$80</f>
        <v>149000</v>
      </c>
      <c r="BE70" s="73"/>
      <c r="BF70" s="73">
        <f>'emiss 2'!$K$80</f>
        <v>149100</v>
      </c>
      <c r="BG70" s="73"/>
      <c r="BH70" s="73">
        <f>'emiss 2'!$M$80</f>
        <v>152000</v>
      </c>
      <c r="BI70" s="73"/>
      <c r="BJ70" s="73">
        <f>'emiss 2'!$O$80</f>
        <v>151800</v>
      </c>
      <c r="BK70" s="73"/>
      <c r="BL70" s="73">
        <f>'emiss 2'!$Q$80</f>
        <v>144700</v>
      </c>
      <c r="BM70" s="73"/>
      <c r="BN70" s="73">
        <f>'emiss 2'!$G$80</f>
        <v>144600</v>
      </c>
      <c r="BO70" s="73"/>
      <c r="BP70" s="73">
        <f>'emiss 2'!$I$80</f>
        <v>149000</v>
      </c>
      <c r="BQ70" s="73"/>
      <c r="BR70" s="73">
        <f>'emiss 2'!$K$80</f>
        <v>149100</v>
      </c>
      <c r="BS70" s="73"/>
      <c r="BT70" s="73">
        <f>'emiss 2'!$M$80</f>
        <v>152000</v>
      </c>
      <c r="BU70" s="73"/>
      <c r="BV70" s="73">
        <f>'emiss 2'!$O$80</f>
        <v>151800</v>
      </c>
      <c r="BW70" s="73"/>
      <c r="BX70" s="73">
        <f>'emiss 2'!$Q$80</f>
        <v>144700</v>
      </c>
      <c r="BY70" s="73"/>
      <c r="BZ70" s="73">
        <f>'emiss 2'!$G$80</f>
        <v>144600</v>
      </c>
      <c r="CA70" s="73"/>
      <c r="CB70" s="73">
        <f>'emiss 2'!$I$80</f>
        <v>149000</v>
      </c>
      <c r="CC70" s="73"/>
      <c r="CD70" s="73">
        <f>'emiss 2'!$K$80</f>
        <v>149100</v>
      </c>
      <c r="CE70" s="73"/>
      <c r="CF70" s="73">
        <f>'emiss 2'!$M$80</f>
        <v>152000</v>
      </c>
      <c r="CG70" s="73"/>
      <c r="CH70" s="73">
        <f>'emiss 2'!$O$80</f>
        <v>151800</v>
      </c>
      <c r="CI70" s="73"/>
      <c r="CJ70" s="73">
        <f>'emiss 2'!$Q$80</f>
        <v>144700</v>
      </c>
      <c r="CK70" s="73"/>
      <c r="CL70" s="73">
        <f>'emiss 2'!$G$80</f>
        <v>144600</v>
      </c>
      <c r="CM70" s="73"/>
      <c r="CN70" s="73">
        <f>'emiss 2'!$I$80</f>
        <v>149000</v>
      </c>
      <c r="CO70" s="73"/>
      <c r="CP70" s="73">
        <f>'emiss 2'!$K$80</f>
        <v>149100</v>
      </c>
      <c r="CQ70" s="73"/>
      <c r="CR70" s="73">
        <f>'emiss 2'!$M$80</f>
        <v>152000</v>
      </c>
      <c r="CS70" s="73"/>
      <c r="CT70" s="73">
        <f>'emiss 2'!$O$80</f>
        <v>151800</v>
      </c>
      <c r="CU70" s="73"/>
      <c r="CV70" s="73">
        <f>'emiss 2'!$Q$80</f>
        <v>144700</v>
      </c>
    </row>
    <row r="71" spans="2:100" ht="12.75">
      <c r="B71" s="16" t="s">
        <v>61</v>
      </c>
      <c r="C71" s="16"/>
      <c r="D71" s="16" t="s">
        <v>14</v>
      </c>
      <c r="F71" s="55">
        <f>'emiss 2'!$G$81</f>
        <v>12.2</v>
      </c>
      <c r="H71" s="55">
        <f>'emiss 2'!$I$81</f>
        <v>11.5</v>
      </c>
      <c r="J71" s="55">
        <f>'emiss 2'!$K$81</f>
        <v>12.3</v>
      </c>
      <c r="L71" s="55">
        <f>'emiss 2'!$M$81</f>
        <v>11.4</v>
      </c>
      <c r="N71" s="55">
        <f>'emiss 2'!$O$81</f>
        <v>11.7</v>
      </c>
      <c r="P71" s="55">
        <f>'emiss 2'!$Q$81</f>
        <v>12.1</v>
      </c>
      <c r="R71" s="55">
        <f>'emiss 2'!$G$81</f>
        <v>12.2</v>
      </c>
      <c r="S71" s="59"/>
      <c r="T71" s="55">
        <f>'emiss 2'!$I$81</f>
        <v>11.5</v>
      </c>
      <c r="U71" s="59"/>
      <c r="V71" s="55">
        <f>'emiss 2'!$K$81</f>
        <v>12.3</v>
      </c>
      <c r="W71" s="59"/>
      <c r="X71" s="55">
        <f>'emiss 2'!$M$81</f>
        <v>11.4</v>
      </c>
      <c r="Y71" s="59"/>
      <c r="Z71" s="55">
        <f>'emiss 2'!$O$81</f>
        <v>11.7</v>
      </c>
      <c r="AA71" s="59"/>
      <c r="AB71" s="55">
        <f>'emiss 2'!$Q$81</f>
        <v>12.1</v>
      </c>
      <c r="AD71" s="55">
        <f>'emiss 2'!$G$81</f>
        <v>12.2</v>
      </c>
      <c r="AF71" s="55">
        <f>'emiss 2'!$I$81</f>
        <v>11.5</v>
      </c>
      <c r="AH71" s="55">
        <f>'emiss 2'!$K$81</f>
        <v>12.3</v>
      </c>
      <c r="AJ71" s="55">
        <f>'emiss 2'!$M$81</f>
        <v>11.4</v>
      </c>
      <c r="AL71" s="55">
        <f>'emiss 2'!$O$81</f>
        <v>11.7</v>
      </c>
      <c r="AN71" s="55">
        <f>'emiss 2'!$Q$81</f>
        <v>12.1</v>
      </c>
      <c r="AP71" s="55">
        <f>'emiss 2'!$G$81</f>
        <v>12.2</v>
      </c>
      <c r="AR71" s="55">
        <f>'emiss 2'!$I$81</f>
        <v>11.5</v>
      </c>
      <c r="AT71" s="55">
        <f>'emiss 2'!$K$81</f>
        <v>12.3</v>
      </c>
      <c r="AV71" s="55">
        <f>'emiss 2'!$M$81</f>
        <v>11.4</v>
      </c>
      <c r="AX71" s="55">
        <f>'emiss 2'!$O$81</f>
        <v>11.7</v>
      </c>
      <c r="AZ71" s="55">
        <f>'emiss 2'!$Q$81</f>
        <v>12.1</v>
      </c>
      <c r="BB71" s="55">
        <f>'emiss 2'!$G$81</f>
        <v>12.2</v>
      </c>
      <c r="BD71" s="55">
        <f>'emiss 2'!$I$81</f>
        <v>11.5</v>
      </c>
      <c r="BF71" s="55">
        <f>'emiss 2'!$K$81</f>
        <v>12.3</v>
      </c>
      <c r="BH71" s="55">
        <f>'emiss 2'!$M$81</f>
        <v>11.4</v>
      </c>
      <c r="BJ71" s="55">
        <f>'emiss 2'!$O$81</f>
        <v>11.7</v>
      </c>
      <c r="BL71" s="55">
        <f>'emiss 2'!$Q$81</f>
        <v>12.1</v>
      </c>
      <c r="BN71" s="55">
        <f>'emiss 2'!$G$81</f>
        <v>12.2</v>
      </c>
      <c r="BP71" s="55">
        <f>'emiss 2'!$I$81</f>
        <v>11.5</v>
      </c>
      <c r="BR71" s="55">
        <f>'emiss 2'!$K$81</f>
        <v>12.3</v>
      </c>
      <c r="BT71" s="55">
        <f>'emiss 2'!$M$81</f>
        <v>11.4</v>
      </c>
      <c r="BV71" s="55">
        <f>'emiss 2'!$O$81</f>
        <v>11.7</v>
      </c>
      <c r="BX71" s="55">
        <f>'emiss 2'!$Q$81</f>
        <v>12.1</v>
      </c>
      <c r="BZ71" s="55">
        <f>'emiss 2'!$G$81</f>
        <v>12.2</v>
      </c>
      <c r="CB71" s="55">
        <f>'emiss 2'!$I$81</f>
        <v>11.5</v>
      </c>
      <c r="CD71" s="55">
        <f>'emiss 2'!$K$81</f>
        <v>12.3</v>
      </c>
      <c r="CF71" s="55">
        <f>'emiss 2'!$M$81</f>
        <v>11.4</v>
      </c>
      <c r="CH71" s="55">
        <f>'emiss 2'!$O$81</f>
        <v>11.7</v>
      </c>
      <c r="CJ71" s="55">
        <f>'emiss 2'!$Q$81</f>
        <v>12.1</v>
      </c>
      <c r="CL71" s="55">
        <f>'emiss 2'!$G$81</f>
        <v>12.2</v>
      </c>
      <c r="CN71" s="55">
        <f>'emiss 2'!$I$81</f>
        <v>11.5</v>
      </c>
      <c r="CP71" s="55">
        <f>'emiss 2'!$K$81</f>
        <v>12.3</v>
      </c>
      <c r="CR71" s="55">
        <f>'emiss 2'!$M$81</f>
        <v>11.4</v>
      </c>
      <c r="CT71" s="55">
        <f>'emiss 2'!$O$81</f>
        <v>11.7</v>
      </c>
      <c r="CV71" s="55">
        <f>'emiss 2'!$Q$81</f>
        <v>12.1</v>
      </c>
    </row>
    <row r="73" ht="12.75">
      <c r="B73" s="43" t="s">
        <v>88</v>
      </c>
    </row>
    <row r="74" spans="2:144" ht="12.75">
      <c r="B74" s="55" t="s">
        <v>21</v>
      </c>
      <c r="D74" s="55" t="s">
        <v>66</v>
      </c>
      <c r="E74" s="68"/>
      <c r="F74" s="73">
        <f>F56*454*1000000/0.0283/60*14/(21-F$71)/F$70</f>
        <v>70011.95332353785</v>
      </c>
      <c r="G74" s="75"/>
      <c r="H74" s="73">
        <f>H56*454*1000000/0.0283/60*14/(21-H$71)/H$70</f>
        <v>52889.11799740298</v>
      </c>
      <c r="I74" s="75"/>
      <c r="J74" s="73">
        <f aca="true" t="shared" si="41" ref="J74:J86">J56*454*1000000/0.0283/60*14/(21-J$71)/J$70</f>
        <v>62619.419952648044</v>
      </c>
      <c r="K74" s="75"/>
      <c r="L74" s="73">
        <f aca="true" t="shared" si="42" ref="L74:L86">L56*454*1000000/0.0283/60*14/(21-L$71)/L$70</f>
        <v>62335.81690533756</v>
      </c>
      <c r="M74" s="75"/>
      <c r="N74" s="73">
        <f aca="true" t="shared" si="43" ref="N74:N86">N56*454*1000000/0.0283/60*14/(21-N$71)/N$70</f>
        <v>70529.87581189229</v>
      </c>
      <c r="O74" s="75"/>
      <c r="P74" s="73">
        <f aca="true" t="shared" si="44" ref="P74:P86">P56*454*1000000/0.0283/60*14/(21-P$71)/P$70</f>
        <v>0</v>
      </c>
      <c r="Q74" s="78" t="s">
        <v>13</v>
      </c>
      <c r="R74" s="73">
        <f aca="true" t="shared" si="45" ref="R74:R86">R56*454*1000000/0.0283/60*14/(21-R$71)/R$70</f>
        <v>192974.12344639</v>
      </c>
      <c r="S74" s="78" t="s">
        <v>13</v>
      </c>
      <c r="T74" s="73">
        <f aca="true" t="shared" si="46" ref="T74:T86">T56*454*1000000/0.0283/60*14/(21-T$71)/T$70</f>
        <v>164749.60256191026</v>
      </c>
      <c r="U74" s="78" t="s">
        <v>13</v>
      </c>
      <c r="V74" s="73">
        <f aca="true" t="shared" si="47" ref="V74:V86">V56*454*1000000/0.0283/60*14/(21-V$71)/V$70</f>
        <v>186992.5535913176</v>
      </c>
      <c r="W74" s="78" t="s">
        <v>13</v>
      </c>
      <c r="X74" s="73">
        <f aca="true" t="shared" si="48" ref="X74:X86">X56*454*1000000/0.0283/60*14/(21-X$71)/X$70</f>
        <v>166228.84508090012</v>
      </c>
      <c r="Y74" s="78" t="s">
        <v>13</v>
      </c>
      <c r="Z74" s="73">
        <f aca="true" t="shared" si="49" ref="Z74:Z86">Z56*454*1000000/0.0283/60*14/(21-Z$71)/Z$70</f>
        <v>113484.16108078905</v>
      </c>
      <c r="AA74" s="78"/>
      <c r="AB74" s="73">
        <f aca="true" t="shared" si="50" ref="AB74:AB86">AB56*454*1000000/0.0283/60*14/(21-AB$71)/AB$70</f>
        <v>0</v>
      </c>
      <c r="AC74" s="73"/>
      <c r="AD74" s="73">
        <f aca="true" t="shared" si="51" ref="AD74:AD86">AD56*454*1000000/0.0283/60*14/(21-AD$71)/AD$70</f>
        <v>305934.58595159394</v>
      </c>
      <c r="AE74" s="73"/>
      <c r="AF74" s="73">
        <f aca="true" t="shared" si="52" ref="AF74:AF86">AF56*454*1000000/0.0283/60*14/(21-AF$71)/AF$70</f>
        <v>0</v>
      </c>
      <c r="AG74" s="73"/>
      <c r="AH74" s="73">
        <f aca="true" t="shared" si="53" ref="AH74:AH86">AH56*454*1000000/0.0283/60*14/(21-AH$71)/AH$70</f>
        <v>0</v>
      </c>
      <c r="AI74" s="73"/>
      <c r="AJ74" s="73">
        <f aca="true" t="shared" si="54" ref="AJ74:AJ86">AJ56*454*1000000/0.0283/60*14/(21-AJ$71)/AJ$70</f>
        <v>0</v>
      </c>
      <c r="AK74" s="73"/>
      <c r="AL74" s="73">
        <f aca="true" t="shared" si="55" ref="AL74:AL86">AL56*454*1000000/0.0283/60*14/(21-AL$71)/AL$70</f>
        <v>79544.97272017926</v>
      </c>
      <c r="AM74" s="73"/>
      <c r="AN74" s="73">
        <f aca="true" t="shared" si="56" ref="AN74:AN86">AN56*454*1000000/0.0283/60*14/(21-AN$71)/AN$70</f>
        <v>0</v>
      </c>
      <c r="AO74" s="73"/>
      <c r="AP74" s="73">
        <f aca="true" t="shared" si="57" ref="AP74:AP86">AP56*454*1000000/0.0283/60*14/(21-AP$71)/AP$70</f>
        <v>0</v>
      </c>
      <c r="AQ74" s="73"/>
      <c r="AR74" s="73">
        <f aca="true" t="shared" si="58" ref="AR74:AR86">AR56*454*1000000/0.0283/60*14/(21-AR$71)/AR$70</f>
        <v>0</v>
      </c>
      <c r="AS74" s="73"/>
      <c r="AT74" s="73">
        <f aca="true" t="shared" si="59" ref="AT74:AT86">AT56*454*1000000/0.0283/60*14/(21-AT$71)/AT$70</f>
        <v>0</v>
      </c>
      <c r="AU74" s="73"/>
      <c r="AV74" s="73">
        <f aca="true" t="shared" si="60" ref="AV74:AV86">AV56*454*1000000/0.0283/60*14/(21-AV$71)/AV$70</f>
        <v>0</v>
      </c>
      <c r="AW74" s="73"/>
      <c r="AX74" s="73">
        <f aca="true" t="shared" si="61" ref="AX74:AX86">AX56*454*1000000/0.0283/60*14/(21-AX$71)/AX$70</f>
        <v>0</v>
      </c>
      <c r="AY74" s="73"/>
      <c r="AZ74" s="73">
        <f aca="true" t="shared" si="62" ref="AZ74:AZ86">AZ56*454*1000000/0.0283/60*14/(21-AZ$71)/AZ$70</f>
        <v>0</v>
      </c>
      <c r="BA74" s="73"/>
      <c r="BB74" s="73">
        <f aca="true" t="shared" si="63" ref="BB74:BB86">BB56*454*1000000/0.0283/60*14/(21-BB$71)/BB$70</f>
        <v>0</v>
      </c>
      <c r="BC74" s="73"/>
      <c r="BD74" s="73">
        <f aca="true" t="shared" si="64" ref="BD74:BD86">BD56*454*1000000/0.0283/60*14/(21-BD$71)/BD$70</f>
        <v>0</v>
      </c>
      <c r="BE74" s="73"/>
      <c r="BF74" s="73">
        <f aca="true" t="shared" si="65" ref="BF74:BF86">BF56*454*1000000/0.0283/60*14/(21-BF$71)/BF$70</f>
        <v>0</v>
      </c>
      <c r="BG74" s="73"/>
      <c r="BH74" s="73">
        <f aca="true" t="shared" si="66" ref="BH74:BH86">BH56*454*1000000/0.0283/60*14/(21-BH$71)/BH$70</f>
        <v>0</v>
      </c>
      <c r="BI74" s="73"/>
      <c r="BJ74" s="73">
        <f aca="true" t="shared" si="67" ref="BJ74:BJ86">BJ56*454*1000000/0.0283/60*14/(21-BJ$71)/BJ$70</f>
        <v>0</v>
      </c>
      <c r="BK74" s="73"/>
      <c r="BL74" s="73">
        <f aca="true" t="shared" si="68" ref="BL74:BL86">BL56*454*1000000/0.0283/60*14/(21-BL$71)/BL$70</f>
        <v>0</v>
      </c>
      <c r="BM74" s="73"/>
      <c r="BN74" s="73">
        <f aca="true" t="shared" si="69" ref="BN74:BN86">BN56*454*1000000/0.0283/60*14/(21-BN$71)/BN$70</f>
        <v>0</v>
      </c>
      <c r="BO74" s="73"/>
      <c r="BP74" s="73">
        <f aca="true" t="shared" si="70" ref="BP74:BP86">BP56*454*1000000/0.0283/60*14/(21-BP$71)/BP$70</f>
        <v>0</v>
      </c>
      <c r="BQ74" s="73"/>
      <c r="BR74" s="73">
        <f aca="true" t="shared" si="71" ref="BR74:BR86">BR56*454*1000000/0.0283/60*14/(21-BR$71)/BR$70</f>
        <v>0</v>
      </c>
      <c r="BS74" s="73"/>
      <c r="BT74" s="73">
        <f aca="true" t="shared" si="72" ref="BT74:BT86">BT56*454*1000000/0.0283/60*14/(21-BT$71)/BT$70</f>
        <v>0</v>
      </c>
      <c r="BU74" s="73"/>
      <c r="BV74" s="73">
        <f aca="true" t="shared" si="73" ref="BV74:BV86">BV56*454*1000000/0.0283/60*14/(21-BV$71)/BV$70</f>
        <v>0</v>
      </c>
      <c r="BW74" s="73"/>
      <c r="BX74" s="73">
        <f aca="true" t="shared" si="74" ref="BX74:BX86">BX56*454*1000000/0.0283/60*14/(21-BX$71)/BX$70</f>
        <v>0</v>
      </c>
      <c r="BY74" s="73"/>
      <c r="BZ74" s="73"/>
      <c r="CA74" s="73"/>
      <c r="CB74" s="73">
        <f aca="true" t="shared" si="75" ref="CB74:CB86">CB56*454*1000000/0.0283/60*14/(21-CB$71)/CB$70</f>
        <v>0</v>
      </c>
      <c r="CC74" s="73"/>
      <c r="CD74" s="73">
        <f aca="true" t="shared" si="76" ref="CD74:CD86">CD56*454*1000000/0.0283/60*14/(21-CD$71)/CD$70</f>
        <v>0</v>
      </c>
      <c r="CE74" s="73"/>
      <c r="CF74" s="73">
        <f aca="true" t="shared" si="77" ref="CF74:CF86">CF56*454*1000000/0.0283/60*14/(21-CF$71)/CF$70</f>
        <v>0</v>
      </c>
      <c r="CG74" s="73"/>
      <c r="CH74" s="73">
        <f aca="true" t="shared" si="78" ref="CH74:CH86">CH56*454*1000000/0.0283/60*14/(21-CH$71)/CH$70</f>
        <v>0</v>
      </c>
      <c r="CI74" s="73"/>
      <c r="CJ74" s="73">
        <f aca="true" t="shared" si="79" ref="CJ74:CJ86">CJ56*454*1000000/0.0283/60*14/(21-CJ$71)/CJ$70</f>
        <v>0</v>
      </c>
      <c r="CK74" s="73"/>
      <c r="CL74" s="73">
        <f aca="true" t="shared" si="80" ref="CL74:CL86">CL56*454*1000000/0.0283/60*14/(21-CL$71)/CL$70</f>
        <v>0</v>
      </c>
      <c r="CM74" s="73"/>
      <c r="CN74" s="73">
        <f aca="true" t="shared" si="81" ref="CN74:CN86">CN56*454*1000000/0.0283/60*14/(21-CN$71)/CN$70</f>
        <v>0</v>
      </c>
      <c r="CO74" s="73"/>
      <c r="CP74" s="73">
        <f aca="true" t="shared" si="82" ref="CP74:CP86">CP56*454*1000000/0.0283/60*14/(21-CP$71)/CP$70</f>
        <v>0</v>
      </c>
      <c r="CQ74" s="73"/>
      <c r="CR74" s="73">
        <f aca="true" t="shared" si="83" ref="CR74:CR86">CR56*454*1000000/0.0283/60*14/(21-CR$71)/CR$70</f>
        <v>0</v>
      </c>
      <c r="CS74" s="73"/>
      <c r="CT74" s="73">
        <f aca="true" t="shared" si="84" ref="CT74:CT86">CT56*454*1000000/0.0283/60*14/(21-CT$71)/CT$70</f>
        <v>0</v>
      </c>
      <c r="CU74" s="73"/>
      <c r="CV74" s="73">
        <f aca="true" t="shared" si="85" ref="CV74:CV86">CV56*454*1000000/0.0283/60*14/(21-CV$71)/CV$70</f>
        <v>0</v>
      </c>
      <c r="CW74" s="73"/>
      <c r="CX74" s="73">
        <f>SUM(CL74,BZ74,BN74,BB74,AP74)</f>
        <v>0</v>
      </c>
      <c r="CY74" s="73"/>
      <c r="CZ74" s="73">
        <f>SUM(CN74,CB74,BP74,BD74,AR74)</f>
        <v>0</v>
      </c>
      <c r="DA74" s="73"/>
      <c r="DB74" s="73">
        <f>SUM(CP74,CD74,BR74,BF74,AT74)</f>
        <v>0</v>
      </c>
      <c r="DC74" s="73"/>
      <c r="DD74" s="73">
        <f aca="true" t="shared" si="86" ref="DD74:DD88">SUM(CR74,CF74,BT74,BH74,AV74)</f>
        <v>0</v>
      </c>
      <c r="DE74" s="73"/>
      <c r="DF74" s="73"/>
      <c r="DG74" s="73"/>
      <c r="DH74" s="73"/>
      <c r="DI74" s="73"/>
      <c r="DJ74" s="73">
        <f>SUM(CL74,AD74)</f>
        <v>305934.58595159394</v>
      </c>
      <c r="DK74" s="73"/>
      <c r="DL74" s="73">
        <f>SUM(CN74,AF74)</f>
        <v>0</v>
      </c>
      <c r="DM74" s="73"/>
      <c r="DN74" s="73">
        <f>SUM(CP74,AH74)</f>
        <v>0</v>
      </c>
      <c r="DO74" s="73"/>
      <c r="DP74" s="73">
        <f aca="true" t="shared" si="87" ref="DP74:DP88">SUM(CR74,AJ74)</f>
        <v>0</v>
      </c>
      <c r="DQ74" s="73"/>
      <c r="DR74" s="73"/>
      <c r="DS74" s="73"/>
      <c r="DT74" s="73"/>
      <c r="DU74" s="73"/>
      <c r="DV74" s="73">
        <f>CL74+BZ74+BN74+BB74+AP74+AD74+R74+F74</f>
        <v>568920.6627215218</v>
      </c>
      <c r="DW74" s="73"/>
      <c r="DX74" s="73">
        <f>CN74+CB74+BP74+BD74+AR74+AF74+T74+H74</f>
        <v>217638.72055931325</v>
      </c>
      <c r="DY74" s="73"/>
      <c r="DZ74" s="73">
        <f>CP74+CD74+BR74+BF74+AT74+AH74+V74+J74</f>
        <v>249611.97354396567</v>
      </c>
      <c r="EA74" s="73"/>
      <c r="EB74" s="73">
        <f>CR74+CF74+BT74+BH74+AV74+AJ74+X74+L74</f>
        <v>228564.66198623768</v>
      </c>
      <c r="EC74" s="73"/>
      <c r="ED74" s="73">
        <f>CT74+CH74+BV74+BJ74+AX74+AL74+Z74+N74</f>
        <v>263559.00961286057</v>
      </c>
      <c r="EE74" s="73"/>
      <c r="EF74" s="73">
        <f>CV74+CJ74+BX74+BL74+AZ74+AN74+AB74/2+P74</f>
        <v>0</v>
      </c>
      <c r="EG74" s="73"/>
      <c r="EH74" s="73">
        <f>AVERAGE(DV74,DX74,DZ74,EB74,ED74,EF74)</f>
        <v>254715.83807064986</v>
      </c>
      <c r="EK74" s="57">
        <f>AVERAGE(AD74,AF74,AH74,AJ74,AL74,AN74)+AVERAGE(CL74,CN74,CP74,CR74,CT74,CV74)</f>
        <v>64246.5931119622</v>
      </c>
      <c r="EL74" s="57">
        <f>AVERAGE(AP74,AR74,AT74,AV74,AX74,AZ74)+AVERAGE(BB74,BD74,BF74,BH74,BJ74,BL74)+AVERAGE(BN74,BP74,BR74,BT74,BV74,BX74)+AVERAGE(BZ74,CB74,CD74,CF74,CH74,CJ74)</f>
        <v>0</v>
      </c>
      <c r="EM74" s="57">
        <f>AVERAGE(F74,H74,J74,L74,N74,P74)+AVERAGE(R74,T74,V74,X74,Z74,AB74)/2</f>
        <v>121766.8044785787</v>
      </c>
      <c r="EN74" s="57">
        <f>SUM(EK74,EL74,EM74)</f>
        <v>186013.3975905409</v>
      </c>
    </row>
    <row r="75" spans="2:138" ht="12.75">
      <c r="B75" s="55" t="s">
        <v>102</v>
      </c>
      <c r="D75" s="55" t="s">
        <v>66</v>
      </c>
      <c r="E75" s="68" t="s">
        <v>13</v>
      </c>
      <c r="F75" s="73">
        <f aca="true" t="shared" si="88" ref="F75:H86">F57*454*1000000/0.0283/60*14/(21-F$71)/F$70</f>
        <v>429.48509181666077</v>
      </c>
      <c r="G75" s="75" t="s">
        <v>13</v>
      </c>
      <c r="H75" s="73">
        <f t="shared" si="88"/>
        <v>264.4455899870149</v>
      </c>
      <c r="I75" s="75" t="s">
        <v>13</v>
      </c>
      <c r="J75" s="73">
        <f t="shared" si="41"/>
        <v>418.4246955361274</v>
      </c>
      <c r="K75" s="75" t="s">
        <v>13</v>
      </c>
      <c r="L75" s="73">
        <f t="shared" si="42"/>
        <v>292.4396348645466</v>
      </c>
      <c r="M75" s="75" t="s">
        <v>13</v>
      </c>
      <c r="N75" s="73">
        <f t="shared" si="43"/>
        <v>331.43738633408026</v>
      </c>
      <c r="O75" s="75" t="s">
        <v>13</v>
      </c>
      <c r="P75" s="73">
        <f t="shared" si="44"/>
        <v>747.0003205783468</v>
      </c>
      <c r="Q75" s="78" t="s">
        <v>13</v>
      </c>
      <c r="R75" s="73">
        <f t="shared" si="45"/>
        <v>9648.706172319502</v>
      </c>
      <c r="S75" s="78" t="s">
        <v>13</v>
      </c>
      <c r="T75" s="73">
        <f t="shared" si="46"/>
        <v>8224.257848596164</v>
      </c>
      <c r="U75" s="78" t="s">
        <v>13</v>
      </c>
      <c r="V75" s="73">
        <f t="shared" si="47"/>
        <v>9349.627679565881</v>
      </c>
      <c r="W75" s="78" t="s">
        <v>13</v>
      </c>
      <c r="X75" s="73">
        <f t="shared" si="48"/>
        <v>8311.442254045009</v>
      </c>
      <c r="Y75" s="78" t="s">
        <v>13</v>
      </c>
      <c r="Z75" s="73">
        <f t="shared" si="49"/>
        <v>8590.85705377936</v>
      </c>
      <c r="AA75" s="78"/>
      <c r="AB75" s="73">
        <f t="shared" si="50"/>
        <v>94.17435948147251</v>
      </c>
      <c r="AC75" s="73"/>
      <c r="AD75" s="73">
        <f t="shared" si="51"/>
        <v>0</v>
      </c>
      <c r="AE75" s="73"/>
      <c r="AF75" s="73">
        <f t="shared" si="52"/>
        <v>0</v>
      </c>
      <c r="AG75" s="73"/>
      <c r="AH75" s="73">
        <f t="shared" si="53"/>
        <v>0</v>
      </c>
      <c r="AI75" s="73"/>
      <c r="AJ75" s="73">
        <f t="shared" si="54"/>
        <v>0</v>
      </c>
      <c r="AK75" s="73"/>
      <c r="AL75" s="73">
        <f t="shared" si="55"/>
        <v>0</v>
      </c>
      <c r="AM75" s="73"/>
      <c r="AN75" s="73">
        <f t="shared" si="56"/>
        <v>0</v>
      </c>
      <c r="AO75" s="73"/>
      <c r="AP75" s="73">
        <f t="shared" si="57"/>
        <v>0.2594560623166403</v>
      </c>
      <c r="AQ75" s="73"/>
      <c r="AR75" s="73">
        <f t="shared" si="58"/>
        <v>0.2908901489857164</v>
      </c>
      <c r="AS75" s="73"/>
      <c r="AT75" s="73">
        <f t="shared" si="59"/>
        <v>0.3809107573156471</v>
      </c>
      <c r="AU75" s="73"/>
      <c r="AV75" s="73">
        <f t="shared" si="60"/>
        <v>0.22625592802678077</v>
      </c>
      <c r="AW75" s="73"/>
      <c r="AX75" s="73">
        <f t="shared" si="61"/>
        <v>0.3499978799687888</v>
      </c>
      <c r="AY75" s="73"/>
      <c r="AZ75" s="73">
        <f t="shared" si="62"/>
        <v>0.4476188691403323</v>
      </c>
      <c r="BA75" s="73"/>
      <c r="BB75" s="73">
        <f t="shared" si="63"/>
        <v>0</v>
      </c>
      <c r="BC75" s="73"/>
      <c r="BD75" s="73">
        <f t="shared" si="64"/>
        <v>0</v>
      </c>
      <c r="BE75" s="73"/>
      <c r="BF75" s="73">
        <f t="shared" si="65"/>
        <v>0.06348512621927449</v>
      </c>
      <c r="BG75" s="73"/>
      <c r="BH75" s="73">
        <f t="shared" si="66"/>
        <v>0</v>
      </c>
      <c r="BI75" s="73"/>
      <c r="BJ75" s="73">
        <f t="shared" si="67"/>
        <v>0</v>
      </c>
      <c r="BK75" s="73"/>
      <c r="BL75" s="73">
        <f t="shared" si="68"/>
        <v>0</v>
      </c>
      <c r="BM75" s="73"/>
      <c r="BN75" s="73">
        <f t="shared" si="69"/>
        <v>0.5177354531488513</v>
      </c>
      <c r="BO75" s="73"/>
      <c r="BP75" s="73">
        <f t="shared" si="70"/>
        <v>0.46542423837714614</v>
      </c>
      <c r="BQ75" s="73"/>
      <c r="BR75" s="73">
        <f t="shared" si="71"/>
        <v>0.5713661359734705</v>
      </c>
      <c r="BS75" s="73"/>
      <c r="BT75" s="73">
        <f t="shared" si="72"/>
        <v>0.4514857520715806</v>
      </c>
      <c r="BU75" s="73"/>
      <c r="BV75" s="73">
        <f t="shared" si="73"/>
        <v>0.46666383995838484</v>
      </c>
      <c r="BW75" s="73"/>
      <c r="BX75" s="73">
        <f t="shared" si="74"/>
        <v>0.5115644218746653</v>
      </c>
      <c r="BY75" s="73"/>
      <c r="BZ75" s="73"/>
      <c r="CA75" s="73"/>
      <c r="CB75" s="73">
        <f t="shared" si="75"/>
        <v>0</v>
      </c>
      <c r="CC75" s="73"/>
      <c r="CD75" s="73">
        <f t="shared" si="76"/>
        <v>0</v>
      </c>
      <c r="CE75" s="73"/>
      <c r="CF75" s="73">
        <f t="shared" si="77"/>
        <v>0</v>
      </c>
      <c r="CG75" s="73"/>
      <c r="CH75" s="73">
        <f t="shared" si="78"/>
        <v>0</v>
      </c>
      <c r="CI75" s="73"/>
      <c r="CJ75" s="73">
        <f t="shared" si="79"/>
        <v>0</v>
      </c>
      <c r="CK75" s="73"/>
      <c r="CL75" s="73">
        <f t="shared" si="80"/>
        <v>0</v>
      </c>
      <c r="CM75" s="73"/>
      <c r="CN75" s="73">
        <f t="shared" si="81"/>
        <v>0</v>
      </c>
      <c r="CO75" s="73"/>
      <c r="CP75" s="73">
        <f t="shared" si="82"/>
        <v>0</v>
      </c>
      <c r="CQ75" s="73"/>
      <c r="CR75" s="73">
        <f t="shared" si="83"/>
        <v>0</v>
      </c>
      <c r="CS75" s="73"/>
      <c r="CT75" s="73">
        <f t="shared" si="84"/>
        <v>0</v>
      </c>
      <c r="CU75" s="73"/>
      <c r="CV75" s="73">
        <f t="shared" si="85"/>
        <v>0</v>
      </c>
      <c r="CW75" s="73"/>
      <c r="CX75" s="73">
        <f aca="true" t="shared" si="89" ref="CX75:CX88">SUM(CL75,BZ75,BN75,BB75,AP75)</f>
        <v>0.7771915154654916</v>
      </c>
      <c r="CY75" s="73"/>
      <c r="CZ75" s="73">
        <f aca="true" t="shared" si="90" ref="CZ75:CZ88">SUM(CN75,CB75,BP75,BD75,AR75)</f>
        <v>0.7563143873628626</v>
      </c>
      <c r="DA75" s="73"/>
      <c r="DB75" s="73">
        <f aca="true" t="shared" si="91" ref="DB75:DB88">SUM(CP75,CD75,BR75,BF75,AT75)</f>
        <v>1.015762019508392</v>
      </c>
      <c r="DC75" s="73"/>
      <c r="DD75" s="73">
        <f t="shared" si="86"/>
        <v>0.6777416800983613</v>
      </c>
      <c r="DE75" s="73"/>
      <c r="DF75" s="73"/>
      <c r="DG75" s="73"/>
      <c r="DH75" s="73"/>
      <c r="DI75" s="73"/>
      <c r="DJ75" s="73">
        <f aca="true" t="shared" si="92" ref="DJ75:DJ88">SUM(CL75,AD75)</f>
        <v>0</v>
      </c>
      <c r="DK75" s="73"/>
      <c r="DL75" s="73">
        <f aca="true" t="shared" si="93" ref="DL75:DL88">SUM(CN75,AF75)</f>
        <v>0</v>
      </c>
      <c r="DM75" s="73"/>
      <c r="DN75" s="73">
        <f aca="true" t="shared" si="94" ref="DN75:DN88">SUM(CP75,AH75)</f>
        <v>0</v>
      </c>
      <c r="DO75" s="73"/>
      <c r="DP75" s="73">
        <f t="shared" si="87"/>
        <v>0</v>
      </c>
      <c r="DQ75" s="73"/>
      <c r="DR75" s="73"/>
      <c r="DS75" s="73"/>
      <c r="DT75" s="73"/>
      <c r="DU75" s="73"/>
      <c r="DV75" s="73">
        <f>CL75+BZ75+BN75+BB75+AP75+AD75+R75+F75</f>
        <v>10078.96845565163</v>
      </c>
      <c r="DW75" s="73"/>
      <c r="DX75" s="73">
        <f>CN75+CB75+BP75+BD75+AR75+AF75+T75+H75</f>
        <v>8489.459752970542</v>
      </c>
      <c r="DY75" s="73"/>
      <c r="DZ75" s="73">
        <f>CP75+CD75+BR75+BF75+AT75+AH75+V75+J75</f>
        <v>9769.068137121516</v>
      </c>
      <c r="EA75" s="73"/>
      <c r="EB75" s="73">
        <f>CR75+CF75+BT75+BH75+AV75+AJ75+X75+L75</f>
        <v>8604.559630589652</v>
      </c>
      <c r="EC75" s="73"/>
      <c r="ED75" s="73">
        <f>CT75+CH75+BV75+BJ75+AX75+AL75+Z75+N75</f>
        <v>8923.111101833369</v>
      </c>
      <c r="EE75" s="73"/>
      <c r="EF75" s="73">
        <f>CV75+CJ75+BX75+BL75+AZ75+AN75+AB75+P75</f>
        <v>842.1338633508343</v>
      </c>
      <c r="EG75" s="73"/>
      <c r="EH75" s="73">
        <f aca="true" t="shared" si="95" ref="EH75:EH88">AVERAGE(DV75,DX75,DZ75,EB75,ED75,EF75)</f>
        <v>7784.550156919591</v>
      </c>
    </row>
    <row r="76" spans="2:138" ht="12.75">
      <c r="B76" s="55" t="s">
        <v>98</v>
      </c>
      <c r="D76" s="55" t="s">
        <v>66</v>
      </c>
      <c r="E76" s="68"/>
      <c r="F76" s="73">
        <f t="shared" si="88"/>
        <v>1182.5548418513533</v>
      </c>
      <c r="G76" s="75"/>
      <c r="H76" s="73">
        <f t="shared" si="88"/>
        <v>981.0931388518254</v>
      </c>
      <c r="I76" s="75"/>
      <c r="J76" s="73">
        <f t="shared" si="41"/>
        <v>1004.219269286706</v>
      </c>
      <c r="K76" s="75"/>
      <c r="L76" s="73">
        <f t="shared" si="42"/>
        <v>915.7978039179221</v>
      </c>
      <c r="M76" s="75"/>
      <c r="N76" s="73">
        <f t="shared" si="43"/>
        <v>827.2677162898642</v>
      </c>
      <c r="O76" s="75" t="s">
        <v>13</v>
      </c>
      <c r="P76" s="73">
        <f t="shared" si="44"/>
        <v>7470.003205783466</v>
      </c>
      <c r="Q76" s="78" t="s">
        <v>13</v>
      </c>
      <c r="R76" s="73">
        <f t="shared" si="45"/>
        <v>964.8706172319503</v>
      </c>
      <c r="S76" s="78" t="s">
        <v>13</v>
      </c>
      <c r="T76" s="73">
        <f t="shared" si="46"/>
        <v>825.0702407594864</v>
      </c>
      <c r="U76" s="78" t="s">
        <v>13</v>
      </c>
      <c r="V76" s="73">
        <f t="shared" si="47"/>
        <v>934.9627679565883</v>
      </c>
      <c r="W76" s="78" t="s">
        <v>13</v>
      </c>
      <c r="X76" s="73">
        <f t="shared" si="48"/>
        <v>831.1442254045007</v>
      </c>
      <c r="Y76" s="78" t="s">
        <v>13</v>
      </c>
      <c r="Z76" s="73">
        <f t="shared" si="49"/>
        <v>859.085705377936</v>
      </c>
      <c r="AA76" s="78" t="s">
        <v>13</v>
      </c>
      <c r="AB76" s="73">
        <f t="shared" si="50"/>
        <v>4708.717974073625</v>
      </c>
      <c r="AC76" s="73"/>
      <c r="AD76" s="73">
        <f t="shared" si="51"/>
        <v>0</v>
      </c>
      <c r="AE76" s="73"/>
      <c r="AF76" s="73">
        <f t="shared" si="52"/>
        <v>0</v>
      </c>
      <c r="AG76" s="73"/>
      <c r="AH76" s="73">
        <f t="shared" si="53"/>
        <v>0</v>
      </c>
      <c r="AI76" s="73"/>
      <c r="AJ76" s="73">
        <f t="shared" si="54"/>
        <v>0</v>
      </c>
      <c r="AK76" s="73"/>
      <c r="AL76" s="73">
        <f t="shared" si="55"/>
        <v>0</v>
      </c>
      <c r="AM76" s="73"/>
      <c r="AN76" s="73">
        <f t="shared" si="56"/>
        <v>0</v>
      </c>
      <c r="AO76" s="73"/>
      <c r="AP76" s="73">
        <f t="shared" si="57"/>
        <v>4.030099834170036</v>
      </c>
      <c r="AQ76" s="73"/>
      <c r="AR76" s="73">
        <f t="shared" si="58"/>
        <v>10.207599773498776</v>
      </c>
      <c r="AS76" s="73"/>
      <c r="AT76" s="73">
        <f t="shared" si="59"/>
        <v>14.890147785975293</v>
      </c>
      <c r="AU76" s="73"/>
      <c r="AV76" s="73">
        <f t="shared" si="60"/>
        <v>4.873993914409109</v>
      </c>
      <c r="AW76" s="73"/>
      <c r="AX76" s="73">
        <f t="shared" si="61"/>
        <v>5.435573135878917</v>
      </c>
      <c r="AY76" s="73"/>
      <c r="AZ76" s="73">
        <f t="shared" si="62"/>
        <v>6.336422952765743</v>
      </c>
      <c r="BA76" s="73"/>
      <c r="BB76" s="73">
        <f t="shared" si="63"/>
        <v>2.594560623166403</v>
      </c>
      <c r="BC76" s="73"/>
      <c r="BD76" s="73">
        <f t="shared" si="64"/>
        <v>4.204684880793537</v>
      </c>
      <c r="BE76" s="73"/>
      <c r="BF76" s="73">
        <f t="shared" si="65"/>
        <v>4.386245084240784</v>
      </c>
      <c r="BG76" s="73"/>
      <c r="BH76" s="73">
        <f t="shared" si="66"/>
        <v>8.927104643233527</v>
      </c>
      <c r="BI76" s="73"/>
      <c r="BJ76" s="73">
        <f t="shared" si="67"/>
        <v>9.704486671861867</v>
      </c>
      <c r="BK76" s="73"/>
      <c r="BL76" s="73">
        <f t="shared" si="68"/>
        <v>10.056891475490582</v>
      </c>
      <c r="BM76" s="73"/>
      <c r="BN76" s="73">
        <f t="shared" si="69"/>
        <v>505.96873830455934</v>
      </c>
      <c r="BO76" s="73"/>
      <c r="BP76" s="73">
        <f t="shared" si="70"/>
        <v>468.0686942770162</v>
      </c>
      <c r="BQ76" s="73"/>
      <c r="BR76" s="73">
        <f t="shared" si="71"/>
        <v>554.0520106409411</v>
      </c>
      <c r="BS76" s="73"/>
      <c r="BT76" s="73">
        <f t="shared" si="72"/>
        <v>448.9204921166284</v>
      </c>
      <c r="BU76" s="73"/>
      <c r="BV76" s="73">
        <f t="shared" si="73"/>
        <v>456.0578435956944</v>
      </c>
      <c r="BW76" s="73"/>
      <c r="BX76" s="73">
        <f t="shared" si="74"/>
        <v>549.3504303085896</v>
      </c>
      <c r="BY76" s="73"/>
      <c r="BZ76" s="73"/>
      <c r="CA76" s="73"/>
      <c r="CB76" s="73">
        <f t="shared" si="75"/>
        <v>0</v>
      </c>
      <c r="CC76" s="73"/>
      <c r="CD76" s="73">
        <f t="shared" si="76"/>
        <v>0</v>
      </c>
      <c r="CE76" s="73"/>
      <c r="CF76" s="73">
        <f t="shared" si="77"/>
        <v>0</v>
      </c>
      <c r="CG76" s="73"/>
      <c r="CH76" s="73">
        <f t="shared" si="78"/>
        <v>0</v>
      </c>
      <c r="CI76" s="73"/>
      <c r="CJ76" s="73">
        <f t="shared" si="79"/>
        <v>0</v>
      </c>
      <c r="CK76" s="73"/>
      <c r="CL76" s="73">
        <f t="shared" si="80"/>
        <v>0</v>
      </c>
      <c r="CM76" s="73"/>
      <c r="CN76" s="73">
        <f t="shared" si="81"/>
        <v>0</v>
      </c>
      <c r="CO76" s="73"/>
      <c r="CP76" s="73">
        <f t="shared" si="82"/>
        <v>0</v>
      </c>
      <c r="CQ76" s="73"/>
      <c r="CR76" s="73">
        <f t="shared" si="83"/>
        <v>0</v>
      </c>
      <c r="CS76" s="73"/>
      <c r="CT76" s="73">
        <f t="shared" si="84"/>
        <v>0</v>
      </c>
      <c r="CU76" s="73"/>
      <c r="CV76" s="73">
        <f t="shared" si="85"/>
        <v>0</v>
      </c>
      <c r="CW76" s="73"/>
      <c r="CX76" s="73">
        <f t="shared" si="89"/>
        <v>512.5933987618957</v>
      </c>
      <c r="CY76" s="73"/>
      <c r="CZ76" s="73">
        <f t="shared" si="90"/>
        <v>482.4809789313085</v>
      </c>
      <c r="DA76" s="73"/>
      <c r="DB76" s="73">
        <f t="shared" si="91"/>
        <v>573.3284035111573</v>
      </c>
      <c r="DC76" s="73"/>
      <c r="DD76" s="73">
        <f t="shared" si="86"/>
        <v>462.721590674271</v>
      </c>
      <c r="DE76" s="73"/>
      <c r="DF76" s="73"/>
      <c r="DG76" s="73"/>
      <c r="DH76" s="73"/>
      <c r="DI76" s="73"/>
      <c r="DJ76" s="73">
        <f t="shared" si="92"/>
        <v>0</v>
      </c>
      <c r="DK76" s="73"/>
      <c r="DL76" s="73">
        <f t="shared" si="93"/>
        <v>0</v>
      </c>
      <c r="DM76" s="73"/>
      <c r="DN76" s="73">
        <f t="shared" si="94"/>
        <v>0</v>
      </c>
      <c r="DO76" s="73"/>
      <c r="DP76" s="73">
        <f t="shared" si="87"/>
        <v>0</v>
      </c>
      <c r="DQ76" s="73"/>
      <c r="DR76" s="73"/>
      <c r="DS76" s="73"/>
      <c r="DT76" s="73"/>
      <c r="DU76" s="73"/>
      <c r="DV76" s="73">
        <f>CL76+BZ76+BN76+BB76+AP76+AD76+R76+F76</f>
        <v>2660.0188578451994</v>
      </c>
      <c r="DW76" s="73"/>
      <c r="DX76" s="73">
        <f>CN76+CB76+BP76+BD76+AR76+AF76+T76+H76</f>
        <v>2288.6443585426205</v>
      </c>
      <c r="DY76" s="73"/>
      <c r="DZ76" s="73">
        <f>CP76+CD76+BR76+BF76+AT76+AH76+V76+J76</f>
        <v>2512.510440754452</v>
      </c>
      <c r="EA76" s="73"/>
      <c r="EB76" s="73">
        <f>CR76+CF76+BT76+BH76+AV76+AJ76+X76+L76</f>
        <v>2209.663619996694</v>
      </c>
      <c r="EC76" s="73"/>
      <c r="ED76" s="73">
        <f>CT76+CH76+BV76+BJ76+AX76+AL76+Z76+N76</f>
        <v>2157.5513250712356</v>
      </c>
      <c r="EE76" s="73"/>
      <c r="EF76" s="73">
        <f>CV76+CJ76+BX76+BL76+AZ76+AN76+AB76+P76</f>
        <v>12744.464924593936</v>
      </c>
      <c r="EG76" s="73"/>
      <c r="EH76" s="73">
        <f t="shared" si="95"/>
        <v>4095.4755878006895</v>
      </c>
    </row>
    <row r="77" spans="2:138" ht="12.75">
      <c r="B77" s="55" t="s">
        <v>99</v>
      </c>
      <c r="D77" s="55" t="s">
        <v>66</v>
      </c>
      <c r="E77" s="68"/>
      <c r="F77" s="73">
        <f t="shared" si="88"/>
        <v>2259.209250104079</v>
      </c>
      <c r="G77" s="75"/>
      <c r="H77" s="73">
        <f t="shared" si="88"/>
        <v>1472.9619362276728</v>
      </c>
      <c r="I77" s="75"/>
      <c r="J77" s="73">
        <f t="shared" si="41"/>
        <v>1797.783347027637</v>
      </c>
      <c r="K77" s="75"/>
      <c r="L77" s="73">
        <f t="shared" si="42"/>
        <v>1795.6819684665136</v>
      </c>
      <c r="M77" s="75"/>
      <c r="N77" s="73">
        <f t="shared" si="43"/>
        <v>1946.200332553719</v>
      </c>
      <c r="O77" s="75" t="s">
        <v>13</v>
      </c>
      <c r="P77" s="73">
        <f t="shared" si="44"/>
        <v>3749.5346830586277</v>
      </c>
      <c r="Q77" s="78" t="s">
        <v>13</v>
      </c>
      <c r="R77" s="73">
        <f t="shared" si="45"/>
        <v>19297.412344639004</v>
      </c>
      <c r="S77" s="78" t="s">
        <v>13</v>
      </c>
      <c r="T77" s="73">
        <f t="shared" si="46"/>
        <v>16474.960256191025</v>
      </c>
      <c r="U77" s="78" t="s">
        <v>13</v>
      </c>
      <c r="V77" s="73">
        <f t="shared" si="47"/>
        <v>18699.255359131763</v>
      </c>
      <c r="W77" s="78" t="s">
        <v>13</v>
      </c>
      <c r="X77" s="73">
        <f t="shared" si="48"/>
        <v>16622.884508090017</v>
      </c>
      <c r="Y77" s="78" t="s">
        <v>13</v>
      </c>
      <c r="Z77" s="73">
        <f t="shared" si="49"/>
        <v>17181.71410755872</v>
      </c>
      <c r="AA77" s="78" t="s">
        <v>13</v>
      </c>
      <c r="AB77" s="73">
        <f t="shared" si="50"/>
        <v>19503.39358397162</v>
      </c>
      <c r="AC77" s="73"/>
      <c r="AD77" s="73">
        <f t="shared" si="51"/>
        <v>0</v>
      </c>
      <c r="AE77" s="73"/>
      <c r="AF77" s="73">
        <f t="shared" si="52"/>
        <v>0</v>
      </c>
      <c r="AG77" s="73"/>
      <c r="AH77" s="73">
        <f t="shared" si="53"/>
        <v>0</v>
      </c>
      <c r="AI77" s="73"/>
      <c r="AJ77" s="73">
        <f t="shared" si="54"/>
        <v>0</v>
      </c>
      <c r="AK77" s="73"/>
      <c r="AL77" s="73">
        <f t="shared" si="55"/>
        <v>530.2998181345284</v>
      </c>
      <c r="AM77" s="73"/>
      <c r="AN77" s="73">
        <f t="shared" si="56"/>
        <v>0</v>
      </c>
      <c r="AO77" s="73"/>
      <c r="AP77" s="73">
        <f t="shared" si="57"/>
        <v>0</v>
      </c>
      <c r="AQ77" s="73"/>
      <c r="AR77" s="73">
        <f t="shared" si="58"/>
        <v>0</v>
      </c>
      <c r="AS77" s="73"/>
      <c r="AT77" s="73">
        <f t="shared" si="59"/>
        <v>0</v>
      </c>
      <c r="AU77" s="73"/>
      <c r="AV77" s="73">
        <f t="shared" si="60"/>
        <v>0</v>
      </c>
      <c r="AW77" s="73"/>
      <c r="AX77" s="73">
        <f t="shared" si="61"/>
        <v>0</v>
      </c>
      <c r="AY77" s="73"/>
      <c r="AZ77" s="73">
        <f t="shared" si="62"/>
        <v>0</v>
      </c>
      <c r="BA77" s="73"/>
      <c r="BB77" s="73">
        <f t="shared" si="63"/>
        <v>0</v>
      </c>
      <c r="BC77" s="73"/>
      <c r="BD77" s="73">
        <f t="shared" si="64"/>
        <v>0</v>
      </c>
      <c r="BE77" s="73"/>
      <c r="BF77" s="73">
        <f t="shared" si="65"/>
        <v>0</v>
      </c>
      <c r="BG77" s="73"/>
      <c r="BH77" s="73">
        <f t="shared" si="66"/>
        <v>0</v>
      </c>
      <c r="BI77" s="73"/>
      <c r="BJ77" s="73">
        <f t="shared" si="67"/>
        <v>0</v>
      </c>
      <c r="BK77" s="73"/>
      <c r="BL77" s="73">
        <f t="shared" si="68"/>
        <v>0</v>
      </c>
      <c r="BM77" s="73"/>
      <c r="BN77" s="73">
        <f t="shared" si="69"/>
        <v>0.38830158986163854</v>
      </c>
      <c r="BO77" s="73"/>
      <c r="BP77" s="73">
        <f t="shared" si="70"/>
        <v>0.3490681787828597</v>
      </c>
      <c r="BQ77" s="73"/>
      <c r="BR77" s="73">
        <f t="shared" si="71"/>
        <v>0.44439588353492154</v>
      </c>
      <c r="BS77" s="73"/>
      <c r="BT77" s="73">
        <f t="shared" si="72"/>
        <v>0.33861431405368553</v>
      </c>
      <c r="BU77" s="73"/>
      <c r="BV77" s="73">
        <f t="shared" si="73"/>
        <v>0.3499978799687888</v>
      </c>
      <c r="BW77" s="73"/>
      <c r="BX77" s="73">
        <f t="shared" si="74"/>
        <v>0.4476188691403323</v>
      </c>
      <c r="BY77" s="73"/>
      <c r="BZ77" s="73"/>
      <c r="CA77" s="73"/>
      <c r="CB77" s="73">
        <f t="shared" si="75"/>
        <v>0</v>
      </c>
      <c r="CC77" s="73"/>
      <c r="CD77" s="73">
        <f t="shared" si="76"/>
        <v>0</v>
      </c>
      <c r="CE77" s="73"/>
      <c r="CF77" s="73">
        <f t="shared" si="77"/>
        <v>0</v>
      </c>
      <c r="CG77" s="73"/>
      <c r="CH77" s="73">
        <f t="shared" si="78"/>
        <v>0</v>
      </c>
      <c r="CI77" s="73"/>
      <c r="CJ77" s="73">
        <f t="shared" si="79"/>
        <v>0</v>
      </c>
      <c r="CK77" s="73"/>
      <c r="CL77" s="73">
        <f t="shared" si="80"/>
        <v>0</v>
      </c>
      <c r="CM77" s="73"/>
      <c r="CN77" s="73">
        <f t="shared" si="81"/>
        <v>0</v>
      </c>
      <c r="CO77" s="73"/>
      <c r="CP77" s="73">
        <f t="shared" si="82"/>
        <v>0</v>
      </c>
      <c r="CQ77" s="73"/>
      <c r="CR77" s="73">
        <f t="shared" si="83"/>
        <v>0</v>
      </c>
      <c r="CS77" s="73"/>
      <c r="CT77" s="73">
        <f t="shared" si="84"/>
        <v>0</v>
      </c>
      <c r="CU77" s="73"/>
      <c r="CV77" s="73">
        <f t="shared" si="85"/>
        <v>0</v>
      </c>
      <c r="CW77" s="73"/>
      <c r="CX77" s="73">
        <f t="shared" si="89"/>
        <v>0.38830158986163854</v>
      </c>
      <c r="CY77" s="73"/>
      <c r="CZ77" s="73">
        <f t="shared" si="90"/>
        <v>0.3490681787828597</v>
      </c>
      <c r="DA77" s="73"/>
      <c r="DB77" s="73">
        <f t="shared" si="91"/>
        <v>0.44439588353492154</v>
      </c>
      <c r="DC77" s="73"/>
      <c r="DD77" s="73">
        <f t="shared" si="86"/>
        <v>0.33861431405368553</v>
      </c>
      <c r="DE77" s="73"/>
      <c r="DF77" s="73"/>
      <c r="DG77" s="73"/>
      <c r="DH77" s="73"/>
      <c r="DI77" s="73"/>
      <c r="DJ77" s="73">
        <f t="shared" si="92"/>
        <v>0</v>
      </c>
      <c r="DK77" s="73"/>
      <c r="DL77" s="73">
        <f t="shared" si="93"/>
        <v>0</v>
      </c>
      <c r="DM77" s="73"/>
      <c r="DN77" s="73">
        <f t="shared" si="94"/>
        <v>0</v>
      </c>
      <c r="DO77" s="73"/>
      <c r="DP77" s="73">
        <f t="shared" si="87"/>
        <v>0</v>
      </c>
      <c r="DQ77" s="73"/>
      <c r="DR77" s="73"/>
      <c r="DS77" s="73"/>
      <c r="DT77" s="73"/>
      <c r="DU77" s="73"/>
      <c r="DV77" s="73">
        <f>CL77+BZ77+BN77+BB77+AP77+AD77+R77+F77</f>
        <v>21557.009896332944</v>
      </c>
      <c r="DW77" s="73"/>
      <c r="DX77" s="73">
        <f>CN77+CB77+BP77+BD77+AR77+AF77+T77+H77</f>
        <v>17948.27126059748</v>
      </c>
      <c r="DY77" s="73"/>
      <c r="DZ77" s="73">
        <f>CP77+CD77+BR77+BF77+AT77+AH77+V77+J77</f>
        <v>20497.483102042937</v>
      </c>
      <c r="EA77" s="73"/>
      <c r="EB77" s="73">
        <f>CR77+CF77+BT77+BH77+AV77+AJ77+X77+L77</f>
        <v>18418.905090870583</v>
      </c>
      <c r="EC77" s="73"/>
      <c r="ED77" s="73">
        <f>CT77+CH77+BV77+BJ77+AX77+AL77+Z77+N77</f>
        <v>19658.564256126938</v>
      </c>
      <c r="EE77" s="73"/>
      <c r="EF77" s="73">
        <f>CV77+CJ77+BX77+BL77+AZ77+AN77+AB77+P77</f>
        <v>23253.37588589939</v>
      </c>
      <c r="EG77" s="73"/>
      <c r="EH77" s="73">
        <f t="shared" si="95"/>
        <v>20222.268248645047</v>
      </c>
    </row>
    <row r="78" spans="2:138" ht="12.75">
      <c r="B78" s="55" t="s">
        <v>100</v>
      </c>
      <c r="D78" s="55" t="s">
        <v>66</v>
      </c>
      <c r="E78" s="68"/>
      <c r="F78" s="73">
        <f t="shared" si="88"/>
        <v>150.31978213583128</v>
      </c>
      <c r="G78" s="75"/>
      <c r="H78" s="73">
        <f t="shared" si="88"/>
        <v>109.48047425462416</v>
      </c>
      <c r="I78" s="75"/>
      <c r="J78" s="73">
        <f t="shared" si="41"/>
        <v>121.487446083248</v>
      </c>
      <c r="K78" s="75"/>
      <c r="L78" s="73">
        <f t="shared" si="42"/>
        <v>102.8669241935817</v>
      </c>
      <c r="M78" s="75"/>
      <c r="N78" s="73">
        <f t="shared" si="43"/>
        <v>124.62045726161416</v>
      </c>
      <c r="O78" s="75" t="s">
        <v>13</v>
      </c>
      <c r="P78" s="73">
        <f t="shared" si="44"/>
        <v>747.0003205783468</v>
      </c>
      <c r="Q78" s="78" t="s">
        <v>13</v>
      </c>
      <c r="R78" s="73">
        <f t="shared" si="45"/>
        <v>482.43530861597515</v>
      </c>
      <c r="S78" s="78" t="s">
        <v>13</v>
      </c>
      <c r="T78" s="73">
        <f t="shared" si="46"/>
        <v>412.5351203797432</v>
      </c>
      <c r="U78" s="78" t="s">
        <v>13</v>
      </c>
      <c r="V78" s="73">
        <f t="shared" si="47"/>
        <v>467.48138397829416</v>
      </c>
      <c r="W78" s="78" t="s">
        <v>13</v>
      </c>
      <c r="X78" s="73">
        <f t="shared" si="48"/>
        <v>415.57211270225037</v>
      </c>
      <c r="Y78" s="78" t="s">
        <v>13</v>
      </c>
      <c r="Z78" s="73">
        <f t="shared" si="49"/>
        <v>429.542852688968</v>
      </c>
      <c r="AA78" s="78" t="s">
        <v>13</v>
      </c>
      <c r="AB78" s="73">
        <f t="shared" si="50"/>
        <v>563.8835104754836</v>
      </c>
      <c r="AC78" s="73"/>
      <c r="AD78" s="73">
        <f t="shared" si="51"/>
        <v>0</v>
      </c>
      <c r="AE78" s="73"/>
      <c r="AF78" s="73">
        <f t="shared" si="52"/>
        <v>0</v>
      </c>
      <c r="AG78" s="73"/>
      <c r="AH78" s="73">
        <f t="shared" si="53"/>
        <v>0</v>
      </c>
      <c r="AI78" s="73"/>
      <c r="AJ78" s="73">
        <f t="shared" si="54"/>
        <v>0</v>
      </c>
      <c r="AK78" s="73"/>
      <c r="AL78" s="73">
        <f t="shared" si="55"/>
        <v>0</v>
      </c>
      <c r="AM78" s="73"/>
      <c r="AN78" s="73">
        <f t="shared" si="56"/>
        <v>0</v>
      </c>
      <c r="AO78" s="73"/>
      <c r="AP78" s="73">
        <f t="shared" si="57"/>
        <v>0</v>
      </c>
      <c r="AQ78" s="73"/>
      <c r="AR78" s="73">
        <f t="shared" si="58"/>
        <v>0</v>
      </c>
      <c r="AS78" s="73"/>
      <c r="AT78" s="73">
        <f t="shared" si="59"/>
        <v>0</v>
      </c>
      <c r="AU78" s="73"/>
      <c r="AV78" s="73">
        <f t="shared" si="60"/>
        <v>0</v>
      </c>
      <c r="AW78" s="73"/>
      <c r="AX78" s="73">
        <f t="shared" si="61"/>
        <v>0</v>
      </c>
      <c r="AY78" s="73"/>
      <c r="AZ78" s="73">
        <f t="shared" si="62"/>
        <v>0</v>
      </c>
      <c r="BA78" s="73"/>
      <c r="BB78" s="73">
        <f t="shared" si="63"/>
        <v>0</v>
      </c>
      <c r="BC78" s="73"/>
      <c r="BD78" s="73">
        <f t="shared" si="64"/>
        <v>0</v>
      </c>
      <c r="BE78" s="73"/>
      <c r="BF78" s="73">
        <f t="shared" si="65"/>
        <v>0</v>
      </c>
      <c r="BG78" s="73"/>
      <c r="BH78" s="73">
        <f t="shared" si="66"/>
        <v>0</v>
      </c>
      <c r="BI78" s="73"/>
      <c r="BJ78" s="73">
        <f t="shared" si="67"/>
        <v>0</v>
      </c>
      <c r="BK78" s="73"/>
      <c r="BL78" s="73">
        <f t="shared" si="68"/>
        <v>0</v>
      </c>
      <c r="BM78" s="73"/>
      <c r="BN78" s="73">
        <f t="shared" si="69"/>
        <v>0</v>
      </c>
      <c r="BO78" s="73"/>
      <c r="BP78" s="73">
        <f t="shared" si="70"/>
        <v>0</v>
      </c>
      <c r="BQ78" s="73"/>
      <c r="BR78" s="73">
        <f t="shared" si="71"/>
        <v>0</v>
      </c>
      <c r="BS78" s="73"/>
      <c r="BT78" s="73">
        <f t="shared" si="72"/>
        <v>0</v>
      </c>
      <c r="BU78" s="73"/>
      <c r="BV78" s="73">
        <f t="shared" si="73"/>
        <v>0</v>
      </c>
      <c r="BW78" s="73"/>
      <c r="BX78" s="73">
        <f t="shared" si="74"/>
        <v>0</v>
      </c>
      <c r="BY78" s="73"/>
      <c r="BZ78" s="73"/>
      <c r="CA78" s="73"/>
      <c r="CB78" s="73">
        <f t="shared" si="75"/>
        <v>11.662050518427357</v>
      </c>
      <c r="CC78" s="73"/>
      <c r="CD78" s="73">
        <f t="shared" si="76"/>
        <v>12.725882119409116</v>
      </c>
      <c r="CE78" s="73"/>
      <c r="CF78" s="73">
        <f t="shared" si="77"/>
        <v>11.312796401339037</v>
      </c>
      <c r="CG78" s="73"/>
      <c r="CH78" s="73">
        <f t="shared" si="78"/>
        <v>11.693110989866351</v>
      </c>
      <c r="CI78" s="73"/>
      <c r="CJ78" s="73">
        <f t="shared" si="79"/>
        <v>12.818176707200424</v>
      </c>
      <c r="CK78" s="73"/>
      <c r="CL78" s="73">
        <f t="shared" si="80"/>
        <v>0</v>
      </c>
      <c r="CM78" s="73"/>
      <c r="CN78" s="73">
        <f t="shared" si="81"/>
        <v>0</v>
      </c>
      <c r="CO78" s="73"/>
      <c r="CP78" s="73">
        <f t="shared" si="82"/>
        <v>0</v>
      </c>
      <c r="CQ78" s="73"/>
      <c r="CR78" s="73">
        <f t="shared" si="83"/>
        <v>0</v>
      </c>
      <c r="CS78" s="73"/>
      <c r="CT78" s="73">
        <f t="shared" si="84"/>
        <v>0</v>
      </c>
      <c r="CU78" s="73"/>
      <c r="CV78" s="73">
        <f t="shared" si="85"/>
        <v>0</v>
      </c>
      <c r="CW78" s="73"/>
      <c r="CX78" s="73">
        <f t="shared" si="89"/>
        <v>0</v>
      </c>
      <c r="CY78" s="73"/>
      <c r="CZ78" s="73">
        <f t="shared" si="90"/>
        <v>11.662050518427357</v>
      </c>
      <c r="DA78" s="73"/>
      <c r="DB78" s="73">
        <f t="shared" si="91"/>
        <v>12.725882119409116</v>
      </c>
      <c r="DC78" s="73"/>
      <c r="DD78" s="73">
        <f t="shared" si="86"/>
        <v>11.312796401339037</v>
      </c>
      <c r="DE78" s="73"/>
      <c r="DF78" s="73"/>
      <c r="DG78" s="73"/>
      <c r="DH78" s="73"/>
      <c r="DI78" s="73"/>
      <c r="DJ78" s="73">
        <f t="shared" si="92"/>
        <v>0</v>
      </c>
      <c r="DK78" s="73"/>
      <c r="DL78" s="73">
        <f t="shared" si="93"/>
        <v>0</v>
      </c>
      <c r="DM78" s="73"/>
      <c r="DN78" s="73">
        <f t="shared" si="94"/>
        <v>0</v>
      </c>
      <c r="DO78" s="73"/>
      <c r="DP78" s="73">
        <f t="shared" si="87"/>
        <v>0</v>
      </c>
      <c r="DQ78" s="73"/>
      <c r="DR78" s="73"/>
      <c r="DS78" s="73"/>
      <c r="DT78" s="73"/>
      <c r="DU78" s="73"/>
      <c r="DV78" s="73">
        <f aca="true" t="shared" si="96" ref="DV78:EF88">CL78+BZ78+BN78+BB78+AP78+AD78+R78+F78</f>
        <v>632.7550907518064</v>
      </c>
      <c r="DW78" s="73"/>
      <c r="DX78" s="73">
        <f t="shared" si="96"/>
        <v>533.6776451527948</v>
      </c>
      <c r="DY78" s="73"/>
      <c r="DZ78" s="73">
        <f t="shared" si="96"/>
        <v>601.6947121809512</v>
      </c>
      <c r="EA78" s="73"/>
      <c r="EB78" s="73">
        <f t="shared" si="96"/>
        <v>529.7518332971711</v>
      </c>
      <c r="EC78" s="73"/>
      <c r="ED78" s="73">
        <f t="shared" si="96"/>
        <v>565.8564209404485</v>
      </c>
      <c r="EE78" s="73"/>
      <c r="EF78" s="73">
        <f t="shared" si="96"/>
        <v>1323.702007761031</v>
      </c>
      <c r="EG78" s="73"/>
      <c r="EH78" s="73">
        <f t="shared" si="95"/>
        <v>697.9062850140339</v>
      </c>
    </row>
    <row r="79" spans="2:138" ht="12.75">
      <c r="B79" s="55" t="s">
        <v>105</v>
      </c>
      <c r="D79" s="55" t="s">
        <v>66</v>
      </c>
      <c r="E79" s="68"/>
      <c r="F79" s="73">
        <f t="shared" si="88"/>
        <v>129.13969541610558</v>
      </c>
      <c r="G79" s="75"/>
      <c r="H79" s="73">
        <f t="shared" si="88"/>
        <v>56.59135625722119</v>
      </c>
      <c r="I79" s="75"/>
      <c r="J79" s="73">
        <f t="shared" si="41"/>
        <v>79.6449765296353</v>
      </c>
      <c r="K79" s="75"/>
      <c r="L79" s="73">
        <f t="shared" si="42"/>
        <v>51.56172509453846</v>
      </c>
      <c r="M79" s="75"/>
      <c r="N79" s="73">
        <f t="shared" si="43"/>
        <v>62.04507872173982</v>
      </c>
      <c r="O79" s="75"/>
      <c r="P79" s="73">
        <f t="shared" si="44"/>
        <v>1534.6932656239965</v>
      </c>
      <c r="Q79" s="78" t="s">
        <v>13</v>
      </c>
      <c r="R79" s="73">
        <f t="shared" si="45"/>
        <v>482.43530861597515</v>
      </c>
      <c r="S79" s="78" t="s">
        <v>13</v>
      </c>
      <c r="T79" s="73">
        <f t="shared" si="46"/>
        <v>412.5351203797432</v>
      </c>
      <c r="U79" s="78" t="s">
        <v>13</v>
      </c>
      <c r="V79" s="73">
        <f t="shared" si="47"/>
        <v>467.48138397829416</v>
      </c>
      <c r="W79" s="78" t="s">
        <v>13</v>
      </c>
      <c r="X79" s="73">
        <f t="shared" si="48"/>
        <v>415.57211270225037</v>
      </c>
      <c r="Y79" s="78" t="s">
        <v>13</v>
      </c>
      <c r="Z79" s="73">
        <f t="shared" si="49"/>
        <v>429.542852688968</v>
      </c>
      <c r="AA79" s="78"/>
      <c r="AB79" s="73">
        <f t="shared" si="50"/>
        <v>3197.2776367166593</v>
      </c>
      <c r="AC79" s="73"/>
      <c r="AD79" s="73">
        <f t="shared" si="51"/>
        <v>24.00409828235584</v>
      </c>
      <c r="AE79" s="73"/>
      <c r="AF79" s="73">
        <f t="shared" si="52"/>
        <v>0</v>
      </c>
      <c r="AG79" s="73"/>
      <c r="AH79" s="73">
        <f t="shared" si="53"/>
        <v>0</v>
      </c>
      <c r="AI79" s="73"/>
      <c r="AJ79" s="73">
        <f t="shared" si="54"/>
        <v>0</v>
      </c>
      <c r="AK79" s="73"/>
      <c r="AL79" s="73">
        <f t="shared" si="55"/>
        <v>21.636232579888762</v>
      </c>
      <c r="AM79" s="73"/>
      <c r="AN79" s="73">
        <f t="shared" si="56"/>
        <v>0</v>
      </c>
      <c r="AO79" s="73"/>
      <c r="AP79" s="73">
        <f t="shared" si="57"/>
        <v>67.36444248357213</v>
      </c>
      <c r="AQ79" s="73"/>
      <c r="AR79" s="73">
        <f t="shared" si="58"/>
        <v>102.07599773498775</v>
      </c>
      <c r="AS79" s="73"/>
      <c r="AT79" s="73">
        <f t="shared" si="59"/>
        <v>146.8814965709578</v>
      </c>
      <c r="AU79" s="73"/>
      <c r="AV79" s="73">
        <f t="shared" si="60"/>
        <v>52.074777085528886</v>
      </c>
      <c r="AW79" s="73"/>
      <c r="AX79" s="73">
        <f t="shared" si="61"/>
        <v>55.94663081319274</v>
      </c>
      <c r="AY79" s="73"/>
      <c r="AZ79" s="73">
        <f t="shared" si="62"/>
        <v>59.87629028760288</v>
      </c>
      <c r="BA79" s="73"/>
      <c r="BB79" s="73">
        <f t="shared" si="63"/>
        <v>16.679318291784014</v>
      </c>
      <c r="BC79" s="73"/>
      <c r="BD79" s="73">
        <f t="shared" si="64"/>
        <v>37.022382598182084</v>
      </c>
      <c r="BE79" s="73"/>
      <c r="BF79" s="73">
        <f t="shared" si="65"/>
        <v>38.37964448710686</v>
      </c>
      <c r="BG79" s="73"/>
      <c r="BH79" s="73">
        <f t="shared" si="66"/>
        <v>43.09636724319633</v>
      </c>
      <c r="BI79" s="73"/>
      <c r="BJ79" s="73">
        <f t="shared" si="67"/>
        <v>46.13608417770395</v>
      </c>
      <c r="BK79" s="73"/>
      <c r="BL79" s="73">
        <f t="shared" si="68"/>
        <v>48.24982615408776</v>
      </c>
      <c r="BM79" s="73"/>
      <c r="BN79" s="73">
        <f t="shared" si="69"/>
        <v>7236.529629239627</v>
      </c>
      <c r="BO79" s="73"/>
      <c r="BP79" s="73">
        <f t="shared" si="70"/>
        <v>6716.917985670178</v>
      </c>
      <c r="BQ79" s="73"/>
      <c r="BR79" s="73">
        <f t="shared" si="71"/>
        <v>7964.497652963529</v>
      </c>
      <c r="BS79" s="73"/>
      <c r="BT79" s="73">
        <f t="shared" si="72"/>
        <v>6413.149887380407</v>
      </c>
      <c r="BU79" s="73"/>
      <c r="BV79" s="73">
        <f t="shared" si="73"/>
        <v>6549.202753961426</v>
      </c>
      <c r="BW79" s="73"/>
      <c r="BX79" s="73">
        <f t="shared" si="74"/>
        <v>7818.797129788921</v>
      </c>
      <c r="BY79" s="73"/>
      <c r="BZ79" s="73"/>
      <c r="CA79" s="73"/>
      <c r="CB79" s="73">
        <f t="shared" si="75"/>
        <v>0</v>
      </c>
      <c r="CC79" s="73"/>
      <c r="CD79" s="73">
        <f t="shared" si="76"/>
        <v>0</v>
      </c>
      <c r="CE79" s="73"/>
      <c r="CF79" s="73">
        <f t="shared" si="77"/>
        <v>0</v>
      </c>
      <c r="CG79" s="73"/>
      <c r="CH79" s="73">
        <f t="shared" si="78"/>
        <v>0</v>
      </c>
      <c r="CI79" s="73"/>
      <c r="CJ79" s="73">
        <f t="shared" si="79"/>
        <v>0</v>
      </c>
      <c r="CK79" s="73"/>
      <c r="CL79" s="73">
        <f t="shared" si="80"/>
        <v>0</v>
      </c>
      <c r="CM79" s="73"/>
      <c r="CN79" s="73">
        <f t="shared" si="81"/>
        <v>0</v>
      </c>
      <c r="CO79" s="73"/>
      <c r="CP79" s="73">
        <f t="shared" si="82"/>
        <v>0</v>
      </c>
      <c r="CQ79" s="73"/>
      <c r="CR79" s="73">
        <f t="shared" si="83"/>
        <v>0</v>
      </c>
      <c r="CS79" s="73"/>
      <c r="CT79" s="73">
        <f t="shared" si="84"/>
        <v>0</v>
      </c>
      <c r="CU79" s="73"/>
      <c r="CV79" s="73">
        <f t="shared" si="85"/>
        <v>0</v>
      </c>
      <c r="CW79" s="73"/>
      <c r="CX79" s="73">
        <f t="shared" si="89"/>
        <v>7320.573390014983</v>
      </c>
      <c r="CY79" s="73"/>
      <c r="CZ79" s="73">
        <f t="shared" si="90"/>
        <v>6856.016366003348</v>
      </c>
      <c r="DA79" s="73"/>
      <c r="DB79" s="73">
        <f t="shared" si="91"/>
        <v>8149.7587940215935</v>
      </c>
      <c r="DC79" s="73"/>
      <c r="DD79" s="73">
        <f t="shared" si="86"/>
        <v>6508.321031709132</v>
      </c>
      <c r="DE79" s="73"/>
      <c r="DF79" s="73"/>
      <c r="DG79" s="73"/>
      <c r="DH79" s="73"/>
      <c r="DI79" s="73"/>
      <c r="DJ79" s="73">
        <f t="shared" si="92"/>
        <v>24.00409828235584</v>
      </c>
      <c r="DK79" s="73"/>
      <c r="DL79" s="73">
        <f t="shared" si="93"/>
        <v>0</v>
      </c>
      <c r="DM79" s="73"/>
      <c r="DN79" s="73">
        <f t="shared" si="94"/>
        <v>0</v>
      </c>
      <c r="DO79" s="73"/>
      <c r="DP79" s="73">
        <f t="shared" si="87"/>
        <v>0</v>
      </c>
      <c r="DQ79" s="73"/>
      <c r="DR79" s="73"/>
      <c r="DS79" s="73"/>
      <c r="DT79" s="73"/>
      <c r="DU79" s="73"/>
      <c r="DV79" s="73">
        <f t="shared" si="96"/>
        <v>7956.152492329419</v>
      </c>
      <c r="DW79" s="73"/>
      <c r="DX79" s="73">
        <f t="shared" si="96"/>
        <v>7325.142842640313</v>
      </c>
      <c r="DY79" s="73"/>
      <c r="DZ79" s="73">
        <f t="shared" si="96"/>
        <v>8696.885154529522</v>
      </c>
      <c r="EA79" s="73"/>
      <c r="EB79" s="73">
        <f t="shared" si="96"/>
        <v>6975.454869505921</v>
      </c>
      <c r="EC79" s="73"/>
      <c r="ED79" s="73">
        <f t="shared" si="96"/>
        <v>7164.50963294292</v>
      </c>
      <c r="EE79" s="73"/>
      <c r="EF79" s="73">
        <f t="shared" si="96"/>
        <v>12658.894148571268</v>
      </c>
      <c r="EG79" s="73"/>
      <c r="EH79" s="73">
        <f t="shared" si="95"/>
        <v>8462.839856753228</v>
      </c>
    </row>
    <row r="80" spans="2:138" ht="12.75">
      <c r="B80" s="55" t="s">
        <v>107</v>
      </c>
      <c r="D80" s="55" t="s">
        <v>66</v>
      </c>
      <c r="E80" s="68"/>
      <c r="F80" s="73">
        <f t="shared" si="88"/>
        <v>861.9118623443945</v>
      </c>
      <c r="G80" s="75"/>
      <c r="H80" s="73">
        <f t="shared" si="88"/>
        <v>565.9135625722117</v>
      </c>
      <c r="I80" s="75"/>
      <c r="J80" s="73">
        <f t="shared" si="41"/>
        <v>669.4795128578039</v>
      </c>
      <c r="K80" s="75"/>
      <c r="L80" s="73">
        <f t="shared" si="42"/>
        <v>90.55367640981136</v>
      </c>
      <c r="M80" s="75"/>
      <c r="N80" s="73">
        <f t="shared" si="43"/>
        <v>662.8747726681605</v>
      </c>
      <c r="O80" s="75" t="s">
        <v>13</v>
      </c>
      <c r="P80" s="73">
        <f t="shared" si="44"/>
        <v>1496.9072571900724</v>
      </c>
      <c r="Q80" s="78"/>
      <c r="R80" s="73">
        <f t="shared" si="45"/>
        <v>4824.353086159751</v>
      </c>
      <c r="S80" s="78"/>
      <c r="T80" s="73">
        <f t="shared" si="46"/>
        <v>4125.3512037974315</v>
      </c>
      <c r="U80" s="78"/>
      <c r="V80" s="73">
        <f t="shared" si="47"/>
        <v>4674.813839782941</v>
      </c>
      <c r="W80" s="78"/>
      <c r="X80" s="73">
        <f t="shared" si="48"/>
        <v>4976.604312607195</v>
      </c>
      <c r="Y80" s="78"/>
      <c r="Z80" s="73">
        <f t="shared" si="49"/>
        <v>4295.42852688968</v>
      </c>
      <c r="AA80" s="78"/>
      <c r="AB80" s="73">
        <f t="shared" si="50"/>
        <v>6975.878480109074</v>
      </c>
      <c r="AC80" s="73"/>
      <c r="AD80" s="73">
        <f t="shared" si="51"/>
        <v>62.95192441696261</v>
      </c>
      <c r="AE80" s="73"/>
      <c r="AF80" s="73">
        <f t="shared" si="52"/>
        <v>0</v>
      </c>
      <c r="AG80" s="73"/>
      <c r="AH80" s="73">
        <f t="shared" si="53"/>
        <v>0</v>
      </c>
      <c r="AI80" s="73"/>
      <c r="AJ80" s="73">
        <f t="shared" si="54"/>
        <v>0</v>
      </c>
      <c r="AK80" s="73"/>
      <c r="AL80" s="73">
        <f t="shared" si="55"/>
        <v>240.75611743307593</v>
      </c>
      <c r="AM80" s="73"/>
      <c r="AN80" s="73">
        <f t="shared" si="56"/>
        <v>0</v>
      </c>
      <c r="AO80" s="73"/>
      <c r="AP80" s="73">
        <f t="shared" si="57"/>
        <v>8413.201113668834</v>
      </c>
      <c r="AQ80" s="73"/>
      <c r="AR80" s="73">
        <f t="shared" si="58"/>
        <v>5553.357389727314</v>
      </c>
      <c r="AS80" s="73"/>
      <c r="AT80" s="73">
        <f t="shared" si="59"/>
        <v>7127.648261891275</v>
      </c>
      <c r="AU80" s="73"/>
      <c r="AV80" s="73">
        <f t="shared" si="60"/>
        <v>5925.7504959394955</v>
      </c>
      <c r="AW80" s="73"/>
      <c r="AX80" s="73">
        <f t="shared" si="61"/>
        <v>6177.992881267253</v>
      </c>
      <c r="AY80" s="73"/>
      <c r="AZ80" s="73">
        <f t="shared" si="62"/>
        <v>6074.827509761652</v>
      </c>
      <c r="BA80" s="73"/>
      <c r="BB80" s="73">
        <f t="shared" si="63"/>
        <v>0</v>
      </c>
      <c r="BC80" s="73"/>
      <c r="BD80" s="73">
        <f t="shared" si="64"/>
        <v>11.133159338453327</v>
      </c>
      <c r="BE80" s="73"/>
      <c r="BF80" s="73">
        <f t="shared" si="65"/>
        <v>10.87904208393931</v>
      </c>
      <c r="BG80" s="73"/>
      <c r="BH80" s="73">
        <f t="shared" si="66"/>
        <v>18.2646508792594</v>
      </c>
      <c r="BI80" s="73"/>
      <c r="BJ80" s="73">
        <f t="shared" si="67"/>
        <v>19.70063824369773</v>
      </c>
      <c r="BK80" s="73"/>
      <c r="BL80" s="73">
        <f t="shared" si="68"/>
        <v>20.491643035320404</v>
      </c>
      <c r="BM80" s="73"/>
      <c r="BN80" s="73">
        <f t="shared" si="69"/>
        <v>106.194601469736</v>
      </c>
      <c r="BO80" s="73"/>
      <c r="BP80" s="73">
        <f t="shared" si="70"/>
        <v>98.37375947516954</v>
      </c>
      <c r="BQ80" s="73"/>
      <c r="BR80" s="73">
        <f t="shared" si="71"/>
        <v>116.58177723903137</v>
      </c>
      <c r="BS80" s="73"/>
      <c r="BT80" s="73">
        <f t="shared" si="72"/>
        <v>94.14504034674438</v>
      </c>
      <c r="BU80" s="73"/>
      <c r="BV80" s="73">
        <f t="shared" si="73"/>
        <v>95.98426708234966</v>
      </c>
      <c r="BW80" s="73"/>
      <c r="BX80" s="73">
        <f t="shared" si="74"/>
        <v>114.52067171512398</v>
      </c>
      <c r="BY80" s="73"/>
      <c r="BZ80" s="73"/>
      <c r="CA80" s="73"/>
      <c r="CB80" s="73">
        <f t="shared" si="75"/>
        <v>0</v>
      </c>
      <c r="CC80" s="73"/>
      <c r="CD80" s="73">
        <f t="shared" si="76"/>
        <v>0</v>
      </c>
      <c r="CE80" s="73"/>
      <c r="CF80" s="73">
        <f t="shared" si="77"/>
        <v>0</v>
      </c>
      <c r="CG80" s="73"/>
      <c r="CH80" s="73">
        <f t="shared" si="78"/>
        <v>0</v>
      </c>
      <c r="CI80" s="73"/>
      <c r="CJ80" s="73">
        <f t="shared" si="79"/>
        <v>0</v>
      </c>
      <c r="CK80" s="73"/>
      <c r="CL80" s="73">
        <f t="shared" si="80"/>
        <v>0</v>
      </c>
      <c r="CM80" s="73"/>
      <c r="CN80" s="73">
        <f t="shared" si="81"/>
        <v>0</v>
      </c>
      <c r="CO80" s="73"/>
      <c r="CP80" s="73">
        <f t="shared" si="82"/>
        <v>0</v>
      </c>
      <c r="CQ80" s="73"/>
      <c r="CR80" s="73">
        <f t="shared" si="83"/>
        <v>0</v>
      </c>
      <c r="CS80" s="73"/>
      <c r="CT80" s="73">
        <f t="shared" si="84"/>
        <v>0</v>
      </c>
      <c r="CU80" s="73"/>
      <c r="CV80" s="73">
        <f t="shared" si="85"/>
        <v>0</v>
      </c>
      <c r="CW80" s="73"/>
      <c r="CX80" s="73">
        <f t="shared" si="89"/>
        <v>8519.395715138571</v>
      </c>
      <c r="CY80" s="73"/>
      <c r="CZ80" s="73">
        <f t="shared" si="90"/>
        <v>5662.864308540937</v>
      </c>
      <c r="DA80" s="73"/>
      <c r="DB80" s="73">
        <f t="shared" si="91"/>
        <v>7255.109081214246</v>
      </c>
      <c r="DC80" s="73"/>
      <c r="DD80" s="73">
        <f t="shared" si="86"/>
        <v>6038.160187165499</v>
      </c>
      <c r="DE80" s="73"/>
      <c r="DF80" s="73"/>
      <c r="DG80" s="73"/>
      <c r="DH80" s="73"/>
      <c r="DI80" s="73"/>
      <c r="DJ80" s="73">
        <f t="shared" si="92"/>
        <v>62.95192441696261</v>
      </c>
      <c r="DK80" s="73"/>
      <c r="DL80" s="73">
        <f t="shared" si="93"/>
        <v>0</v>
      </c>
      <c r="DM80" s="73"/>
      <c r="DN80" s="73">
        <f t="shared" si="94"/>
        <v>0</v>
      </c>
      <c r="DO80" s="73"/>
      <c r="DP80" s="73">
        <f t="shared" si="87"/>
        <v>0</v>
      </c>
      <c r="DQ80" s="73"/>
      <c r="DR80" s="73"/>
      <c r="DS80" s="73"/>
      <c r="DT80" s="73"/>
      <c r="DU80" s="73"/>
      <c r="DV80" s="73">
        <f t="shared" si="96"/>
        <v>14268.612588059677</v>
      </c>
      <c r="DW80" s="73"/>
      <c r="DX80" s="73">
        <f t="shared" si="96"/>
        <v>10354.12907491058</v>
      </c>
      <c r="DY80" s="73"/>
      <c r="DZ80" s="73">
        <f t="shared" si="96"/>
        <v>12599.40243385499</v>
      </c>
      <c r="EA80" s="73"/>
      <c r="EB80" s="73">
        <f t="shared" si="96"/>
        <v>11105.318176182505</v>
      </c>
      <c r="EC80" s="73"/>
      <c r="ED80" s="73">
        <f t="shared" si="96"/>
        <v>11492.737203584218</v>
      </c>
      <c r="EE80" s="73"/>
      <c r="EF80" s="73">
        <f t="shared" si="96"/>
        <v>14682.625561811245</v>
      </c>
      <c r="EG80" s="73"/>
      <c r="EH80" s="73">
        <f t="shared" si="95"/>
        <v>12417.137506400535</v>
      </c>
    </row>
    <row r="81" spans="2:138" ht="12.75">
      <c r="B81" s="55" t="s">
        <v>191</v>
      </c>
      <c r="D81" s="55" t="s">
        <v>66</v>
      </c>
      <c r="E81" s="68"/>
      <c r="F81" s="73">
        <f t="shared" si="88"/>
        <v>0</v>
      </c>
      <c r="G81" s="75"/>
      <c r="H81" s="73">
        <f t="shared" si="88"/>
        <v>0</v>
      </c>
      <c r="I81" s="75"/>
      <c r="J81" s="73">
        <f t="shared" si="41"/>
        <v>0</v>
      </c>
      <c r="K81" s="75"/>
      <c r="L81" s="73">
        <f t="shared" si="42"/>
        <v>0</v>
      </c>
      <c r="M81" s="75"/>
      <c r="N81" s="73">
        <f t="shared" si="43"/>
        <v>0</v>
      </c>
      <c r="O81" s="75"/>
      <c r="P81" s="73">
        <f t="shared" si="44"/>
        <v>0</v>
      </c>
      <c r="Q81" s="78"/>
      <c r="R81" s="73">
        <f t="shared" si="45"/>
        <v>0</v>
      </c>
      <c r="S81" s="78"/>
      <c r="T81" s="73">
        <f t="shared" si="46"/>
        <v>0</v>
      </c>
      <c r="U81" s="78"/>
      <c r="V81" s="73">
        <f t="shared" si="47"/>
        <v>0</v>
      </c>
      <c r="W81" s="78"/>
      <c r="X81" s="73">
        <f t="shared" si="48"/>
        <v>0</v>
      </c>
      <c r="Y81" s="78"/>
      <c r="Z81" s="73">
        <f t="shared" si="49"/>
        <v>0</v>
      </c>
      <c r="AA81" s="78"/>
      <c r="AB81" s="73">
        <f t="shared" si="50"/>
        <v>0</v>
      </c>
      <c r="AC81" s="73"/>
      <c r="AD81" s="73">
        <f t="shared" si="51"/>
        <v>0</v>
      </c>
      <c r="AE81" s="73"/>
      <c r="AF81" s="73">
        <f t="shared" si="52"/>
        <v>0</v>
      </c>
      <c r="AG81" s="73"/>
      <c r="AH81" s="73">
        <f t="shared" si="53"/>
        <v>0</v>
      </c>
      <c r="AI81" s="73"/>
      <c r="AJ81" s="73">
        <f t="shared" si="54"/>
        <v>0</v>
      </c>
      <c r="AK81" s="73"/>
      <c r="AL81" s="73">
        <f t="shared" si="55"/>
        <v>0</v>
      </c>
      <c r="AM81" s="73"/>
      <c r="AN81" s="73">
        <f t="shared" si="56"/>
        <v>0</v>
      </c>
      <c r="AO81" s="73"/>
      <c r="AP81" s="73">
        <f t="shared" si="57"/>
        <v>6354.026015917722</v>
      </c>
      <c r="AQ81" s="73"/>
      <c r="AR81" s="73">
        <f t="shared" si="58"/>
        <v>4310.463116788343</v>
      </c>
      <c r="AS81" s="73"/>
      <c r="AT81" s="73">
        <f t="shared" si="59"/>
        <v>5915.659488614214</v>
      </c>
      <c r="AU81" s="73"/>
      <c r="AV81" s="73">
        <f t="shared" si="60"/>
        <v>4745.730916661501</v>
      </c>
      <c r="AW81" s="73"/>
      <c r="AX81" s="73">
        <f t="shared" si="61"/>
        <v>4905.273317744389</v>
      </c>
      <c r="AY81" s="73"/>
      <c r="AZ81" s="73">
        <f t="shared" si="62"/>
        <v>4737.784134407413</v>
      </c>
      <c r="BA81" s="73"/>
      <c r="BB81" s="73">
        <f t="shared" si="63"/>
        <v>0</v>
      </c>
      <c r="BC81" s="73"/>
      <c r="BD81" s="73">
        <f t="shared" si="64"/>
        <v>0</v>
      </c>
      <c r="BE81" s="73"/>
      <c r="BF81" s="73">
        <f t="shared" si="65"/>
        <v>0</v>
      </c>
      <c r="BG81" s="73"/>
      <c r="BH81" s="73">
        <f t="shared" si="66"/>
        <v>0</v>
      </c>
      <c r="BI81" s="73"/>
      <c r="BJ81" s="73">
        <f t="shared" si="67"/>
        <v>0</v>
      </c>
      <c r="BK81" s="73"/>
      <c r="BL81" s="73">
        <f t="shared" si="68"/>
        <v>0</v>
      </c>
      <c r="BM81" s="73"/>
      <c r="BN81" s="73">
        <f t="shared" si="69"/>
        <v>0.7148279267907437</v>
      </c>
      <c r="BO81" s="73"/>
      <c r="BP81" s="73">
        <f t="shared" si="70"/>
        <v>0.6426027836684461</v>
      </c>
      <c r="BQ81" s="73"/>
      <c r="BR81" s="73">
        <f t="shared" si="71"/>
        <v>0.7647072021867156</v>
      </c>
      <c r="BS81" s="73"/>
      <c r="BT81" s="73">
        <f t="shared" si="72"/>
        <v>0.6233581690533755</v>
      </c>
      <c r="BU81" s="73"/>
      <c r="BV81" s="73">
        <f t="shared" si="73"/>
        <v>0.644314279033452</v>
      </c>
      <c r="BW81" s="73"/>
      <c r="BX81" s="73">
        <f t="shared" si="74"/>
        <v>0.7702532488453768</v>
      </c>
      <c r="BY81" s="73"/>
      <c r="BZ81" s="73"/>
      <c r="CA81" s="73"/>
      <c r="CB81" s="73">
        <f t="shared" si="75"/>
        <v>0</v>
      </c>
      <c r="CC81" s="73"/>
      <c r="CD81" s="73">
        <f t="shared" si="76"/>
        <v>0</v>
      </c>
      <c r="CE81" s="73"/>
      <c r="CF81" s="73">
        <f t="shared" si="77"/>
        <v>0</v>
      </c>
      <c r="CG81" s="73"/>
      <c r="CH81" s="73">
        <f t="shared" si="78"/>
        <v>0</v>
      </c>
      <c r="CI81" s="73"/>
      <c r="CJ81" s="73">
        <f t="shared" si="79"/>
        <v>0</v>
      </c>
      <c r="CK81" s="73"/>
      <c r="CL81" s="73">
        <f t="shared" si="80"/>
        <v>0</v>
      </c>
      <c r="CM81" s="73"/>
      <c r="CN81" s="73">
        <f t="shared" si="81"/>
        <v>0</v>
      </c>
      <c r="CO81" s="73"/>
      <c r="CP81" s="73">
        <f t="shared" si="82"/>
        <v>0</v>
      </c>
      <c r="CQ81" s="73"/>
      <c r="CR81" s="73">
        <f t="shared" si="83"/>
        <v>0</v>
      </c>
      <c r="CS81" s="73"/>
      <c r="CT81" s="73">
        <f t="shared" si="84"/>
        <v>0</v>
      </c>
      <c r="CU81" s="73"/>
      <c r="CV81" s="73">
        <f t="shared" si="85"/>
        <v>0</v>
      </c>
      <c r="CW81" s="73"/>
      <c r="CX81" s="73">
        <f t="shared" si="89"/>
        <v>6354.740843844513</v>
      </c>
      <c r="CY81" s="73"/>
      <c r="CZ81" s="73">
        <f t="shared" si="90"/>
        <v>4311.105719572011</v>
      </c>
      <c r="DA81" s="73"/>
      <c r="DB81" s="73">
        <f t="shared" si="91"/>
        <v>5916.4241958164</v>
      </c>
      <c r="DC81" s="73"/>
      <c r="DD81" s="73">
        <f t="shared" si="86"/>
        <v>4746.3542748305545</v>
      </c>
      <c r="DE81" s="73"/>
      <c r="DF81" s="73"/>
      <c r="DG81" s="73"/>
      <c r="DH81" s="73"/>
      <c r="DI81" s="73"/>
      <c r="DJ81" s="73">
        <f t="shared" si="92"/>
        <v>0</v>
      </c>
      <c r="DK81" s="73"/>
      <c r="DL81" s="73">
        <f t="shared" si="93"/>
        <v>0</v>
      </c>
      <c r="DM81" s="73"/>
      <c r="DN81" s="73">
        <f t="shared" si="94"/>
        <v>0</v>
      </c>
      <c r="DO81" s="73"/>
      <c r="DP81" s="73">
        <f t="shared" si="87"/>
        <v>0</v>
      </c>
      <c r="DQ81" s="73"/>
      <c r="DR81" s="73"/>
      <c r="DS81" s="73"/>
      <c r="DT81" s="73"/>
      <c r="DU81" s="73"/>
      <c r="DV81" s="73">
        <f t="shared" si="96"/>
        <v>6354.740843844513</v>
      </c>
      <c r="DW81" s="73"/>
      <c r="DX81" s="73">
        <f t="shared" si="96"/>
        <v>4311.105719572011</v>
      </c>
      <c r="DY81" s="73"/>
      <c r="DZ81" s="73">
        <f t="shared" si="96"/>
        <v>5916.4241958164</v>
      </c>
      <c r="EA81" s="73"/>
      <c r="EB81" s="73">
        <f t="shared" si="96"/>
        <v>4746.3542748305545</v>
      </c>
      <c r="EC81" s="73"/>
      <c r="ED81" s="73">
        <f t="shared" si="96"/>
        <v>4905.917632023422</v>
      </c>
      <c r="EE81" s="73"/>
      <c r="EF81" s="73">
        <f t="shared" si="96"/>
        <v>4738.554387656259</v>
      </c>
      <c r="EG81" s="73"/>
      <c r="EH81" s="73">
        <f t="shared" si="95"/>
        <v>5162.182842290526</v>
      </c>
    </row>
    <row r="82" spans="2:138" ht="12.75">
      <c r="B82" s="55" t="s">
        <v>103</v>
      </c>
      <c r="D82" s="55" t="s">
        <v>66</v>
      </c>
      <c r="E82" s="68"/>
      <c r="F82" s="73">
        <f t="shared" si="88"/>
        <v>1129.6046250520394</v>
      </c>
      <c r="G82" s="75"/>
      <c r="H82" s="73">
        <f t="shared" si="88"/>
        <v>756.3143873628626</v>
      </c>
      <c r="I82" s="75"/>
      <c r="J82" s="73">
        <f t="shared" si="41"/>
        <v>709.8791386337059</v>
      </c>
      <c r="K82" s="75"/>
      <c r="L82" s="73">
        <f t="shared" si="42"/>
        <v>548.9656303597628</v>
      </c>
      <c r="M82" s="75"/>
      <c r="N82" s="73">
        <f t="shared" si="43"/>
        <v>662.8747726681605</v>
      </c>
      <c r="O82" s="75" t="s">
        <v>13</v>
      </c>
      <c r="P82" s="73">
        <f t="shared" si="44"/>
        <v>7470.003205783466</v>
      </c>
      <c r="Q82" s="78"/>
      <c r="R82" s="73">
        <f t="shared" si="45"/>
        <v>4824.353086159751</v>
      </c>
      <c r="S82" s="78"/>
      <c r="T82" s="73">
        <f t="shared" si="46"/>
        <v>3305.5698748376863</v>
      </c>
      <c r="U82" s="78"/>
      <c r="V82" s="73">
        <f t="shared" si="47"/>
        <v>4674.813839782941</v>
      </c>
      <c r="W82" s="78"/>
      <c r="X82" s="73">
        <f t="shared" si="48"/>
        <v>2493.432676213502</v>
      </c>
      <c r="Y82" s="78"/>
      <c r="Z82" s="73">
        <f t="shared" si="49"/>
        <v>3446.948817874435</v>
      </c>
      <c r="AA82" s="78" t="s">
        <v>13</v>
      </c>
      <c r="AB82" s="73">
        <f t="shared" si="50"/>
        <v>6016.695189094076</v>
      </c>
      <c r="AC82" s="73"/>
      <c r="AD82" s="73">
        <f t="shared" si="51"/>
        <v>756.0114287457659</v>
      </c>
      <c r="AE82" s="73"/>
      <c r="AF82" s="73">
        <f t="shared" si="52"/>
        <v>0</v>
      </c>
      <c r="AG82" s="73"/>
      <c r="AH82" s="73">
        <f t="shared" si="53"/>
        <v>0</v>
      </c>
      <c r="AI82" s="73"/>
      <c r="AJ82" s="73">
        <f t="shared" si="54"/>
        <v>0</v>
      </c>
      <c r="AK82" s="73"/>
      <c r="AL82" s="73">
        <f t="shared" si="55"/>
        <v>1036.7361444530031</v>
      </c>
      <c r="AM82" s="73"/>
      <c r="AN82" s="73">
        <f t="shared" si="56"/>
        <v>0</v>
      </c>
      <c r="AO82" s="73"/>
      <c r="AP82" s="73">
        <f t="shared" si="57"/>
        <v>139.1414030337538</v>
      </c>
      <c r="AQ82" s="73"/>
      <c r="AR82" s="73">
        <f t="shared" si="58"/>
        <v>160.254027532131</v>
      </c>
      <c r="AS82" s="73"/>
      <c r="AT82" s="73">
        <f t="shared" si="59"/>
        <v>227.68074812276177</v>
      </c>
      <c r="AU82" s="73"/>
      <c r="AV82" s="73">
        <f t="shared" si="60"/>
        <v>93.11893636476348</v>
      </c>
      <c r="AW82" s="73"/>
      <c r="AX82" s="73">
        <f t="shared" si="61"/>
        <v>144.50670044165898</v>
      </c>
      <c r="AY82" s="73"/>
      <c r="AZ82" s="73">
        <f t="shared" si="62"/>
        <v>255.20088773065706</v>
      </c>
      <c r="BA82" s="73"/>
      <c r="BB82" s="73">
        <f t="shared" si="63"/>
        <v>7501.280713236199</v>
      </c>
      <c r="BC82" s="73"/>
      <c r="BD82" s="73">
        <f t="shared" si="64"/>
        <v>3464.2372288298957</v>
      </c>
      <c r="BE82" s="73"/>
      <c r="BF82" s="73">
        <f t="shared" si="65"/>
        <v>4732.527590891373</v>
      </c>
      <c r="BG82" s="73"/>
      <c r="BH82" s="73">
        <f t="shared" si="66"/>
        <v>9260.588437377308</v>
      </c>
      <c r="BI82" s="73"/>
      <c r="BJ82" s="73">
        <f t="shared" si="67"/>
        <v>9969.636580929133</v>
      </c>
      <c r="BK82" s="73"/>
      <c r="BL82" s="73">
        <f t="shared" si="68"/>
        <v>10376.619239162248</v>
      </c>
      <c r="BM82" s="73"/>
      <c r="BN82" s="73">
        <f t="shared" si="69"/>
        <v>209.74169209950628</v>
      </c>
      <c r="BO82" s="73"/>
      <c r="BP82" s="73">
        <f t="shared" si="70"/>
        <v>193.83861746048194</v>
      </c>
      <c r="BQ82" s="73"/>
      <c r="BR82" s="73">
        <f t="shared" si="71"/>
        <v>230.56643567818327</v>
      </c>
      <c r="BS82" s="73"/>
      <c r="BT82" s="73">
        <f t="shared" si="72"/>
        <v>185.98134673403177</v>
      </c>
      <c r="BU82" s="73"/>
      <c r="BV82" s="73">
        <f t="shared" si="73"/>
        <v>189.84733489216114</v>
      </c>
      <c r="BW82" s="73"/>
      <c r="BX82" s="73">
        <f t="shared" si="74"/>
        <v>226.13472739686915</v>
      </c>
      <c r="BY82" s="73"/>
      <c r="BZ82" s="73"/>
      <c r="CA82" s="73"/>
      <c r="CB82" s="73">
        <f t="shared" si="75"/>
        <v>0</v>
      </c>
      <c r="CC82" s="73"/>
      <c r="CD82" s="73">
        <f t="shared" si="76"/>
        <v>0</v>
      </c>
      <c r="CE82" s="73"/>
      <c r="CF82" s="73">
        <f t="shared" si="77"/>
        <v>0</v>
      </c>
      <c r="CG82" s="73"/>
      <c r="CH82" s="73">
        <f t="shared" si="78"/>
        <v>0</v>
      </c>
      <c r="CI82" s="73"/>
      <c r="CJ82" s="73">
        <f t="shared" si="79"/>
        <v>0</v>
      </c>
      <c r="CK82" s="73"/>
      <c r="CL82" s="73">
        <f t="shared" si="80"/>
        <v>0</v>
      </c>
      <c r="CM82" s="73"/>
      <c r="CN82" s="73">
        <f t="shared" si="81"/>
        <v>0</v>
      </c>
      <c r="CO82" s="73"/>
      <c r="CP82" s="73">
        <f t="shared" si="82"/>
        <v>0</v>
      </c>
      <c r="CQ82" s="73"/>
      <c r="CR82" s="73">
        <f t="shared" si="83"/>
        <v>0</v>
      </c>
      <c r="CS82" s="73"/>
      <c r="CT82" s="73">
        <f t="shared" si="84"/>
        <v>0</v>
      </c>
      <c r="CU82" s="73"/>
      <c r="CV82" s="73">
        <f t="shared" si="85"/>
        <v>0</v>
      </c>
      <c r="CW82" s="73"/>
      <c r="CX82" s="73">
        <f t="shared" si="89"/>
        <v>7850.163808369459</v>
      </c>
      <c r="CY82" s="73"/>
      <c r="CZ82" s="73">
        <f t="shared" si="90"/>
        <v>3818.329873822509</v>
      </c>
      <c r="DA82" s="73"/>
      <c r="DB82" s="73">
        <f t="shared" si="91"/>
        <v>5190.774774692318</v>
      </c>
      <c r="DC82" s="73"/>
      <c r="DD82" s="73">
        <f t="shared" si="86"/>
        <v>9539.688720476102</v>
      </c>
      <c r="DE82" s="73"/>
      <c r="DF82" s="73"/>
      <c r="DG82" s="73"/>
      <c r="DH82" s="73"/>
      <c r="DI82" s="73"/>
      <c r="DJ82" s="73">
        <f t="shared" si="92"/>
        <v>756.0114287457659</v>
      </c>
      <c r="DK82" s="73"/>
      <c r="DL82" s="73">
        <f t="shared" si="93"/>
        <v>0</v>
      </c>
      <c r="DM82" s="73"/>
      <c r="DN82" s="73">
        <f t="shared" si="94"/>
        <v>0</v>
      </c>
      <c r="DO82" s="73"/>
      <c r="DP82" s="73">
        <f t="shared" si="87"/>
        <v>0</v>
      </c>
      <c r="DQ82" s="73"/>
      <c r="DR82" s="73"/>
      <c r="DS82" s="73"/>
      <c r="DT82" s="73"/>
      <c r="DU82" s="73"/>
      <c r="DV82" s="73">
        <f t="shared" si="96"/>
        <v>14560.132948327015</v>
      </c>
      <c r="DW82" s="73"/>
      <c r="DX82" s="73">
        <f t="shared" si="96"/>
        <v>7880.214136023057</v>
      </c>
      <c r="DY82" s="73"/>
      <c r="DZ82" s="73">
        <f t="shared" si="96"/>
        <v>10575.467753108964</v>
      </c>
      <c r="EA82" s="73"/>
      <c r="EB82" s="73">
        <f t="shared" si="96"/>
        <v>12582.087027049367</v>
      </c>
      <c r="EC82" s="73"/>
      <c r="ED82" s="73">
        <f t="shared" si="96"/>
        <v>15450.550351258553</v>
      </c>
      <c r="EE82" s="73"/>
      <c r="EF82" s="73">
        <f t="shared" si="96"/>
        <v>24344.653249167317</v>
      </c>
      <c r="EG82" s="73"/>
      <c r="EH82" s="73">
        <f t="shared" si="95"/>
        <v>14232.184244155711</v>
      </c>
    </row>
    <row r="83" spans="2:144" ht="12.75">
      <c r="B83" s="55" t="s">
        <v>110</v>
      </c>
      <c r="D83" s="55" t="s">
        <v>66</v>
      </c>
      <c r="E83" s="68"/>
      <c r="F83" s="73">
        <f t="shared" si="88"/>
        <v>26.592775548100093</v>
      </c>
      <c r="G83" s="75"/>
      <c r="H83" s="73">
        <f t="shared" si="88"/>
        <v>18.643414094084548</v>
      </c>
      <c r="I83" s="75"/>
      <c r="J83" s="73">
        <f t="shared" si="41"/>
        <v>24.81691297662549</v>
      </c>
      <c r="K83" s="75"/>
      <c r="L83" s="73">
        <f t="shared" si="42"/>
        <v>22.061235612588597</v>
      </c>
      <c r="M83" s="75"/>
      <c r="N83" s="73">
        <f t="shared" si="43"/>
        <v>20.469572979992797</v>
      </c>
      <c r="O83" s="75"/>
      <c r="P83" s="73">
        <f t="shared" si="44"/>
        <v>7.702532488453769</v>
      </c>
      <c r="Q83" s="78" t="s">
        <v>13</v>
      </c>
      <c r="R83" s="73">
        <f t="shared" si="45"/>
        <v>96.48706172319504</v>
      </c>
      <c r="S83" s="78" t="s">
        <v>13</v>
      </c>
      <c r="T83" s="73">
        <f t="shared" si="46"/>
        <v>82.24257848596162</v>
      </c>
      <c r="U83" s="78" t="s">
        <v>13</v>
      </c>
      <c r="V83" s="73">
        <f t="shared" si="47"/>
        <v>93.49627679565883</v>
      </c>
      <c r="W83" s="78" t="s">
        <v>13</v>
      </c>
      <c r="X83" s="73">
        <f t="shared" si="48"/>
        <v>83.11442254045008</v>
      </c>
      <c r="Y83" s="78" t="s">
        <v>13</v>
      </c>
      <c r="Z83" s="73">
        <f t="shared" si="49"/>
        <v>85.90857053779361</v>
      </c>
      <c r="AA83" s="78" t="s">
        <v>13</v>
      </c>
      <c r="AB83" s="73">
        <f t="shared" si="50"/>
        <v>94.17435948147251</v>
      </c>
      <c r="AC83" s="73"/>
      <c r="AD83" s="73">
        <f t="shared" si="51"/>
        <v>3.2358465821803213</v>
      </c>
      <c r="AE83" s="73"/>
      <c r="AF83" s="73">
        <f t="shared" si="52"/>
        <v>0</v>
      </c>
      <c r="AG83" s="73"/>
      <c r="AH83" s="73">
        <f t="shared" si="53"/>
        <v>0</v>
      </c>
      <c r="AI83" s="73"/>
      <c r="AJ83" s="73">
        <f t="shared" si="54"/>
        <v>0</v>
      </c>
      <c r="AK83" s="73"/>
      <c r="AL83" s="73">
        <f t="shared" si="55"/>
        <v>0</v>
      </c>
      <c r="AM83" s="73"/>
      <c r="AN83" s="73">
        <f t="shared" si="56"/>
        <v>0</v>
      </c>
      <c r="AO83" s="73"/>
      <c r="AP83" s="73">
        <f t="shared" si="57"/>
        <v>0.06471693164360641</v>
      </c>
      <c r="AQ83" s="73"/>
      <c r="AR83" s="73">
        <f t="shared" si="58"/>
        <v>0.05817802979714327</v>
      </c>
      <c r="AS83" s="73"/>
      <c r="AT83" s="73">
        <f t="shared" si="59"/>
        <v>0.06348512621927449</v>
      </c>
      <c r="AU83" s="73"/>
      <c r="AV83" s="73">
        <f t="shared" si="60"/>
        <v>0.056435719008947574</v>
      </c>
      <c r="AW83" s="73"/>
      <c r="AX83" s="73">
        <f t="shared" si="61"/>
        <v>0.058332979994798105</v>
      </c>
      <c r="AY83" s="73"/>
      <c r="AZ83" s="73">
        <f t="shared" si="62"/>
        <v>0.06394555273433317</v>
      </c>
      <c r="BA83" s="73"/>
      <c r="BB83" s="73">
        <f t="shared" si="63"/>
        <v>0</v>
      </c>
      <c r="BC83" s="73"/>
      <c r="BD83" s="73">
        <f t="shared" si="64"/>
        <v>0</v>
      </c>
      <c r="BE83" s="73"/>
      <c r="BF83" s="73">
        <f t="shared" si="65"/>
        <v>0</v>
      </c>
      <c r="BG83" s="73"/>
      <c r="BH83" s="73">
        <f t="shared" si="66"/>
        <v>0</v>
      </c>
      <c r="BI83" s="73"/>
      <c r="BJ83" s="73">
        <f t="shared" si="67"/>
        <v>0</v>
      </c>
      <c r="BK83" s="73"/>
      <c r="BL83" s="73">
        <f t="shared" si="68"/>
        <v>0</v>
      </c>
      <c r="BM83" s="73"/>
      <c r="BN83" s="73">
        <f t="shared" si="69"/>
        <v>0.06471693164360641</v>
      </c>
      <c r="BO83" s="73"/>
      <c r="BP83" s="73">
        <f t="shared" si="70"/>
        <v>0.05817802979714327</v>
      </c>
      <c r="BQ83" s="73"/>
      <c r="BR83" s="73">
        <f t="shared" si="71"/>
        <v>0.06348512621927449</v>
      </c>
      <c r="BS83" s="73"/>
      <c r="BT83" s="73">
        <f t="shared" si="72"/>
        <v>0.056435719008947574</v>
      </c>
      <c r="BU83" s="73"/>
      <c r="BV83" s="73">
        <f t="shared" si="73"/>
        <v>0.058332979994798105</v>
      </c>
      <c r="BW83" s="73"/>
      <c r="BX83" s="73">
        <f t="shared" si="74"/>
        <v>0.06394555273433317</v>
      </c>
      <c r="BY83" s="73"/>
      <c r="BZ83" s="73"/>
      <c r="CA83" s="73"/>
      <c r="CB83" s="73">
        <f t="shared" si="75"/>
        <v>0</v>
      </c>
      <c r="CC83" s="73"/>
      <c r="CD83" s="73">
        <f t="shared" si="76"/>
        <v>0</v>
      </c>
      <c r="CE83" s="73"/>
      <c r="CF83" s="73">
        <f t="shared" si="77"/>
        <v>0</v>
      </c>
      <c r="CG83" s="73"/>
      <c r="CH83" s="73">
        <f t="shared" si="78"/>
        <v>0</v>
      </c>
      <c r="CI83" s="73"/>
      <c r="CJ83" s="73">
        <f t="shared" si="79"/>
        <v>0</v>
      </c>
      <c r="CK83" s="73"/>
      <c r="CL83" s="73">
        <f t="shared" si="80"/>
        <v>0</v>
      </c>
      <c r="CM83" s="73"/>
      <c r="CN83" s="73">
        <f t="shared" si="81"/>
        <v>0</v>
      </c>
      <c r="CO83" s="73"/>
      <c r="CP83" s="73">
        <f t="shared" si="82"/>
        <v>0</v>
      </c>
      <c r="CQ83" s="73"/>
      <c r="CR83" s="73">
        <f t="shared" si="83"/>
        <v>0</v>
      </c>
      <c r="CS83" s="73"/>
      <c r="CT83" s="73">
        <f t="shared" si="84"/>
        <v>0</v>
      </c>
      <c r="CU83" s="73"/>
      <c r="CV83" s="73">
        <f t="shared" si="85"/>
        <v>0</v>
      </c>
      <c r="CW83" s="73"/>
      <c r="CX83" s="73">
        <f t="shared" si="89"/>
        <v>0.12943386328721282</v>
      </c>
      <c r="CY83" s="73"/>
      <c r="CZ83" s="73">
        <f t="shared" si="90"/>
        <v>0.11635605959428653</v>
      </c>
      <c r="DA83" s="73"/>
      <c r="DB83" s="73">
        <f t="shared" si="91"/>
        <v>0.12697025243854898</v>
      </c>
      <c r="DC83" s="73"/>
      <c r="DD83" s="73">
        <f t="shared" si="86"/>
        <v>0.11287143801789515</v>
      </c>
      <c r="DE83" s="73"/>
      <c r="DF83" s="73"/>
      <c r="DG83" s="73"/>
      <c r="DH83" s="73"/>
      <c r="DI83" s="73"/>
      <c r="DJ83" s="73">
        <f t="shared" si="92"/>
        <v>3.2358465821803213</v>
      </c>
      <c r="DK83" s="73"/>
      <c r="DL83" s="73">
        <f t="shared" si="93"/>
        <v>0</v>
      </c>
      <c r="DM83" s="73"/>
      <c r="DN83" s="73">
        <f t="shared" si="94"/>
        <v>0</v>
      </c>
      <c r="DO83" s="73"/>
      <c r="DP83" s="73">
        <f t="shared" si="87"/>
        <v>0</v>
      </c>
      <c r="DQ83" s="73"/>
      <c r="DR83" s="73"/>
      <c r="DS83" s="73"/>
      <c r="DT83" s="73"/>
      <c r="DU83" s="73"/>
      <c r="DV83" s="73">
        <f>CL83+BZ83+BN83+BB83+AP83+AD83+R83/2+F83</f>
        <v>78.20158685516515</v>
      </c>
      <c r="DW83" s="73"/>
      <c r="DX83" s="73">
        <f>CN83+CB83+BP83+BD83+AR83+AF83+T83/2+H83</f>
        <v>59.881059396659644</v>
      </c>
      <c r="DY83" s="73"/>
      <c r="DZ83" s="73">
        <f>CP83+CD83+BR83+BF83+AT83+AH83+V83/2+J83</f>
        <v>71.69202162689345</v>
      </c>
      <c r="EA83" s="73"/>
      <c r="EB83" s="73">
        <f>CR83+CF83+BT83+BH83+AV83+AJ83+X83/2+L83</f>
        <v>63.731318320831534</v>
      </c>
      <c r="EC83" s="73"/>
      <c r="ED83" s="73">
        <f>CT83+CH83+BV83+BJ83+AX83+AL83+Z83/2+N83</f>
        <v>63.5405242088792</v>
      </c>
      <c r="EE83" s="73"/>
      <c r="EF83" s="73">
        <f>CV83+CJ83+BX83+BL83+AZ83+AN83+AB83/2+P83</f>
        <v>54.917603334658686</v>
      </c>
      <c r="EG83" s="73"/>
      <c r="EH83" s="73">
        <f t="shared" si="95"/>
        <v>65.32735229051461</v>
      </c>
      <c r="EK83" s="57">
        <f>AVERAGE(AD83,AF83,AH83,AJ83,AL83,AN83)+AVERAGE(CL83,CN83,CP83,CR83,CT83,CV83)</f>
        <v>0.5393077636967202</v>
      </c>
      <c r="EL83" s="57">
        <f>AVERAGE(AP83,AR83,AT83,AV83,AX83,AZ83)+AVERAGE(BB83,BD83,BF83,BH83,BJ83,BL83)+AVERAGE(BN83,BP83,BR83,BT83,BV83,BX83)+AVERAGE(BZ83,CB83,CD83,CF83,CH83,CJ83)</f>
        <v>0.121698113132701</v>
      </c>
      <c r="EM83" s="57">
        <f>AVERAGE(F83,H83,J83,L83,N83,P83)+AVERAGE(R83,T83,V83,X83,Z83,AB83)/2</f>
        <v>64.66634641368519</v>
      </c>
      <c r="EN83" s="57">
        <f>SUM(EK83,EL83,EM83)</f>
        <v>65.32735229051461</v>
      </c>
    </row>
    <row r="84" spans="2:138" ht="12.75">
      <c r="B84" s="55" t="s">
        <v>104</v>
      </c>
      <c r="D84" s="55" t="s">
        <v>66</v>
      </c>
      <c r="E84" s="68"/>
      <c r="F84" s="73">
        <f t="shared" si="88"/>
        <v>806.0199668340074</v>
      </c>
      <c r="G84" s="75"/>
      <c r="H84" s="73">
        <f t="shared" si="88"/>
        <v>642.6027836684461</v>
      </c>
      <c r="I84" s="75"/>
      <c r="J84" s="73">
        <f t="shared" si="41"/>
        <v>709.8791386337059</v>
      </c>
      <c r="K84" s="75"/>
      <c r="L84" s="73">
        <f t="shared" si="42"/>
        <v>587.4445296840453</v>
      </c>
      <c r="M84" s="75"/>
      <c r="N84" s="73">
        <f t="shared" si="43"/>
        <v>702.64725902825</v>
      </c>
      <c r="O84" s="75" t="s">
        <v>13</v>
      </c>
      <c r="P84" s="73">
        <f t="shared" si="44"/>
        <v>3749.5346830586277</v>
      </c>
      <c r="Q84" s="78"/>
      <c r="R84" s="73">
        <f t="shared" si="45"/>
        <v>4824.353086159751</v>
      </c>
      <c r="S84" s="78"/>
      <c r="T84" s="73">
        <f t="shared" si="46"/>
        <v>4125.3512037974315</v>
      </c>
      <c r="U84" s="78"/>
      <c r="V84" s="73">
        <f t="shared" si="47"/>
        <v>7473.930768541861</v>
      </c>
      <c r="W84" s="78"/>
      <c r="X84" s="73">
        <f t="shared" si="48"/>
        <v>5823.140097741409</v>
      </c>
      <c r="Y84" s="78"/>
      <c r="Z84" s="73">
        <f t="shared" si="49"/>
        <v>5143.908235904925</v>
      </c>
      <c r="AA84" s="78" t="s">
        <v>13</v>
      </c>
      <c r="AB84" s="73">
        <f t="shared" si="50"/>
        <v>2450.2773161383125</v>
      </c>
      <c r="AC84" s="73"/>
      <c r="AD84" s="73">
        <f t="shared" si="51"/>
        <v>0</v>
      </c>
      <c r="AE84" s="73"/>
      <c r="AF84" s="73">
        <f t="shared" si="52"/>
        <v>0</v>
      </c>
      <c r="AG84" s="73"/>
      <c r="AH84" s="73">
        <f t="shared" si="53"/>
        <v>0</v>
      </c>
      <c r="AI84" s="73"/>
      <c r="AJ84" s="73">
        <f t="shared" si="54"/>
        <v>0</v>
      </c>
      <c r="AK84" s="73"/>
      <c r="AL84" s="73">
        <f t="shared" si="55"/>
        <v>0</v>
      </c>
      <c r="AM84" s="73"/>
      <c r="AN84" s="73">
        <f t="shared" si="56"/>
        <v>0</v>
      </c>
      <c r="AO84" s="73"/>
      <c r="AP84" s="73">
        <f t="shared" si="57"/>
        <v>44.12518066609529</v>
      </c>
      <c r="AQ84" s="73"/>
      <c r="AR84" s="73">
        <f t="shared" si="58"/>
        <v>28.824569308584618</v>
      </c>
      <c r="AS84" s="73"/>
      <c r="AT84" s="73">
        <f t="shared" si="59"/>
        <v>39.533919509275485</v>
      </c>
      <c r="AU84" s="73"/>
      <c r="AV84" s="73">
        <f t="shared" si="60"/>
        <v>30.27006746843552</v>
      </c>
      <c r="AW84" s="73"/>
      <c r="AX84" s="73">
        <f t="shared" si="61"/>
        <v>31.55283917900444</v>
      </c>
      <c r="AY84" s="73"/>
      <c r="AZ84" s="73">
        <f t="shared" si="62"/>
        <v>31.391453160490833</v>
      </c>
      <c r="BA84" s="73"/>
      <c r="BB84" s="73">
        <f t="shared" si="63"/>
        <v>0</v>
      </c>
      <c r="BC84" s="73"/>
      <c r="BD84" s="73">
        <f t="shared" si="64"/>
        <v>0</v>
      </c>
      <c r="BE84" s="73"/>
      <c r="BF84" s="73">
        <f t="shared" si="65"/>
        <v>0</v>
      </c>
      <c r="BG84" s="73"/>
      <c r="BH84" s="73">
        <f t="shared" si="66"/>
        <v>0</v>
      </c>
      <c r="BI84" s="73"/>
      <c r="BJ84" s="73">
        <f t="shared" si="67"/>
        <v>0</v>
      </c>
      <c r="BK84" s="73"/>
      <c r="BL84" s="73">
        <f t="shared" si="68"/>
        <v>0</v>
      </c>
      <c r="BM84" s="73"/>
      <c r="BN84" s="73">
        <f t="shared" si="69"/>
        <v>12.38446737361741</v>
      </c>
      <c r="BO84" s="73"/>
      <c r="BP84" s="73">
        <f t="shared" si="70"/>
        <v>11.476938605436446</v>
      </c>
      <c r="BQ84" s="73"/>
      <c r="BR84" s="73">
        <f t="shared" si="71"/>
        <v>13.620445261589802</v>
      </c>
      <c r="BS84" s="73"/>
      <c r="BT84" s="73">
        <f t="shared" si="72"/>
        <v>11.030617806294298</v>
      </c>
      <c r="BU84" s="73"/>
      <c r="BV84" s="73">
        <f t="shared" si="73"/>
        <v>11.215841153545274</v>
      </c>
      <c r="BW84" s="73"/>
      <c r="BX84" s="73">
        <f t="shared" si="74"/>
        <v>13.399499913876179</v>
      </c>
      <c r="BY84" s="73"/>
      <c r="BZ84" s="73"/>
      <c r="CA84" s="73"/>
      <c r="CB84" s="73">
        <f t="shared" si="75"/>
        <v>0</v>
      </c>
      <c r="CC84" s="73"/>
      <c r="CD84" s="73">
        <f t="shared" si="76"/>
        <v>0</v>
      </c>
      <c r="CE84" s="73"/>
      <c r="CF84" s="73">
        <f t="shared" si="77"/>
        <v>0</v>
      </c>
      <c r="CG84" s="73"/>
      <c r="CH84" s="73">
        <f t="shared" si="78"/>
        <v>0</v>
      </c>
      <c r="CI84" s="73"/>
      <c r="CJ84" s="73">
        <f t="shared" si="79"/>
        <v>0</v>
      </c>
      <c r="CK84" s="73"/>
      <c r="CL84" s="73">
        <f t="shared" si="80"/>
        <v>0</v>
      </c>
      <c r="CM84" s="73"/>
      <c r="CN84" s="73">
        <f t="shared" si="81"/>
        <v>0</v>
      </c>
      <c r="CO84" s="73"/>
      <c r="CP84" s="73">
        <f t="shared" si="82"/>
        <v>0</v>
      </c>
      <c r="CQ84" s="73"/>
      <c r="CR84" s="73">
        <f t="shared" si="83"/>
        <v>0</v>
      </c>
      <c r="CS84" s="73"/>
      <c r="CT84" s="73">
        <f t="shared" si="84"/>
        <v>0</v>
      </c>
      <c r="CU84" s="73"/>
      <c r="CV84" s="73">
        <f t="shared" si="85"/>
        <v>0</v>
      </c>
      <c r="CW84" s="73"/>
      <c r="CX84" s="73">
        <f t="shared" si="89"/>
        <v>56.5096480397127</v>
      </c>
      <c r="CY84" s="73"/>
      <c r="CZ84" s="73">
        <f t="shared" si="90"/>
        <v>40.301507914021066</v>
      </c>
      <c r="DA84" s="73"/>
      <c r="DB84" s="73">
        <f t="shared" si="91"/>
        <v>53.154364770865286</v>
      </c>
      <c r="DC84" s="73"/>
      <c r="DD84" s="73">
        <f t="shared" si="86"/>
        <v>41.300685274729815</v>
      </c>
      <c r="DE84" s="73"/>
      <c r="DF84" s="73"/>
      <c r="DG84" s="73"/>
      <c r="DH84" s="73"/>
      <c r="DI84" s="73"/>
      <c r="DJ84" s="73">
        <f t="shared" si="92"/>
        <v>0</v>
      </c>
      <c r="DK84" s="73"/>
      <c r="DL84" s="73">
        <f t="shared" si="93"/>
        <v>0</v>
      </c>
      <c r="DM84" s="73"/>
      <c r="DN84" s="73">
        <f t="shared" si="94"/>
        <v>0</v>
      </c>
      <c r="DO84" s="73"/>
      <c r="DP84" s="73">
        <f t="shared" si="87"/>
        <v>0</v>
      </c>
      <c r="DQ84" s="73"/>
      <c r="DR84" s="73"/>
      <c r="DS84" s="73"/>
      <c r="DT84" s="73"/>
      <c r="DU84" s="73"/>
      <c r="DV84" s="73">
        <f t="shared" si="96"/>
        <v>5686.882701033471</v>
      </c>
      <c r="DW84" s="73"/>
      <c r="DX84" s="73">
        <f t="shared" si="96"/>
        <v>4808.255495379899</v>
      </c>
      <c r="DY84" s="73"/>
      <c r="DZ84" s="73">
        <f t="shared" si="96"/>
        <v>8236.964271946432</v>
      </c>
      <c r="EA84" s="73"/>
      <c r="EB84" s="73">
        <f t="shared" si="96"/>
        <v>6451.885312700183</v>
      </c>
      <c r="EC84" s="73"/>
      <c r="ED84" s="73">
        <f t="shared" si="96"/>
        <v>5889.324175265725</v>
      </c>
      <c r="EE84" s="73"/>
      <c r="EF84" s="73">
        <f t="shared" si="96"/>
        <v>6244.602952271307</v>
      </c>
      <c r="EG84" s="73"/>
      <c r="EH84" s="73">
        <f t="shared" si="95"/>
        <v>6219.6524847661685</v>
      </c>
    </row>
    <row r="85" spans="2:138" ht="12.75">
      <c r="B85" s="55" t="s">
        <v>106</v>
      </c>
      <c r="D85" s="55" t="s">
        <v>66</v>
      </c>
      <c r="E85" s="68" t="s">
        <v>13</v>
      </c>
      <c r="F85" s="73">
        <f t="shared" si="88"/>
        <v>42.94850918166608</v>
      </c>
      <c r="G85" s="75" t="s">
        <v>13</v>
      </c>
      <c r="H85" s="73">
        <f t="shared" si="88"/>
        <v>26.233002526711875</v>
      </c>
      <c r="I85" s="75" t="s">
        <v>13</v>
      </c>
      <c r="J85" s="73">
        <f t="shared" si="41"/>
        <v>42.131038309154896</v>
      </c>
      <c r="K85" s="75" t="s">
        <v>13</v>
      </c>
      <c r="L85" s="73">
        <f t="shared" si="42"/>
        <v>29.500489481949874</v>
      </c>
      <c r="M85" s="75" t="s">
        <v>13</v>
      </c>
      <c r="N85" s="73">
        <f t="shared" si="43"/>
        <v>33.40888854247528</v>
      </c>
      <c r="O85" s="75" t="s">
        <v>13</v>
      </c>
      <c r="P85" s="73">
        <f t="shared" si="44"/>
        <v>1496.9072571900724</v>
      </c>
      <c r="Q85" s="78" t="s">
        <v>13</v>
      </c>
      <c r="R85" s="73">
        <f t="shared" si="45"/>
        <v>964.8706172319503</v>
      </c>
      <c r="S85" s="78"/>
      <c r="T85" s="73">
        <f t="shared" si="46"/>
        <v>825.0702407594864</v>
      </c>
      <c r="U85" s="78" t="s">
        <v>13</v>
      </c>
      <c r="V85" s="73">
        <f t="shared" si="47"/>
        <v>934.9627679565883</v>
      </c>
      <c r="W85" s="78" t="s">
        <v>13</v>
      </c>
      <c r="X85" s="73">
        <f t="shared" si="48"/>
        <v>831.1442254045007</v>
      </c>
      <c r="Y85" s="78" t="s">
        <v>13</v>
      </c>
      <c r="Z85" s="73">
        <f t="shared" si="49"/>
        <v>859.085705377936</v>
      </c>
      <c r="AA85" s="78" t="s">
        <v>13</v>
      </c>
      <c r="AB85" s="73">
        <f t="shared" si="50"/>
        <v>94.17435948147251</v>
      </c>
      <c r="AC85" s="73"/>
      <c r="AD85" s="73">
        <f t="shared" si="51"/>
        <v>16.208649698012337</v>
      </c>
      <c r="AE85" s="73"/>
      <c r="AF85" s="73">
        <f t="shared" si="52"/>
        <v>0</v>
      </c>
      <c r="AG85" s="73"/>
      <c r="AH85" s="73">
        <f t="shared" si="53"/>
        <v>0</v>
      </c>
      <c r="AI85" s="73"/>
      <c r="AJ85" s="73">
        <f t="shared" si="54"/>
        <v>0</v>
      </c>
      <c r="AK85" s="73"/>
      <c r="AL85" s="73">
        <f t="shared" si="55"/>
        <v>0</v>
      </c>
      <c r="AM85" s="73"/>
      <c r="AN85" s="73">
        <f t="shared" si="56"/>
        <v>0</v>
      </c>
      <c r="AO85" s="73"/>
      <c r="AP85" s="73">
        <f t="shared" si="57"/>
        <v>0</v>
      </c>
      <c r="AQ85" s="73"/>
      <c r="AR85" s="73">
        <f t="shared" si="58"/>
        <v>0</v>
      </c>
      <c r="AS85" s="73"/>
      <c r="AT85" s="73">
        <f t="shared" si="59"/>
        <v>0</v>
      </c>
      <c r="AU85" s="73"/>
      <c r="AV85" s="73">
        <f t="shared" si="60"/>
        <v>0</v>
      </c>
      <c r="AW85" s="73"/>
      <c r="AX85" s="73">
        <f t="shared" si="61"/>
        <v>0</v>
      </c>
      <c r="AY85" s="73"/>
      <c r="AZ85" s="73">
        <f t="shared" si="62"/>
        <v>0</v>
      </c>
      <c r="BA85" s="73"/>
      <c r="BB85" s="73">
        <f t="shared" si="63"/>
        <v>0</v>
      </c>
      <c r="BC85" s="73"/>
      <c r="BD85" s="73">
        <f t="shared" si="64"/>
        <v>0</v>
      </c>
      <c r="BE85" s="73"/>
      <c r="BF85" s="73">
        <f t="shared" si="65"/>
        <v>0</v>
      </c>
      <c r="BG85" s="73"/>
      <c r="BH85" s="73">
        <f t="shared" si="66"/>
        <v>0</v>
      </c>
      <c r="BI85" s="73"/>
      <c r="BJ85" s="73">
        <f t="shared" si="67"/>
        <v>0</v>
      </c>
      <c r="BK85" s="73"/>
      <c r="BL85" s="73">
        <f t="shared" si="68"/>
        <v>0</v>
      </c>
      <c r="BM85" s="73"/>
      <c r="BN85" s="73">
        <f t="shared" si="69"/>
        <v>0</v>
      </c>
      <c r="BO85" s="73"/>
      <c r="BP85" s="73">
        <f t="shared" si="70"/>
        <v>0</v>
      </c>
      <c r="BQ85" s="73"/>
      <c r="BR85" s="73">
        <f t="shared" si="71"/>
        <v>0</v>
      </c>
      <c r="BS85" s="73"/>
      <c r="BT85" s="73">
        <f t="shared" si="72"/>
        <v>0</v>
      </c>
      <c r="BU85" s="73"/>
      <c r="BV85" s="73">
        <f t="shared" si="73"/>
        <v>0</v>
      </c>
      <c r="BW85" s="73"/>
      <c r="BX85" s="73">
        <f t="shared" si="74"/>
        <v>0</v>
      </c>
      <c r="BY85" s="73"/>
      <c r="BZ85" s="73"/>
      <c r="CA85" s="73"/>
      <c r="CB85" s="73">
        <f t="shared" si="75"/>
        <v>0</v>
      </c>
      <c r="CC85" s="73"/>
      <c r="CD85" s="73">
        <f t="shared" si="76"/>
        <v>0</v>
      </c>
      <c r="CE85" s="73"/>
      <c r="CF85" s="73">
        <f t="shared" si="77"/>
        <v>0</v>
      </c>
      <c r="CG85" s="73"/>
      <c r="CH85" s="73">
        <f t="shared" si="78"/>
        <v>0</v>
      </c>
      <c r="CI85" s="73"/>
      <c r="CJ85" s="73">
        <f t="shared" si="79"/>
        <v>0</v>
      </c>
      <c r="CK85" s="73"/>
      <c r="CL85" s="73">
        <f t="shared" si="80"/>
        <v>0</v>
      </c>
      <c r="CM85" s="73"/>
      <c r="CN85" s="73">
        <f t="shared" si="81"/>
        <v>0</v>
      </c>
      <c r="CO85" s="73"/>
      <c r="CP85" s="73">
        <f t="shared" si="82"/>
        <v>0</v>
      </c>
      <c r="CQ85" s="73"/>
      <c r="CR85" s="73">
        <f t="shared" si="83"/>
        <v>0</v>
      </c>
      <c r="CS85" s="73"/>
      <c r="CT85" s="73">
        <f t="shared" si="84"/>
        <v>0</v>
      </c>
      <c r="CU85" s="73"/>
      <c r="CV85" s="73">
        <f t="shared" si="85"/>
        <v>0</v>
      </c>
      <c r="CW85" s="73"/>
      <c r="CX85" s="73">
        <f t="shared" si="89"/>
        <v>0</v>
      </c>
      <c r="CY85" s="73"/>
      <c r="CZ85" s="73">
        <f t="shared" si="90"/>
        <v>0</v>
      </c>
      <c r="DA85" s="73"/>
      <c r="DB85" s="73">
        <f t="shared" si="91"/>
        <v>0</v>
      </c>
      <c r="DC85" s="73"/>
      <c r="DD85" s="73">
        <f t="shared" si="86"/>
        <v>0</v>
      </c>
      <c r="DE85" s="73"/>
      <c r="DF85" s="73"/>
      <c r="DG85" s="73"/>
      <c r="DH85" s="73"/>
      <c r="DI85" s="73"/>
      <c r="DJ85" s="73">
        <f t="shared" si="92"/>
        <v>16.208649698012337</v>
      </c>
      <c r="DK85" s="73"/>
      <c r="DL85" s="73">
        <f t="shared" si="93"/>
        <v>0</v>
      </c>
      <c r="DM85" s="73"/>
      <c r="DN85" s="73">
        <f t="shared" si="94"/>
        <v>0</v>
      </c>
      <c r="DO85" s="73"/>
      <c r="DP85" s="73">
        <f t="shared" si="87"/>
        <v>0</v>
      </c>
      <c r="DQ85" s="73"/>
      <c r="DR85" s="73"/>
      <c r="DS85" s="73"/>
      <c r="DT85" s="73"/>
      <c r="DU85" s="73"/>
      <c r="DV85" s="73">
        <f t="shared" si="96"/>
        <v>1024.0277761116288</v>
      </c>
      <c r="DW85" s="73"/>
      <c r="DX85" s="73">
        <f t="shared" si="96"/>
        <v>851.3032432861983</v>
      </c>
      <c r="DY85" s="73"/>
      <c r="DZ85" s="73">
        <f t="shared" si="96"/>
        <v>977.0938062657432</v>
      </c>
      <c r="EA85" s="73"/>
      <c r="EB85" s="73">
        <f t="shared" si="96"/>
        <v>860.6447148864506</v>
      </c>
      <c r="EC85" s="73"/>
      <c r="ED85" s="73">
        <f t="shared" si="96"/>
        <v>892.4945939204114</v>
      </c>
      <c r="EE85" s="73"/>
      <c r="EF85" s="73">
        <f t="shared" si="96"/>
        <v>1591.081616671545</v>
      </c>
      <c r="EG85" s="73"/>
      <c r="EH85" s="73">
        <f t="shared" si="95"/>
        <v>1032.7742918569963</v>
      </c>
    </row>
    <row r="86" spans="2:138" ht="12.75">
      <c r="B86" s="55" t="s">
        <v>101</v>
      </c>
      <c r="D86" s="55" t="s">
        <v>66</v>
      </c>
      <c r="E86" s="68" t="s">
        <v>13</v>
      </c>
      <c r="F86" s="73">
        <f t="shared" si="88"/>
        <v>37.653487501734645</v>
      </c>
      <c r="G86" s="75" t="s">
        <v>13</v>
      </c>
      <c r="H86" s="73">
        <f t="shared" si="88"/>
        <v>30.411242848506717</v>
      </c>
      <c r="I86" s="75" t="s">
        <v>13</v>
      </c>
      <c r="J86" s="73">
        <f t="shared" si="41"/>
        <v>37.51393822048039</v>
      </c>
      <c r="K86" s="75" t="s">
        <v>13</v>
      </c>
      <c r="L86" s="73">
        <f t="shared" si="42"/>
        <v>29.500489481949874</v>
      </c>
      <c r="M86" s="75" t="s">
        <v>13</v>
      </c>
      <c r="N86" s="73">
        <f t="shared" si="43"/>
        <v>29.166489997399058</v>
      </c>
      <c r="O86" s="75" t="s">
        <v>13</v>
      </c>
      <c r="P86" s="73">
        <f t="shared" si="44"/>
        <v>18.573276453290408</v>
      </c>
      <c r="Q86" s="78" t="s">
        <v>13</v>
      </c>
      <c r="R86" s="73">
        <f t="shared" si="45"/>
        <v>964.8706172319503</v>
      </c>
      <c r="S86" s="78" t="s">
        <v>13</v>
      </c>
      <c r="T86" s="73">
        <f t="shared" si="46"/>
        <v>825.0702407594864</v>
      </c>
      <c r="U86" s="78" t="s">
        <v>13</v>
      </c>
      <c r="V86" s="73">
        <f t="shared" si="47"/>
        <v>934.9627679565883</v>
      </c>
      <c r="W86" s="78" t="s">
        <v>13</v>
      </c>
      <c r="X86" s="73">
        <f t="shared" si="48"/>
        <v>831.1442254045007</v>
      </c>
      <c r="Y86" s="78" t="s">
        <v>13</v>
      </c>
      <c r="Z86" s="73">
        <f t="shared" si="49"/>
        <v>859.085705377936</v>
      </c>
      <c r="AA86" s="78" t="s">
        <v>13</v>
      </c>
      <c r="AB86" s="73">
        <f t="shared" si="50"/>
        <v>282.52307844441754</v>
      </c>
      <c r="AC86" s="73"/>
      <c r="AD86" s="73">
        <f t="shared" si="51"/>
        <v>0</v>
      </c>
      <c r="AE86" s="73"/>
      <c r="AF86" s="73">
        <f t="shared" si="52"/>
        <v>0</v>
      </c>
      <c r="AG86" s="73"/>
      <c r="AH86" s="73">
        <f t="shared" si="53"/>
        <v>0</v>
      </c>
      <c r="AI86" s="73"/>
      <c r="AJ86" s="73">
        <f t="shared" si="54"/>
        <v>0</v>
      </c>
      <c r="AK86" s="73"/>
      <c r="AL86" s="73">
        <f t="shared" si="55"/>
        <v>0</v>
      </c>
      <c r="AM86" s="73"/>
      <c r="AN86" s="73">
        <f t="shared" si="56"/>
        <v>0</v>
      </c>
      <c r="AO86" s="73"/>
      <c r="AP86" s="73">
        <f t="shared" si="57"/>
        <v>0</v>
      </c>
      <c r="AQ86" s="73"/>
      <c r="AR86" s="73">
        <f t="shared" si="58"/>
        <v>0</v>
      </c>
      <c r="AS86" s="73"/>
      <c r="AT86" s="73">
        <f t="shared" si="59"/>
        <v>0</v>
      </c>
      <c r="AU86" s="73"/>
      <c r="AV86" s="73">
        <f t="shared" si="60"/>
        <v>0</v>
      </c>
      <c r="AW86" s="73"/>
      <c r="AX86" s="73">
        <f t="shared" si="61"/>
        <v>0</v>
      </c>
      <c r="AY86" s="73"/>
      <c r="AZ86" s="73">
        <f t="shared" si="62"/>
        <v>0</v>
      </c>
      <c r="BA86" s="73"/>
      <c r="BB86" s="73">
        <f t="shared" si="63"/>
        <v>0</v>
      </c>
      <c r="BC86" s="73"/>
      <c r="BD86" s="73">
        <f t="shared" si="64"/>
        <v>0</v>
      </c>
      <c r="BE86" s="73"/>
      <c r="BF86" s="73">
        <f t="shared" si="65"/>
        <v>0</v>
      </c>
      <c r="BG86" s="73"/>
      <c r="BH86" s="73">
        <f t="shared" si="66"/>
        <v>0</v>
      </c>
      <c r="BI86" s="73"/>
      <c r="BJ86" s="73">
        <f t="shared" si="67"/>
        <v>0</v>
      </c>
      <c r="BK86" s="73"/>
      <c r="BL86" s="73">
        <f t="shared" si="68"/>
        <v>0</v>
      </c>
      <c r="BM86" s="73"/>
      <c r="BN86" s="73">
        <f t="shared" si="69"/>
        <v>0</v>
      </c>
      <c r="BO86" s="73"/>
      <c r="BP86" s="73">
        <f t="shared" si="70"/>
        <v>0</v>
      </c>
      <c r="BQ86" s="73"/>
      <c r="BR86" s="73">
        <f t="shared" si="71"/>
        <v>0</v>
      </c>
      <c r="BS86" s="73"/>
      <c r="BT86" s="73">
        <f t="shared" si="72"/>
        <v>0</v>
      </c>
      <c r="BU86" s="73"/>
      <c r="BV86" s="73">
        <f t="shared" si="73"/>
        <v>0</v>
      </c>
      <c r="BW86" s="73"/>
      <c r="BX86" s="73">
        <f t="shared" si="74"/>
        <v>0</v>
      </c>
      <c r="BY86" s="73"/>
      <c r="BZ86" s="73"/>
      <c r="CA86" s="73"/>
      <c r="CB86" s="73">
        <f t="shared" si="75"/>
        <v>0</v>
      </c>
      <c r="CC86" s="73"/>
      <c r="CD86" s="73">
        <f t="shared" si="76"/>
        <v>0</v>
      </c>
      <c r="CE86" s="73"/>
      <c r="CF86" s="73">
        <f t="shared" si="77"/>
        <v>0</v>
      </c>
      <c r="CG86" s="73"/>
      <c r="CH86" s="73">
        <f t="shared" si="78"/>
        <v>0</v>
      </c>
      <c r="CI86" s="73"/>
      <c r="CJ86" s="73">
        <f t="shared" si="79"/>
        <v>0</v>
      </c>
      <c r="CK86" s="73"/>
      <c r="CL86" s="73">
        <f t="shared" si="80"/>
        <v>0</v>
      </c>
      <c r="CM86" s="73"/>
      <c r="CN86" s="73">
        <f t="shared" si="81"/>
        <v>0</v>
      </c>
      <c r="CO86" s="73"/>
      <c r="CP86" s="73">
        <f t="shared" si="82"/>
        <v>0</v>
      </c>
      <c r="CQ86" s="73"/>
      <c r="CR86" s="73">
        <f t="shared" si="83"/>
        <v>0</v>
      </c>
      <c r="CS86" s="73"/>
      <c r="CT86" s="73">
        <f t="shared" si="84"/>
        <v>0</v>
      </c>
      <c r="CU86" s="73"/>
      <c r="CV86" s="73">
        <f t="shared" si="85"/>
        <v>0</v>
      </c>
      <c r="CW86" s="73"/>
      <c r="CX86" s="73">
        <f t="shared" si="89"/>
        <v>0</v>
      </c>
      <c r="CY86" s="73"/>
      <c r="CZ86" s="73">
        <f t="shared" si="90"/>
        <v>0</v>
      </c>
      <c r="DA86" s="73"/>
      <c r="DB86" s="73">
        <f t="shared" si="91"/>
        <v>0</v>
      </c>
      <c r="DC86" s="73"/>
      <c r="DD86" s="73">
        <f t="shared" si="86"/>
        <v>0</v>
      </c>
      <c r="DE86" s="73"/>
      <c r="DF86" s="73"/>
      <c r="DG86" s="73"/>
      <c r="DH86" s="73"/>
      <c r="DI86" s="73"/>
      <c r="DJ86" s="73">
        <f t="shared" si="92"/>
        <v>0</v>
      </c>
      <c r="DK86" s="73"/>
      <c r="DL86" s="73">
        <f t="shared" si="93"/>
        <v>0</v>
      </c>
      <c r="DM86" s="73"/>
      <c r="DN86" s="73">
        <f t="shared" si="94"/>
        <v>0</v>
      </c>
      <c r="DO86" s="73"/>
      <c r="DP86" s="73">
        <f t="shared" si="87"/>
        <v>0</v>
      </c>
      <c r="DQ86" s="73"/>
      <c r="DR86" s="73"/>
      <c r="DS86" s="73"/>
      <c r="DT86" s="73"/>
      <c r="DU86" s="73"/>
      <c r="DV86" s="73">
        <f t="shared" si="96"/>
        <v>1002.5241047336849</v>
      </c>
      <c r="DW86" s="73"/>
      <c r="DX86" s="73">
        <f t="shared" si="96"/>
        <v>855.4814836079931</v>
      </c>
      <c r="DY86" s="73"/>
      <c r="DZ86" s="73">
        <f t="shared" si="96"/>
        <v>972.4767061770688</v>
      </c>
      <c r="EA86" s="73"/>
      <c r="EB86" s="73">
        <f t="shared" si="96"/>
        <v>860.6447148864506</v>
      </c>
      <c r="EC86" s="73"/>
      <c r="ED86" s="73">
        <f t="shared" si="96"/>
        <v>888.2521953753351</v>
      </c>
      <c r="EE86" s="73"/>
      <c r="EF86" s="73">
        <f t="shared" si="96"/>
        <v>301.09635489770795</v>
      </c>
      <c r="EG86" s="73"/>
      <c r="EH86" s="73">
        <f t="shared" si="95"/>
        <v>813.4125932797068</v>
      </c>
    </row>
    <row r="87" spans="2:144" ht="12.75">
      <c r="B87" s="55" t="s">
        <v>75</v>
      </c>
      <c r="D87" s="55" t="s">
        <v>66</v>
      </c>
      <c r="F87" s="73">
        <f>F82+F79</f>
        <v>1258.744320468145</v>
      </c>
      <c r="G87" s="75"/>
      <c r="H87" s="73">
        <f>H82+H79</f>
        <v>812.9057436200837</v>
      </c>
      <c r="I87" s="75"/>
      <c r="J87" s="73">
        <f>J82+J79</f>
        <v>789.5241151633412</v>
      </c>
      <c r="K87" s="75"/>
      <c r="L87" s="73">
        <f>L82+L79</f>
        <v>600.5273554543013</v>
      </c>
      <c r="M87" s="75"/>
      <c r="N87" s="73">
        <f>N82+N79</f>
        <v>724.9198513899004</v>
      </c>
      <c r="O87" s="75"/>
      <c r="P87" s="73">
        <f>P82+P79</f>
        <v>9004.696471407462</v>
      </c>
      <c r="Q87" s="78"/>
      <c r="R87" s="73">
        <f>R82/2+R79</f>
        <v>2894.6118516958504</v>
      </c>
      <c r="S87" s="78"/>
      <c r="T87" s="73">
        <f>T82/2+T79</f>
        <v>2065.3200577985863</v>
      </c>
      <c r="U87" s="78"/>
      <c r="V87" s="73">
        <f>V82/2+V79</f>
        <v>2804.8883038697645</v>
      </c>
      <c r="W87" s="78"/>
      <c r="X87" s="73">
        <f>X82/2+X79</f>
        <v>1662.2884508090015</v>
      </c>
      <c r="Y87" s="78"/>
      <c r="Z87" s="73">
        <f>Z82/2+Z79</f>
        <v>2153.0172616261857</v>
      </c>
      <c r="AA87" s="78"/>
      <c r="AB87" s="73">
        <f>AB82/2+AB79</f>
        <v>6205.625231263697</v>
      </c>
      <c r="AC87" s="73"/>
      <c r="AD87" s="73">
        <f>AD82+AD79</f>
        <v>780.0155270281217</v>
      </c>
      <c r="AE87" s="73"/>
      <c r="AF87" s="73">
        <f>AF82+AF79</f>
        <v>0</v>
      </c>
      <c r="AG87" s="73"/>
      <c r="AH87" s="73">
        <f>AH82+AH79</f>
        <v>0</v>
      </c>
      <c r="AI87" s="73"/>
      <c r="AJ87" s="73">
        <f>AJ82+AJ79</f>
        <v>0</v>
      </c>
      <c r="AK87" s="73"/>
      <c r="AL87" s="73">
        <f>AL82+AL79</f>
        <v>1058.3723770328918</v>
      </c>
      <c r="AM87" s="73"/>
      <c r="AN87" s="73">
        <f>AN82+AN79</f>
        <v>0</v>
      </c>
      <c r="AO87" s="73"/>
      <c r="AP87" s="73">
        <f>AP82+AP79</f>
        <v>206.50584551732592</v>
      </c>
      <c r="AQ87" s="73"/>
      <c r="AR87" s="73">
        <f>AR82+AR79</f>
        <v>262.33002526711874</v>
      </c>
      <c r="AS87" s="73"/>
      <c r="AT87" s="73">
        <f>AT82+AT79</f>
        <v>374.56224469371955</v>
      </c>
      <c r="AU87" s="73"/>
      <c r="AV87" s="73">
        <f>AV82+AV79</f>
        <v>145.19371345029236</v>
      </c>
      <c r="AW87" s="73"/>
      <c r="AX87" s="73">
        <f>AX82+AX79</f>
        <v>200.45333125485172</v>
      </c>
      <c r="AY87" s="73"/>
      <c r="AZ87" s="73">
        <f>AZ82+AZ79</f>
        <v>315.07717801825993</v>
      </c>
      <c r="BA87" s="73"/>
      <c r="BB87" s="73">
        <f>BB82+BB79</f>
        <v>7517.960031527982</v>
      </c>
      <c r="BC87" s="73"/>
      <c r="BD87" s="73">
        <f>BD82+BD79</f>
        <v>3501.2596114280777</v>
      </c>
      <c r="BE87" s="73"/>
      <c r="BF87" s="73">
        <f>BF82+BF79</f>
        <v>4770.9072353784795</v>
      </c>
      <c r="BG87" s="73"/>
      <c r="BH87" s="73">
        <f>BH82+BH79</f>
        <v>9303.684804620505</v>
      </c>
      <c r="BI87" s="73"/>
      <c r="BJ87" s="73">
        <f>BJ82+BJ79</f>
        <v>10015.772665106837</v>
      </c>
      <c r="BK87" s="73"/>
      <c r="BL87" s="73">
        <f>BL82+BL79</f>
        <v>10424.869065316336</v>
      </c>
      <c r="BM87" s="73"/>
      <c r="BN87" s="73">
        <f>BN82+BN79</f>
        <v>7446.2713213391335</v>
      </c>
      <c r="BO87" s="73"/>
      <c r="BP87" s="73">
        <f>BP82+BP79</f>
        <v>6910.75660313066</v>
      </c>
      <c r="BQ87" s="73"/>
      <c r="BR87" s="73">
        <f>BR82+BR79</f>
        <v>8195.064088641711</v>
      </c>
      <c r="BS87" s="73"/>
      <c r="BT87" s="73">
        <f>BT82+BT79</f>
        <v>6599.1312341144385</v>
      </c>
      <c r="BU87" s="73"/>
      <c r="BV87" s="73">
        <f>BV82+BV79</f>
        <v>6739.050088853588</v>
      </c>
      <c r="BW87" s="73"/>
      <c r="BX87" s="73">
        <f>BX82+BX79</f>
        <v>8044.93185718579</v>
      </c>
      <c r="BY87" s="73"/>
      <c r="BZ87" s="73"/>
      <c r="CA87" s="73"/>
      <c r="CB87" s="73">
        <f>CB82+CB79</f>
        <v>0</v>
      </c>
      <c r="CC87" s="73"/>
      <c r="CD87" s="73">
        <f>CD82+CD79</f>
        <v>0</v>
      </c>
      <c r="CE87" s="73"/>
      <c r="CF87" s="73">
        <f>CF82+CF79</f>
        <v>0</v>
      </c>
      <c r="CG87" s="73"/>
      <c r="CH87" s="73">
        <f>CH82+CH79</f>
        <v>0</v>
      </c>
      <c r="CI87" s="73"/>
      <c r="CJ87" s="73">
        <f>CJ82+CJ79</f>
        <v>0</v>
      </c>
      <c r="CK87" s="73"/>
      <c r="CL87" s="73">
        <f>CL82+CL79</f>
        <v>0</v>
      </c>
      <c r="CM87" s="73"/>
      <c r="CN87" s="73">
        <f>CN82+CN79</f>
        <v>0</v>
      </c>
      <c r="CO87" s="73"/>
      <c r="CP87" s="73">
        <f>CP82+CP79</f>
        <v>0</v>
      </c>
      <c r="CQ87" s="73"/>
      <c r="CR87" s="73">
        <f>CR82+CR79</f>
        <v>0</v>
      </c>
      <c r="CS87" s="73"/>
      <c r="CT87" s="73">
        <f>CT82+CT79</f>
        <v>0</v>
      </c>
      <c r="CU87" s="73"/>
      <c r="CV87" s="73">
        <f>CV82+CV79</f>
        <v>0</v>
      </c>
      <c r="CW87" s="73"/>
      <c r="CX87" s="73">
        <f t="shared" si="89"/>
        <v>15170.73719838444</v>
      </c>
      <c r="CY87" s="73"/>
      <c r="CZ87" s="73">
        <f t="shared" si="90"/>
        <v>10674.346239825856</v>
      </c>
      <c r="DA87" s="73"/>
      <c r="DB87" s="73">
        <f t="shared" si="91"/>
        <v>13340.53356871391</v>
      </c>
      <c r="DC87" s="73"/>
      <c r="DD87" s="73">
        <f t="shared" si="86"/>
        <v>16048.009752185237</v>
      </c>
      <c r="DE87" s="73"/>
      <c r="DF87" s="73">
        <f>SUM(CT87,CH87,BV87,BJ87,AX87)</f>
        <v>16955.27608521528</v>
      </c>
      <c r="DG87" s="73"/>
      <c r="DH87" s="73">
        <f>SUM(CV87,CJ87,BX87,BL87,AZ87)</f>
        <v>18784.878100520385</v>
      </c>
      <c r="DI87" s="73"/>
      <c r="DJ87" s="73">
        <f t="shared" si="92"/>
        <v>780.0155270281217</v>
      </c>
      <c r="DK87" s="73"/>
      <c r="DL87" s="73">
        <f t="shared" si="93"/>
        <v>0</v>
      </c>
      <c r="DM87" s="73"/>
      <c r="DN87" s="73">
        <f t="shared" si="94"/>
        <v>0</v>
      </c>
      <c r="DO87" s="73"/>
      <c r="DP87" s="73">
        <f t="shared" si="87"/>
        <v>0</v>
      </c>
      <c r="DQ87" s="73"/>
      <c r="DR87" s="73">
        <f>SUM(CT87,AL87)</f>
        <v>1058.3723770328918</v>
      </c>
      <c r="DS87" s="73"/>
      <c r="DT87" s="73">
        <f>SUM(CV87,AN87)</f>
        <v>0</v>
      </c>
      <c r="DU87" s="73"/>
      <c r="DV87" s="73">
        <f t="shared" si="96"/>
        <v>20104.108897576556</v>
      </c>
      <c r="DW87" s="73"/>
      <c r="DX87" s="73">
        <f t="shared" si="96"/>
        <v>13552.572041244526</v>
      </c>
      <c r="DY87" s="73"/>
      <c r="DZ87" s="73">
        <f t="shared" si="96"/>
        <v>16934.945987747014</v>
      </c>
      <c r="EA87" s="73"/>
      <c r="EB87" s="73">
        <f t="shared" si="96"/>
        <v>18310.82555844854</v>
      </c>
      <c r="EC87" s="73"/>
      <c r="ED87" s="73">
        <f t="shared" si="96"/>
        <v>20891.585575264253</v>
      </c>
      <c r="EE87" s="73"/>
      <c r="EF87" s="73">
        <f t="shared" si="96"/>
        <v>33995.19980319154</v>
      </c>
      <c r="EG87" s="73"/>
      <c r="EH87" s="73">
        <f t="shared" si="95"/>
        <v>20631.53964391207</v>
      </c>
      <c r="EK87" s="57">
        <f>AVERAGE(AD87,AF87,AH87,AJ87,AL87,AN87)+AVERAGE(CL87,CN87,CP87,CR87,CT87,CV87)</f>
        <v>306.39798401016895</v>
      </c>
      <c r="EL87" s="57">
        <f>AVERAGE(AP87,AR87,AT87,AV87,AX87,AZ87)+AVERAGE(BB87,BD87,BF87,BH87,BJ87,BL87)+AVERAGE(BN87,BP87,BR87,BT87,BV87,BX87)+AVERAGE(BZ87,CB87,CD87,CF87,CH87,CJ87)</f>
        <v>15162.29682414085</v>
      </c>
      <c r="EM87" s="57">
        <f>AVERAGE(F87,H87,J87,L87,N87,P87)+AVERAGE(R87,T87,V87,X87,Z87,AB87)</f>
        <v>5162.844835761053</v>
      </c>
      <c r="EN87" s="57">
        <f>SUM(EK87,EL87,EM87)</f>
        <v>20631.539643912074</v>
      </c>
    </row>
    <row r="88" spans="2:144" ht="12.75">
      <c r="B88" s="55" t="s">
        <v>76</v>
      </c>
      <c r="D88" s="55" t="s">
        <v>66</v>
      </c>
      <c r="F88" s="73">
        <f>F76+F78+F80</f>
        <v>2194.786486331579</v>
      </c>
      <c r="G88" s="75"/>
      <c r="H88" s="73">
        <f>H76+H78+H80</f>
        <v>1656.4871756786613</v>
      </c>
      <c r="I88" s="75"/>
      <c r="J88" s="73">
        <f>J76+J78+J80</f>
        <v>1795.186228227758</v>
      </c>
      <c r="K88" s="75"/>
      <c r="L88" s="73">
        <f>L76+L78+L80</f>
        <v>1109.218404521315</v>
      </c>
      <c r="M88" s="75"/>
      <c r="N88" s="73">
        <f>N76+N78+N80</f>
        <v>1614.762946219639</v>
      </c>
      <c r="O88" s="75"/>
      <c r="P88" s="73">
        <f>P76+P78+P80</f>
        <v>9713.910783551884</v>
      </c>
      <c r="Q88" s="78"/>
      <c r="R88" s="73">
        <f>R76/2+R78/2+R80</f>
        <v>5548.006049083714</v>
      </c>
      <c r="S88" s="78"/>
      <c r="T88" s="73">
        <f>T76/2+T78/2+T80</f>
        <v>4744.153884367046</v>
      </c>
      <c r="U88" s="78"/>
      <c r="V88" s="73">
        <f>V76/2+V78/2+V80</f>
        <v>5376.035915750382</v>
      </c>
      <c r="W88" s="78"/>
      <c r="X88" s="73">
        <f>X76/2+X78/2+X80</f>
        <v>5599.962481660571</v>
      </c>
      <c r="Y88" s="78"/>
      <c r="Z88" s="73">
        <f>Z76/2+Z78/2+Z80</f>
        <v>4939.742805923132</v>
      </c>
      <c r="AA88" s="78"/>
      <c r="AB88" s="73">
        <f>AB76/2+AB78/2+AB80</f>
        <v>9612.179222383627</v>
      </c>
      <c r="AC88" s="73"/>
      <c r="AD88" s="73">
        <f>AD76+AD78+AD80</f>
        <v>62.95192441696261</v>
      </c>
      <c r="AE88" s="73"/>
      <c r="AF88" s="73">
        <f>AF76+AF78+AF80</f>
        <v>0</v>
      </c>
      <c r="AG88" s="73"/>
      <c r="AH88" s="73">
        <f>AH76+AH78+AH80</f>
        <v>0</v>
      </c>
      <c r="AI88" s="73"/>
      <c r="AJ88" s="73">
        <f>AJ76+AJ78+AJ80</f>
        <v>0</v>
      </c>
      <c r="AK88" s="73"/>
      <c r="AL88" s="73">
        <f>AL76+AL78+AL80</f>
        <v>240.75611743307593</v>
      </c>
      <c r="AM88" s="73"/>
      <c r="AN88" s="73">
        <f>AN76+AN78+AN80</f>
        <v>0</v>
      </c>
      <c r="AO88" s="73"/>
      <c r="AP88" s="73">
        <f>AP76+AP78+AP80</f>
        <v>8417.231213503004</v>
      </c>
      <c r="AQ88" s="73"/>
      <c r="AR88" s="73">
        <f>AR76+AR78+AR80</f>
        <v>5563.564989500813</v>
      </c>
      <c r="AS88" s="73"/>
      <c r="AT88" s="73">
        <f>AT76+AT78+AT80</f>
        <v>7142.5384096772505</v>
      </c>
      <c r="AU88" s="73"/>
      <c r="AV88" s="73">
        <f>AV76+AV78+AV80</f>
        <v>5930.624489853904</v>
      </c>
      <c r="AW88" s="73"/>
      <c r="AX88" s="73">
        <f>AX76+AX78+AX80</f>
        <v>6183.4284544031325</v>
      </c>
      <c r="AY88" s="73"/>
      <c r="AZ88" s="73">
        <f>AZ76+AZ78+AZ80</f>
        <v>6081.1639327144185</v>
      </c>
      <c r="BA88" s="73"/>
      <c r="BB88" s="73">
        <f>BB76+BB78+BB80</f>
        <v>2.594560623166403</v>
      </c>
      <c r="BC88" s="73"/>
      <c r="BD88" s="73">
        <f>BD76+BD78+BD80</f>
        <v>15.337844219246865</v>
      </c>
      <c r="BE88" s="73"/>
      <c r="BF88" s="73">
        <f>BF76+BF78+BF80</f>
        <v>15.265287168180095</v>
      </c>
      <c r="BG88" s="73"/>
      <c r="BH88" s="73">
        <f>BH76+BH78+BH80</f>
        <v>27.191755522492926</v>
      </c>
      <c r="BI88" s="73"/>
      <c r="BJ88" s="73">
        <f>BJ76+BJ78+BJ80</f>
        <v>29.405124915559597</v>
      </c>
      <c r="BK88" s="73"/>
      <c r="BL88" s="73">
        <f>BL76+BL78+BL80</f>
        <v>30.54853451081099</v>
      </c>
      <c r="BM88" s="73"/>
      <c r="BN88" s="73">
        <f>BN76+BN78+BN80</f>
        <v>612.1633397742953</v>
      </c>
      <c r="BO88" s="73"/>
      <c r="BP88" s="73">
        <f>BP76+BP78+BP80</f>
        <v>566.4424537521858</v>
      </c>
      <c r="BQ88" s="73"/>
      <c r="BR88" s="73">
        <f>BR76+BR78+BR80</f>
        <v>670.6337878799725</v>
      </c>
      <c r="BS88" s="73"/>
      <c r="BT88" s="73">
        <f>BT76+BT78+BT80</f>
        <v>543.0655324633727</v>
      </c>
      <c r="BU88" s="73"/>
      <c r="BV88" s="73">
        <f>BV76+BV78+BV80</f>
        <v>552.0421106780441</v>
      </c>
      <c r="BW88" s="73"/>
      <c r="BX88" s="73">
        <f>BX76+BX78+BX80</f>
        <v>663.8711020237135</v>
      </c>
      <c r="BY88" s="73"/>
      <c r="BZ88" s="73"/>
      <c r="CA88" s="73"/>
      <c r="CB88" s="73">
        <f>CB76+CB78+CB80</f>
        <v>11.662050518427357</v>
      </c>
      <c r="CC88" s="73"/>
      <c r="CD88" s="73">
        <f>CD76+CD78+CD80</f>
        <v>12.725882119409116</v>
      </c>
      <c r="CE88" s="73"/>
      <c r="CF88" s="73">
        <f>CF76+CF78+CF80</f>
        <v>11.312796401339037</v>
      </c>
      <c r="CG88" s="73"/>
      <c r="CH88" s="73">
        <f>CH76+CH78+CH80</f>
        <v>11.693110989866351</v>
      </c>
      <c r="CI88" s="73"/>
      <c r="CJ88" s="73">
        <f>CJ76+CJ78+CJ80</f>
        <v>12.818176707200424</v>
      </c>
      <c r="CK88" s="73"/>
      <c r="CL88" s="73">
        <f>CL76+CL78+CL80</f>
        <v>0</v>
      </c>
      <c r="CM88" s="73"/>
      <c r="CN88" s="73">
        <f>CN76+CN78+CN80</f>
        <v>0</v>
      </c>
      <c r="CO88" s="73"/>
      <c r="CP88" s="73">
        <f>CP76+CP78+CP80</f>
        <v>0</v>
      </c>
      <c r="CQ88" s="73"/>
      <c r="CR88" s="73">
        <f>CR76+CR78+CR80</f>
        <v>0</v>
      </c>
      <c r="CS88" s="73"/>
      <c r="CT88" s="73">
        <f>CT76+CT78+CT80</f>
        <v>0</v>
      </c>
      <c r="CU88" s="73"/>
      <c r="CV88" s="73">
        <f>CV76+CV78+CV80</f>
        <v>0</v>
      </c>
      <c r="CW88" s="73"/>
      <c r="CX88" s="73">
        <f t="shared" si="89"/>
        <v>9031.989113900467</v>
      </c>
      <c r="CY88" s="73"/>
      <c r="CZ88" s="73">
        <f t="shared" si="90"/>
        <v>6157.007337990673</v>
      </c>
      <c r="DA88" s="73"/>
      <c r="DB88" s="73">
        <f t="shared" si="91"/>
        <v>7841.163366844812</v>
      </c>
      <c r="DC88" s="73"/>
      <c r="DD88" s="73">
        <f t="shared" si="86"/>
        <v>6512.194574241109</v>
      </c>
      <c r="DE88" s="73"/>
      <c r="DF88" s="73">
        <f>SUM(CT88,CH88,BV88,BJ88,AX88)</f>
        <v>6776.568800986603</v>
      </c>
      <c r="DG88" s="73"/>
      <c r="DH88" s="73">
        <f>SUM(CV88,CJ88,BX88,BL88,AZ88)</f>
        <v>6788.401745956144</v>
      </c>
      <c r="DI88" s="73"/>
      <c r="DJ88" s="73">
        <f t="shared" si="92"/>
        <v>62.95192441696261</v>
      </c>
      <c r="DK88" s="73"/>
      <c r="DL88" s="73">
        <f t="shared" si="93"/>
        <v>0</v>
      </c>
      <c r="DM88" s="73"/>
      <c r="DN88" s="73">
        <f t="shared" si="94"/>
        <v>0</v>
      </c>
      <c r="DO88" s="73"/>
      <c r="DP88" s="73">
        <f t="shared" si="87"/>
        <v>0</v>
      </c>
      <c r="DQ88" s="73"/>
      <c r="DR88" s="73">
        <f>SUM(CT88,AL88)</f>
        <v>240.75611743307593</v>
      </c>
      <c r="DS88" s="73"/>
      <c r="DT88" s="73">
        <f>SUM(CV88,AN88)</f>
        <v>0</v>
      </c>
      <c r="DU88" s="73"/>
      <c r="DV88" s="73">
        <f t="shared" si="96"/>
        <v>16837.733573732723</v>
      </c>
      <c r="DW88" s="73"/>
      <c r="DX88" s="73">
        <f t="shared" si="96"/>
        <v>12557.64839803638</v>
      </c>
      <c r="DY88" s="73"/>
      <c r="DZ88" s="73">
        <f t="shared" si="96"/>
        <v>15012.38551082295</v>
      </c>
      <c r="EA88" s="73"/>
      <c r="EB88" s="73">
        <f t="shared" si="96"/>
        <v>13221.375460422994</v>
      </c>
      <c r="EC88" s="73"/>
      <c r="ED88" s="73">
        <f t="shared" si="96"/>
        <v>13571.830670562449</v>
      </c>
      <c r="EE88" s="73"/>
      <c r="EF88" s="73">
        <f t="shared" si="96"/>
        <v>26114.491751891655</v>
      </c>
      <c r="EG88" s="73"/>
      <c r="EH88" s="73">
        <f t="shared" si="95"/>
        <v>16219.244227578189</v>
      </c>
      <c r="EK88" s="57">
        <f>AVERAGE(AD88,AF88,AH88,AJ88,AL88,AN88)+AVERAGE(CL88,CN88,CP88,CR88,CT88,CV88)</f>
        <v>50.618006975006416</v>
      </c>
      <c r="EL88" s="57">
        <f>AVERAGE(AP88,AR88,AT88,AV88,AX88,AZ88)+AVERAGE(BB88,BD88,BF88,BH88,BJ88,BL88)+AVERAGE(BN88,BP88,BR88,BT88,BV88,BX88)+AVERAGE(BZ88,CB88,CD88,CF88,CH88,CJ88)</f>
        <v>7186.561223877843</v>
      </c>
      <c r="EM88" s="57">
        <f>AVERAGE(F88,H88,J88,L88,N88,P88)+AVERAGE(R88,T88,V88,X88,Z88,AB88)</f>
        <v>8984.072063949885</v>
      </c>
      <c r="EN88" s="57">
        <f>SUM(EK88,EL88,EM88)</f>
        <v>16221.251294802734</v>
      </c>
    </row>
  </sheetData>
  <printOptions headings="1" horizontalCentered="1"/>
  <pageMargins left="0.25" right="0.25" top="0.5" bottom="0.5" header="0.5" footer="0.25"/>
  <pageSetup horizontalDpi="300" verticalDpi="300" orientation="landscape" pageOrder="overThenDown" scale="7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B1">
      <selection activeCell="C1" sqref="C1"/>
    </sheetView>
  </sheetViews>
  <sheetFormatPr defaultColWidth="9.140625" defaultRowHeight="12.75"/>
  <cols>
    <col min="1" max="1" width="7.421875" style="16" hidden="1" customWidth="1"/>
    <col min="2" max="2" width="17.57421875" style="16" customWidth="1"/>
    <col min="3" max="3" width="7.421875" style="16" customWidth="1"/>
    <col min="4" max="4" width="11.140625" style="16" customWidth="1"/>
    <col min="5" max="16384" width="9.140625" style="16" customWidth="1"/>
  </cols>
  <sheetData>
    <row r="1" ht="12.75">
      <c r="B1" s="2" t="s">
        <v>249</v>
      </c>
    </row>
    <row r="3" spans="1:7" ht="12.75">
      <c r="A3" s="16" t="s">
        <v>109</v>
      </c>
      <c r="B3" s="2" t="str">
        <f>'feed 1'!B3</f>
        <v>208C10</v>
      </c>
      <c r="D3" s="16" t="s">
        <v>133</v>
      </c>
      <c r="E3" s="20" t="s">
        <v>124</v>
      </c>
      <c r="F3" s="20" t="s">
        <v>125</v>
      </c>
      <c r="G3" s="20" t="s">
        <v>126</v>
      </c>
    </row>
    <row r="5" spans="2:8" s="4" customFormat="1" ht="12.75">
      <c r="B5" s="9" t="s">
        <v>129</v>
      </c>
      <c r="C5" s="9" t="s">
        <v>130</v>
      </c>
      <c r="D5" s="9" t="s">
        <v>131</v>
      </c>
      <c r="E5">
        <v>87</v>
      </c>
      <c r="F5">
        <v>79</v>
      </c>
      <c r="G5">
        <v>76</v>
      </c>
      <c r="H5" s="40"/>
    </row>
    <row r="6" spans="2:8" ht="12.75">
      <c r="B6" s="9" t="s">
        <v>127</v>
      </c>
      <c r="C6" s="9" t="s">
        <v>128</v>
      </c>
      <c r="D6" s="9" t="s">
        <v>132</v>
      </c>
      <c r="E6">
        <v>400</v>
      </c>
      <c r="F6">
        <v>404.5</v>
      </c>
      <c r="G6">
        <v>401</v>
      </c>
      <c r="H6" s="40"/>
    </row>
    <row r="7" spans="2:7" ht="12.75">
      <c r="B7" s="16" t="s">
        <v>293</v>
      </c>
      <c r="C7" s="16" t="s">
        <v>128</v>
      </c>
      <c r="D7" s="16" t="s">
        <v>132</v>
      </c>
      <c r="E7">
        <v>2750</v>
      </c>
      <c r="F7">
        <v>2791</v>
      </c>
      <c r="G7">
        <v>2850</v>
      </c>
    </row>
    <row r="8" spans="2:7" ht="12.75">
      <c r="B8" s="2"/>
      <c r="E8"/>
      <c r="F8"/>
      <c r="G8"/>
    </row>
    <row r="9" spans="1:7" ht="12.75">
      <c r="A9" s="16" t="s">
        <v>109</v>
      </c>
      <c r="B9" s="2" t="str">
        <f>'feed 1'!B47</f>
        <v>208C11</v>
      </c>
      <c r="D9" s="16" t="s">
        <v>140</v>
      </c>
      <c r="E9" s="20" t="s">
        <v>124</v>
      </c>
      <c r="F9" s="20" t="s">
        <v>125</v>
      </c>
      <c r="G9" s="20" t="s">
        <v>126</v>
      </c>
    </row>
    <row r="10" spans="2:8" s="4" customFormat="1" ht="12.75">
      <c r="B10" s="9"/>
      <c r="C10" s="9"/>
      <c r="D10" s="9"/>
      <c r="E10"/>
      <c r="F10"/>
      <c r="G10"/>
      <c r="H10" s="40"/>
    </row>
    <row r="11" spans="2:8" s="4" customFormat="1" ht="12.75">
      <c r="B11" s="9" t="s">
        <v>127</v>
      </c>
      <c r="C11" s="9" t="s">
        <v>128</v>
      </c>
      <c r="D11" s="9" t="s">
        <v>80</v>
      </c>
      <c r="E11" t="s">
        <v>162</v>
      </c>
      <c r="F11"/>
      <c r="G11"/>
      <c r="H11" s="40"/>
    </row>
    <row r="12" spans="2:7" ht="12.75">
      <c r="B12" s="16" t="s">
        <v>139</v>
      </c>
      <c r="C12" s="16" t="s">
        <v>128</v>
      </c>
      <c r="D12" s="16" t="s">
        <v>80</v>
      </c>
      <c r="E12">
        <v>2332</v>
      </c>
      <c r="F12">
        <v>2308</v>
      </c>
      <c r="G12">
        <v>2380</v>
      </c>
    </row>
    <row r="13" spans="2:7" ht="12.75">
      <c r="B13" s="16" t="s">
        <v>129</v>
      </c>
      <c r="C13" s="16" t="s">
        <v>130</v>
      </c>
      <c r="E13" s="16">
        <v>122.4</v>
      </c>
      <c r="F13" s="16">
        <v>112</v>
      </c>
      <c r="G13" s="16">
        <v>91.3</v>
      </c>
    </row>
  </sheetData>
  <printOptions headings="1" horizontalCentered="1"/>
  <pageMargins left="0.25" right="0.25" top="0.5" bottom="0.5" header="0.25" footer="0.25"/>
  <pageSetup horizontalDpi="300" verticalDpi="300" orientation="portrait" scale="80" r:id="rId1"/>
  <headerFooter alignWithMargins="0">
    <oddFooter>&amp;C&amp;P, &amp;A,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13"/>
  <sheetViews>
    <sheetView workbookViewId="0" topLeftCell="C1">
      <selection activeCell="C1" sqref="C1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23.421875" style="0" customWidth="1"/>
    <col min="4" max="4" width="6.421875" style="0" customWidth="1"/>
  </cols>
  <sheetData>
    <row r="1" ht="12.75">
      <c r="C1" s="2" t="s">
        <v>248</v>
      </c>
    </row>
    <row r="3" spans="3:8" ht="12.75">
      <c r="C3" s="27" t="s">
        <v>175</v>
      </c>
      <c r="E3" s="3" t="s">
        <v>124</v>
      </c>
      <c r="F3" s="3" t="s">
        <v>125</v>
      </c>
      <c r="G3" s="3" t="s">
        <v>126</v>
      </c>
      <c r="H3" s="3" t="s">
        <v>186</v>
      </c>
    </row>
    <row r="5" spans="1:31" s="55" customFormat="1" ht="12.75">
      <c r="A5" s="55" t="s">
        <v>175</v>
      </c>
      <c r="B5" s="55" t="s">
        <v>245</v>
      </c>
      <c r="C5" s="55" t="s">
        <v>246</v>
      </c>
      <c r="D5" s="55" t="s">
        <v>128</v>
      </c>
      <c r="E5" s="53">
        <v>1791</v>
      </c>
      <c r="F5" s="53">
        <v>1787</v>
      </c>
      <c r="G5" s="53">
        <v>1791</v>
      </c>
      <c r="H5" s="53">
        <v>1707</v>
      </c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</row>
    <row r="6" spans="1:22" s="55" customFormat="1" ht="12.75">
      <c r="A6" s="55" t="s">
        <v>175</v>
      </c>
      <c r="B6" s="55" t="s">
        <v>245</v>
      </c>
      <c r="C6" s="55" t="s">
        <v>247</v>
      </c>
      <c r="D6" s="55" t="s">
        <v>128</v>
      </c>
      <c r="E6" s="53">
        <v>417</v>
      </c>
      <c r="F6" s="53">
        <v>416</v>
      </c>
      <c r="G6" s="53">
        <v>419</v>
      </c>
      <c r="H6" s="53">
        <v>386</v>
      </c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</row>
    <row r="7" spans="1:23" s="55" customFormat="1" ht="12.75">
      <c r="A7" s="55" t="s">
        <v>175</v>
      </c>
      <c r="B7" s="55" t="s">
        <v>245</v>
      </c>
      <c r="C7" s="55" t="s">
        <v>129</v>
      </c>
      <c r="D7" s="55" t="s">
        <v>130</v>
      </c>
      <c r="E7" s="53">
        <v>58</v>
      </c>
      <c r="F7" s="53">
        <v>52</v>
      </c>
      <c r="G7" s="53">
        <v>71</v>
      </c>
      <c r="H7" s="53">
        <v>81</v>
      </c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</row>
    <row r="8" spans="5:23" s="55" customFormat="1" ht="12.75"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</row>
    <row r="9" spans="3:23" s="55" customFormat="1" ht="12.75">
      <c r="C9" s="27" t="s">
        <v>179</v>
      </c>
      <c r="E9" s="3" t="s">
        <v>124</v>
      </c>
      <c r="F9" s="3" t="s">
        <v>125</v>
      </c>
      <c r="G9" s="3" t="s">
        <v>126</v>
      </c>
      <c r="H9" s="3" t="s">
        <v>186</v>
      </c>
      <c r="I9" s="68" t="s">
        <v>187</v>
      </c>
      <c r="J9" s="68" t="s">
        <v>188</v>
      </c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</row>
    <row r="10" spans="5:23" s="55" customFormat="1" ht="12.75"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</row>
    <row r="11" spans="1:31" s="55" customFormat="1" ht="12.75">
      <c r="A11" s="55" t="s">
        <v>179</v>
      </c>
      <c r="B11" s="55" t="s">
        <v>245</v>
      </c>
      <c r="C11" s="55" t="s">
        <v>246</v>
      </c>
      <c r="D11" s="55" t="s">
        <v>128</v>
      </c>
      <c r="E11" s="53">
        <v>1787</v>
      </c>
      <c r="F11" s="53">
        <v>1775</v>
      </c>
      <c r="G11" s="53">
        <v>1757</v>
      </c>
      <c r="H11" s="53">
        <v>1736</v>
      </c>
      <c r="I11" s="53">
        <v>1734</v>
      </c>
      <c r="J11" s="53">
        <v>1775</v>
      </c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</row>
    <row r="12" spans="1:22" s="55" customFormat="1" ht="12.75">
      <c r="A12" s="55" t="s">
        <v>179</v>
      </c>
      <c r="B12" s="55" t="s">
        <v>245</v>
      </c>
      <c r="C12" s="55" t="s">
        <v>247</v>
      </c>
      <c r="D12" s="55" t="s">
        <v>128</v>
      </c>
      <c r="E12" s="53">
        <v>407</v>
      </c>
      <c r="F12" s="53">
        <v>410</v>
      </c>
      <c r="G12" s="53">
        <v>401</v>
      </c>
      <c r="H12" s="53">
        <v>401</v>
      </c>
      <c r="I12" s="53">
        <v>407</v>
      </c>
      <c r="J12" s="53">
        <v>412</v>
      </c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</row>
    <row r="13" spans="1:23" s="55" customFormat="1" ht="12.75">
      <c r="A13" s="55" t="s">
        <v>179</v>
      </c>
      <c r="B13" s="55" t="s">
        <v>245</v>
      </c>
      <c r="C13" s="55" t="s">
        <v>129</v>
      </c>
      <c r="D13" s="55" t="s">
        <v>130</v>
      </c>
      <c r="E13" s="53">
        <v>68</v>
      </c>
      <c r="F13" s="53">
        <v>90</v>
      </c>
      <c r="G13" s="53">
        <v>81</v>
      </c>
      <c r="H13" s="53">
        <v>83</v>
      </c>
      <c r="I13" s="53">
        <v>89</v>
      </c>
      <c r="J13" s="53">
        <v>85</v>
      </c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2004-02-24T22:21:04Z</cp:lastPrinted>
  <dcterms:created xsi:type="dcterms:W3CDTF">2000-01-10T00:44:42Z</dcterms:created>
  <dcterms:modified xsi:type="dcterms:W3CDTF">2005-06-20T23:29:47Z</dcterms:modified>
  <cp:category/>
  <cp:version/>
  <cp:contentType/>
  <cp:contentStatus/>
</cp:coreProperties>
</file>