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165" windowWidth="12015" windowHeight="6405" tabRatio="886" activeTab="6"/>
  </bookViews>
  <sheets>
    <sheet name="list" sheetId="1" r:id="rId1"/>
    <sheet name="source" sheetId="2" r:id="rId2"/>
    <sheet name="cond" sheetId="3" r:id="rId3"/>
    <sheet name="emiss 1" sheetId="4" r:id="rId4"/>
    <sheet name="emiss 2" sheetId="5" r:id="rId5"/>
    <sheet name="feed 1" sheetId="6" r:id="rId6"/>
    <sheet name="feed 2" sheetId="7" r:id="rId7"/>
    <sheet name="process 1 " sheetId="8" r:id="rId8"/>
    <sheet name="process 2" sheetId="9" r:id="rId9"/>
    <sheet name="df c10" sheetId="10" r:id="rId10"/>
    <sheet name="df c11" sheetId="11" r:id="rId11"/>
    <sheet name="df c12" sheetId="12" r:id="rId12"/>
    <sheet name="df c1" sheetId="13" r:id="rId13"/>
    <sheet name="df c3" sheetId="14" r:id="rId14"/>
  </sheets>
  <definedNames>
    <definedName name="_xlnm.Print_Titles" localSheetId="5">'feed 1'!$B:$B</definedName>
    <definedName name="_xlnm.Print_Titles" localSheetId="6">'feed 2'!$B:$B</definedName>
  </definedNames>
  <calcPr fullCalcOnLoad="1"/>
</workbook>
</file>

<file path=xl/sharedStrings.xml><?xml version="1.0" encoding="utf-8"?>
<sst xmlns="http://schemas.openxmlformats.org/spreadsheetml/2006/main" count="2901" uniqueCount="305">
  <si>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</si>
  <si>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</si>
  <si>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</si>
  <si>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</si>
  <si>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</si>
  <si>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</si>
  <si>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</si>
  <si>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</si>
  <si>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</si>
  <si>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</si>
  <si>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</si>
  <si>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</si>
  <si>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>nd</t>
  </si>
  <si>
    <t>%</t>
  </si>
  <si>
    <t>y</t>
  </si>
  <si>
    <t>dscfm</t>
  </si>
  <si>
    <t>°F</t>
  </si>
  <si>
    <t>PM</t>
  </si>
  <si>
    <t>gr/dscf</t>
  </si>
  <si>
    <t>HCl</t>
  </si>
  <si>
    <t>Chlorine</t>
  </si>
  <si>
    <t>Facility Name and ID:</t>
  </si>
  <si>
    <t>Condition ID:</t>
  </si>
  <si>
    <t>Condition/Test Date:</t>
  </si>
  <si>
    <t>I-TEF</t>
  </si>
  <si>
    <t>Run 1</t>
  </si>
  <si>
    <t>Run 2</t>
  </si>
  <si>
    <t>Run 3</t>
  </si>
  <si>
    <t>Wght Fact</t>
  </si>
  <si>
    <t>Total</t>
  </si>
  <si>
    <t xml:space="preserve"> TEQ</t>
  </si>
  <si>
    <t>TEQ</t>
  </si>
  <si>
    <t>2,3,7,8-TCDD</t>
  </si>
  <si>
    <t>TCDD Total</t>
  </si>
  <si>
    <t>1,2,3,7,8-PCDD</t>
  </si>
  <si>
    <t>PCDD Total</t>
  </si>
  <si>
    <t>1,2,3,4,7,8-HxCDD</t>
  </si>
  <si>
    <t>1,2,3,6,7,8-HxCDD</t>
  </si>
  <si>
    <t>1,2,3,7,8,9-HxCDD</t>
  </si>
  <si>
    <t>HxCDD Total</t>
  </si>
  <si>
    <t>1,2,3,4,6,7,8-HpCDD</t>
  </si>
  <si>
    <t>HpCDD Total</t>
  </si>
  <si>
    <t>OCDD</t>
  </si>
  <si>
    <t>2,3,7,8-TCDF</t>
  </si>
  <si>
    <t>TCDF Total</t>
  </si>
  <si>
    <t>1,2,3,7,8-PCDF</t>
  </si>
  <si>
    <t>2,3,4,7,8-PCDF</t>
  </si>
  <si>
    <t>PCDF Total</t>
  </si>
  <si>
    <t>1,2,3,4,7,8-HxCDF</t>
  </si>
  <si>
    <t>1,2,3,6,7,8-HxCDF</t>
  </si>
  <si>
    <t>2,3,4,6,7,8-HxCDF</t>
  </si>
  <si>
    <t>1,2,3,7,8,9-HxCDF</t>
  </si>
  <si>
    <t>HxCDF Total</t>
  </si>
  <si>
    <t>1,2,3,4,6,7,8-HpCDF</t>
  </si>
  <si>
    <t>1,2,3,4,7,8,9-HpCDF</t>
  </si>
  <si>
    <t>HpCDF Total</t>
  </si>
  <si>
    <t>OCDF</t>
  </si>
  <si>
    <t>Gas sample volume (dscf)</t>
  </si>
  <si>
    <t>O2 (%)</t>
  </si>
  <si>
    <t>PCDD/PCDF (ng/dscm @ 7% O2)</t>
  </si>
  <si>
    <t>O2</t>
  </si>
  <si>
    <t>Combustor Characteristics</t>
  </si>
  <si>
    <t>ppmv</t>
  </si>
  <si>
    <t>Spike</t>
  </si>
  <si>
    <t>Cl2</t>
  </si>
  <si>
    <t>ug/dscm</t>
  </si>
  <si>
    <t>Cond Avg</t>
  </si>
  <si>
    <t>Stack Gas Flowrate</t>
  </si>
  <si>
    <t>MMBtu/hr</t>
  </si>
  <si>
    <t>1/2 ND</t>
  </si>
  <si>
    <t>TEQ Cond Avg</t>
  </si>
  <si>
    <t>Total Cond Avg</t>
  </si>
  <si>
    <t>SVM</t>
  </si>
  <si>
    <t>LVM</t>
  </si>
  <si>
    <t>HW</t>
  </si>
  <si>
    <t>DRE</t>
  </si>
  <si>
    <t>ng/dscm</t>
  </si>
  <si>
    <t>RA</t>
  </si>
  <si>
    <t>Other</t>
  </si>
  <si>
    <t>Capacity (MMBtu/hr)</t>
  </si>
  <si>
    <t>PCDD/PCDF</t>
  </si>
  <si>
    <t>Supplemental Fuel</t>
  </si>
  <si>
    <t>Haz Waste Description</t>
  </si>
  <si>
    <t xml:space="preserve">    Gas Velocity (ft/sec)</t>
  </si>
  <si>
    <t xml:space="preserve">    Gas Temperature (°F)</t>
  </si>
  <si>
    <t>Feedrate MTEC Calculations</t>
  </si>
  <si>
    <t>Source Description</t>
  </si>
  <si>
    <t>Hazardous Wastes</t>
  </si>
  <si>
    <t xml:space="preserve">   Temperature</t>
  </si>
  <si>
    <t xml:space="preserve">   Stack Gas Flowrate</t>
  </si>
  <si>
    <t>Comments</t>
  </si>
  <si>
    <t>PM, HCl/Cl2</t>
  </si>
  <si>
    <t xml:space="preserve">   O2</t>
  </si>
  <si>
    <t xml:space="preserve">   Moisture</t>
  </si>
  <si>
    <t>Sampling Train</t>
  </si>
  <si>
    <t>Arsenic</t>
  </si>
  <si>
    <t>Barium</t>
  </si>
  <si>
    <t>Beryllium</t>
  </si>
  <si>
    <t>Thallium</t>
  </si>
  <si>
    <t>Antimony</t>
  </si>
  <si>
    <t>Lead</t>
  </si>
  <si>
    <t>Nickel</t>
  </si>
  <si>
    <t>Cadmium</t>
  </si>
  <si>
    <t>Silver</t>
  </si>
  <si>
    <t>Chromium</t>
  </si>
  <si>
    <t>Feedstream Description</t>
  </si>
  <si>
    <t>*</t>
  </si>
  <si>
    <t>Mercury</t>
  </si>
  <si>
    <t>Feed Rate</t>
  </si>
  <si>
    <t>HWC Burn Status (Date if Terminated)</t>
  </si>
  <si>
    <t>Phase I ID No.</t>
  </si>
  <si>
    <t>Wet, long</t>
  </si>
  <si>
    <t>ESP</t>
  </si>
  <si>
    <t>Y</t>
  </si>
  <si>
    <t>Condition 10</t>
  </si>
  <si>
    <t>Max comb temp, max metals, chlorine</t>
  </si>
  <si>
    <t>Metals</t>
  </si>
  <si>
    <t>CO (MHRA)</t>
  </si>
  <si>
    <t>HC (RA)</t>
  </si>
  <si>
    <t>g/hr</t>
  </si>
  <si>
    <t>Raw Matl</t>
  </si>
  <si>
    <t>Coal</t>
  </si>
  <si>
    <t>R1</t>
  </si>
  <si>
    <t>R2</t>
  </si>
  <si>
    <t>R3</t>
  </si>
  <si>
    <t>ESP Inlet Temp</t>
  </si>
  <si>
    <t>F</t>
  </si>
  <si>
    <t>ESP Power</t>
  </si>
  <si>
    <t>kVA</t>
  </si>
  <si>
    <t>min HRA</t>
  </si>
  <si>
    <t>max HRA</t>
  </si>
  <si>
    <t>POHC DRE</t>
  </si>
  <si>
    <t>POHC Feedrate</t>
  </si>
  <si>
    <t>Emission Rate</t>
  </si>
  <si>
    <t>Liq Waste</t>
  </si>
  <si>
    <t>Selenium</t>
  </si>
  <si>
    <t>Combustion Temp</t>
  </si>
  <si>
    <t>Thermal Feedrate</t>
  </si>
  <si>
    <t>&gt;</t>
  </si>
  <si>
    <t>Keystone</t>
  </si>
  <si>
    <t>Bath</t>
  </si>
  <si>
    <t>PA</t>
  </si>
  <si>
    <t>Kiln No. 1</t>
  </si>
  <si>
    <t>Roy F Weston</t>
  </si>
  <si>
    <t>Tier I for Hg, Ag, Tl, Sb, and Ba; Tier III for Pb, As, Be, Cd, and Cr</t>
  </si>
  <si>
    <t>207C10</t>
  </si>
  <si>
    <t>207C11</t>
  </si>
  <si>
    <t>Liq, sludge</t>
  </si>
  <si>
    <t>CoC; max metals, chlorine, waste, slurry, min ESP power</t>
  </si>
  <si>
    <t>Mercury was spiked.  Hg stack gas measurements taken, although not reported in main report</t>
  </si>
  <si>
    <t>Complied with Hg under Tier I</t>
  </si>
  <si>
    <t>PCE (perchloroethylene)</t>
  </si>
  <si>
    <t>1,2 DCB (Dichlorobenzene)</t>
  </si>
  <si>
    <t>TCB (trichlorobenzene)</t>
  </si>
  <si>
    <t>g/s</t>
  </si>
  <si>
    <t>RCRA Trial Burn Test Report, Keystone Cement Company, Kilns No. 1 and No. 2, Bath, PA, Test Dates: 7-10 December 1999, April 2000</t>
  </si>
  <si>
    <t>R.F. Weston</t>
  </si>
  <si>
    <t>POHC DRE, PCDD/PCDF, PM, HCl/Cl2, HC</t>
  </si>
  <si>
    <t>Keystone Cement, Bath PA</t>
  </si>
  <si>
    <t>Trial burn, Dec 9-10, 1999</t>
  </si>
  <si>
    <t>Sample catch (pg)</t>
  </si>
  <si>
    <t>PCDD/PCDF (sample catch, ng)</t>
  </si>
  <si>
    <t>lb/hr</t>
  </si>
  <si>
    <t>PCDD/PCDF, SVOC</t>
  </si>
  <si>
    <t>not available</t>
  </si>
  <si>
    <t>BIF Recertification of Compliance, Cement Kiln No. 1, W. O. No. 02329.030.001, October 4, 2000</t>
  </si>
  <si>
    <t>CoC, max metals, waste, slurry</t>
  </si>
  <si>
    <t>PM, metals, HCl/Cl2, D/F, CO</t>
  </si>
  <si>
    <t>Max metals, waste, slurry</t>
  </si>
  <si>
    <t>n</t>
  </si>
  <si>
    <t>207C12</t>
  </si>
  <si>
    <t>ReCoC, Aug 30, 2000</t>
  </si>
  <si>
    <t>Keystone Cement, Bath PA, Kiln No. 1</t>
  </si>
  <si>
    <t>Sample catch (ng)</t>
  </si>
  <si>
    <t>Trial burn; Low temp POHC DRE, PCDD/PCDF</t>
  </si>
  <si>
    <t>trial burn, D/F, DRE test</t>
  </si>
  <si>
    <t>CoC, max op cond</t>
  </si>
  <si>
    <t>PAD002389559</t>
  </si>
  <si>
    <t>BIF Recertification of Compliance, Number 1 Kiln, Keystone Cement Company, Bath, Pennsylvania, November 6, 1998</t>
  </si>
  <si>
    <t>Report Name/Date</t>
  </si>
  <si>
    <t>Report Prepare</t>
  </si>
  <si>
    <t>Testing Firm</t>
  </si>
  <si>
    <t>Testing Dates</t>
  </si>
  <si>
    <t>Condition Descr</t>
  </si>
  <si>
    <t>Content</t>
  </si>
  <si>
    <t>207C1</t>
  </si>
  <si>
    <t>BIF Compliance Certification, Cement Kiln Number One, Keystone Cement, Bath PA, August 1992,  Amendments submitted January 1993</t>
  </si>
  <si>
    <t>Roy F. Weston</t>
  </si>
  <si>
    <t>Cond Descr</t>
  </si>
  <si>
    <t>CoC, MAX PROD, MAX TIER III SPIKE, MAX SLURRY FEED</t>
  </si>
  <si>
    <t>207C2</t>
  </si>
  <si>
    <t>CoC, MAX PROD, &gt;25% TIER III SPIKE, MAX SLURRY FEED</t>
  </si>
  <si>
    <t>207C3</t>
  </si>
  <si>
    <t>Keystone Cement Company, Bath, Pennsylvania, Source Emissions Compliance Test Report, Test Dates October 28 - November 1, 1996, January 1997, Work Order No. 0239-019-001</t>
  </si>
  <si>
    <t>purpose of testing not clear</t>
  </si>
  <si>
    <t>October 31 - November 1, 1996</t>
  </si>
  <si>
    <t>R4</t>
  </si>
  <si>
    <t>R5</t>
  </si>
  <si>
    <t>R6</t>
  </si>
  <si>
    <t/>
  </si>
  <si>
    <t>CO (RA)</t>
  </si>
  <si>
    <t>Chromium (Hex)</t>
  </si>
  <si>
    <t>Cr Hex</t>
  </si>
  <si>
    <t>Dioxin &amp; Furan</t>
  </si>
  <si>
    <t>Halogens</t>
  </si>
  <si>
    <t>Particulate</t>
  </si>
  <si>
    <t>Raw material slurry</t>
  </si>
  <si>
    <t>Liquid waste</t>
  </si>
  <si>
    <t>Metal spike 1</t>
  </si>
  <si>
    <t>Metal spike 2</t>
  </si>
  <si>
    <t>Metal spike 3</t>
  </si>
  <si>
    <t>Metal spike 4</t>
  </si>
  <si>
    <t>Btu/lb</t>
  </si>
  <si>
    <t>Full ND</t>
  </si>
  <si>
    <t>4D 2378</t>
  </si>
  <si>
    <t>4D Other</t>
  </si>
  <si>
    <t>4D Total</t>
  </si>
  <si>
    <t>5D 12378</t>
  </si>
  <si>
    <t>5D Other</t>
  </si>
  <si>
    <t>5D Total</t>
  </si>
  <si>
    <t>6D 123478</t>
  </si>
  <si>
    <t>6D 123678</t>
  </si>
  <si>
    <t>6D 123789</t>
  </si>
  <si>
    <t>6D Other</t>
  </si>
  <si>
    <t>6D Total</t>
  </si>
  <si>
    <t>7D 1234678</t>
  </si>
  <si>
    <t>7D Other</t>
  </si>
  <si>
    <t>7D Total</t>
  </si>
  <si>
    <t>8D</t>
  </si>
  <si>
    <t>4F 2378</t>
  </si>
  <si>
    <t>4F Other</t>
  </si>
  <si>
    <t>4F Total</t>
  </si>
  <si>
    <t>5F 12378</t>
  </si>
  <si>
    <t>5F 23478</t>
  </si>
  <si>
    <t>5F Other</t>
  </si>
  <si>
    <t>5F Total</t>
  </si>
  <si>
    <t>6F 123478</t>
  </si>
  <si>
    <t>6F 123678</t>
  </si>
  <si>
    <t>6F 123789</t>
  </si>
  <si>
    <t>6F 234678</t>
  </si>
  <si>
    <t>6F Other</t>
  </si>
  <si>
    <t>6F Total</t>
  </si>
  <si>
    <t>7F 1234678</t>
  </si>
  <si>
    <t>7F 1234789</t>
  </si>
  <si>
    <t>7F Other</t>
  </si>
  <si>
    <t>7F Total</t>
  </si>
  <si>
    <t>8F</t>
  </si>
  <si>
    <t>Total PCDD/PCDF</t>
  </si>
  <si>
    <t>Combustor Type</t>
  </si>
  <si>
    <t>Combustor Class</t>
  </si>
  <si>
    <t>Stack Gas Emissions 1</t>
  </si>
  <si>
    <t>Stack Gas Emissions 2</t>
  </si>
  <si>
    <t>Feedstreams 1</t>
  </si>
  <si>
    <t>Feedstream 2</t>
  </si>
  <si>
    <t>2 fields, 2 in parallel?, SCA = 288</t>
  </si>
  <si>
    <t>20710</t>
  </si>
  <si>
    <t>Combustion Temperature</t>
  </si>
  <si>
    <t>ESP Temperature</t>
  </si>
  <si>
    <t>Process Information 1</t>
  </si>
  <si>
    <t>Process Information 2</t>
  </si>
  <si>
    <t>Condition Description</t>
  </si>
  <si>
    <t>E1</t>
  </si>
  <si>
    <t>Total Chlorine</t>
  </si>
  <si>
    <t>E2</t>
  </si>
  <si>
    <t>E3</t>
  </si>
  <si>
    <t>E4</t>
  </si>
  <si>
    <t>E5</t>
  </si>
  <si>
    <t>Cond Dates</t>
  </si>
  <si>
    <t>December 7-10, 1999</t>
  </si>
  <si>
    <t>Number of Sister Facilities</t>
  </si>
  <si>
    <t>APCS Detailed Acronym</t>
  </si>
  <si>
    <t>APCS General Class</t>
  </si>
  <si>
    <t>source</t>
  </si>
  <si>
    <t>cond</t>
  </si>
  <si>
    <t>emiss 2</t>
  </si>
  <si>
    <t>emiss 1</t>
  </si>
  <si>
    <t>feed 1</t>
  </si>
  <si>
    <t>feed 2</t>
  </si>
  <si>
    <t>process 1</t>
  </si>
  <si>
    <t>process 2</t>
  </si>
  <si>
    <t>df c11</t>
  </si>
  <si>
    <t>df c12</t>
  </si>
  <si>
    <t>df c1</t>
  </si>
  <si>
    <t>df c3</t>
  </si>
  <si>
    <t>Cement kiln (CK)</t>
  </si>
  <si>
    <t>Feedstream Number</t>
  </si>
  <si>
    <t>Feed Class</t>
  </si>
  <si>
    <t>Raw Material</t>
  </si>
  <si>
    <t>Liq HW</t>
  </si>
  <si>
    <t>F1</t>
  </si>
  <si>
    <t>F2</t>
  </si>
  <si>
    <t>F3</t>
  </si>
  <si>
    <t>F4</t>
  </si>
  <si>
    <t>F5</t>
  </si>
  <si>
    <t>F6</t>
  </si>
  <si>
    <t>F7</t>
  </si>
  <si>
    <t>Heating Value</t>
  </si>
  <si>
    <t>Feed Class 2</t>
  </si>
  <si>
    <t>RM</t>
  </si>
  <si>
    <t>PM, metals, HCl/Cl2, CO, PCDD/F</t>
  </si>
  <si>
    <t>df c10</t>
  </si>
  <si>
    <t>CoC, Sept 25, 1998</t>
  </si>
  <si>
    <t>metals</t>
  </si>
  <si>
    <t>N</t>
  </si>
  <si>
    <t>Raw material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</si>
</sst>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0.00000"/>
    <numFmt numFmtId="169" formatCode="0.0E+00"/>
    <numFmt numFmtId="170" formatCode="0.000000"/>
    <numFmt numFmtId="171" formatCode="0.000E+00"/>
    <numFmt numFmtId="172" formatCode="0.0000000"/>
    <numFmt numFmtId="173" formatCode="mm/dd/yy"/>
    <numFmt numFmtId="174" formatCode="0E+00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1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Continuous"/>
    </xf>
    <xf numFmtId="1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1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vertical="top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 horizontal="left"/>
    </xf>
    <xf numFmtId="168" fontId="0" fillId="0" borderId="0" xfId="0" applyNumberFormat="1" applyFont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168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17" fontId="0" fillId="0" borderId="0" xfId="0" applyNumberFormat="1" applyAlignment="1">
      <alignment horizontal="left"/>
    </xf>
    <xf numFmtId="11" fontId="0" fillId="0" borderId="0" xfId="0" applyNumberFormat="1" applyFill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NumberFormat="1" applyFont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1" fontId="0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Font="1" applyBorder="1" applyAlignment="1">
      <alignment horizontal="center"/>
    </xf>
    <xf numFmtId="166" fontId="0" fillId="0" borderId="0" xfId="0" applyNumberFormat="1" applyAlignment="1">
      <alignment horizontal="centerContinuous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>
      <selection activeCell="B19" sqref="B19"/>
    </sheetView>
  </sheetViews>
  <sheetFormatPr defaultColWidth="9.140625" defaultRowHeight="12.75"/>
  <sheetData>
    <row r="1" ht="12.75">
      <c r="A1" t="s">
        <v>272</v>
      </c>
    </row>
    <row r="2" ht="12.75">
      <c r="A2" t="s">
        <v>273</v>
      </c>
    </row>
    <row r="3" ht="12.75">
      <c r="A3" t="s">
        <v>275</v>
      </c>
    </row>
    <row r="4" ht="12.75">
      <c r="A4" t="s">
        <v>274</v>
      </c>
    </row>
    <row r="5" ht="12.75">
      <c r="A5" t="s">
        <v>276</v>
      </c>
    </row>
    <row r="6" ht="12.75">
      <c r="A6" t="s">
        <v>277</v>
      </c>
    </row>
    <row r="7" ht="12.75">
      <c r="A7" t="s">
        <v>278</v>
      </c>
    </row>
    <row r="8" ht="12.75">
      <c r="A8" t="s">
        <v>279</v>
      </c>
    </row>
    <row r="9" ht="12.75">
      <c r="A9" t="s">
        <v>300</v>
      </c>
    </row>
    <row r="10" ht="12.75">
      <c r="A10" t="s">
        <v>280</v>
      </c>
    </row>
    <row r="11" ht="12.75">
      <c r="A11" t="s">
        <v>281</v>
      </c>
    </row>
    <row r="12" ht="12.75">
      <c r="A12" t="s">
        <v>282</v>
      </c>
    </row>
    <row r="13" ht="12.75">
      <c r="A13" t="s">
        <v>283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138"/>
  <sheetViews>
    <sheetView workbookViewId="0" topLeftCell="A1">
      <selection activeCell="C1" sqref="C1"/>
    </sheetView>
  </sheetViews>
  <sheetFormatPr defaultColWidth="9.140625" defaultRowHeight="12.75"/>
  <cols>
    <col min="1" max="1" width="4.00390625" style="4" customWidth="1"/>
    <col min="2" max="2" width="25.8515625" style="4" customWidth="1"/>
    <col min="3" max="3" width="7.8515625" style="4" customWidth="1"/>
    <col min="4" max="4" width="4.57421875" style="5" customWidth="1"/>
    <col min="5" max="5" width="8.7109375" style="6" customWidth="1"/>
    <col min="6" max="6" width="9.28125" style="7" customWidth="1"/>
    <col min="7" max="7" width="10.00390625" style="6" customWidth="1"/>
    <col min="8" max="8" width="9.28125" style="7" customWidth="1"/>
    <col min="9" max="9" width="4.57421875" style="8" bestFit="1" customWidth="1"/>
    <col min="10" max="10" width="7.00390625" style="6" customWidth="1"/>
    <col min="11" max="11" width="8.28125" style="6" customWidth="1"/>
    <col min="12" max="12" width="8.421875" style="6" customWidth="1"/>
    <col min="13" max="13" width="8.28125" style="6" customWidth="1"/>
    <col min="14" max="14" width="4.421875" style="8" customWidth="1"/>
    <col min="15" max="15" width="7.8515625" style="6" customWidth="1"/>
    <col min="16" max="18" width="8.7109375" style="6" customWidth="1"/>
    <col min="19" max="19" width="7.421875" style="0" customWidth="1"/>
    <col min="20" max="31" width="10.8515625" style="0" customWidth="1"/>
    <col min="32" max="16384" width="10.8515625" style="4" customWidth="1"/>
  </cols>
  <sheetData>
    <row r="1" ht="12.75">
      <c r="A1" s="40" t="s">
        <v>80</v>
      </c>
    </row>
    <row r="2" ht="12.75">
      <c r="A2" s="4" t="s">
        <v>303</v>
      </c>
    </row>
    <row r="3" spans="1:3" ht="12.75">
      <c r="A3" s="4" t="s">
        <v>21</v>
      </c>
      <c r="C3" s="9" t="s">
        <v>158</v>
      </c>
    </row>
    <row r="4" spans="1:18" ht="12.75">
      <c r="A4" s="4" t="s">
        <v>22</v>
      </c>
      <c r="C4" s="9" t="s">
        <v>145</v>
      </c>
      <c r="E4" s="10"/>
      <c r="F4" s="11"/>
      <c r="G4" s="10"/>
      <c r="H4" s="11"/>
      <c r="J4" s="10"/>
      <c r="K4" s="10"/>
      <c r="L4" s="10"/>
      <c r="M4" s="10"/>
      <c r="O4" s="10"/>
      <c r="P4" s="10"/>
      <c r="Q4" s="10"/>
      <c r="R4" s="10"/>
    </row>
    <row r="5" spans="1:3" ht="12.75">
      <c r="A5" s="4" t="s">
        <v>23</v>
      </c>
      <c r="C5" s="9" t="s">
        <v>301</v>
      </c>
    </row>
    <row r="6" spans="3:17" ht="12.75">
      <c r="C6" s="5"/>
      <c r="E6" s="8"/>
      <c r="G6" s="8"/>
      <c r="J6" s="8"/>
      <c r="L6" s="8"/>
      <c r="O6" s="8"/>
      <c r="Q6" s="8"/>
    </row>
    <row r="7" spans="3:31" ht="12.75">
      <c r="C7" s="5" t="s">
        <v>24</v>
      </c>
      <c r="E7" s="12" t="s">
        <v>25</v>
      </c>
      <c r="F7" s="12"/>
      <c r="G7" s="12"/>
      <c r="H7" s="12"/>
      <c r="I7" s="13"/>
      <c r="J7" s="12" t="s">
        <v>26</v>
      </c>
      <c r="K7" s="12"/>
      <c r="L7" s="12"/>
      <c r="M7" s="12"/>
      <c r="N7" s="13"/>
      <c r="O7" s="12" t="s">
        <v>27</v>
      </c>
      <c r="P7" s="12"/>
      <c r="Q7" s="12"/>
      <c r="R7" s="12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</row>
    <row r="8" spans="3:31" ht="12.75">
      <c r="C8" s="5" t="s">
        <v>28</v>
      </c>
      <c r="E8" s="8" t="s">
        <v>29</v>
      </c>
      <c r="F8" s="11" t="s">
        <v>30</v>
      </c>
      <c r="G8" s="8" t="s">
        <v>29</v>
      </c>
      <c r="H8" s="11" t="s">
        <v>30</v>
      </c>
      <c r="J8" s="8" t="s">
        <v>29</v>
      </c>
      <c r="K8" s="8" t="s">
        <v>31</v>
      </c>
      <c r="L8" s="8" t="s">
        <v>29</v>
      </c>
      <c r="M8" s="8" t="s">
        <v>31</v>
      </c>
      <c r="O8" s="8" t="s">
        <v>29</v>
      </c>
      <c r="P8" s="8" t="s">
        <v>31</v>
      </c>
      <c r="Q8" s="8" t="s">
        <v>29</v>
      </c>
      <c r="R8" s="8" t="s">
        <v>31</v>
      </c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</row>
    <row r="9" spans="3:31" ht="12.75">
      <c r="C9" s="5"/>
      <c r="E9" s="8" t="s">
        <v>213</v>
      </c>
      <c r="F9" s="8" t="s">
        <v>213</v>
      </c>
      <c r="G9" s="8" t="s">
        <v>69</v>
      </c>
      <c r="H9" s="11" t="s">
        <v>69</v>
      </c>
      <c r="J9" s="8" t="s">
        <v>213</v>
      </c>
      <c r="K9" s="8" t="s">
        <v>213</v>
      </c>
      <c r="L9" s="8" t="s">
        <v>69</v>
      </c>
      <c r="M9" s="11" t="s">
        <v>69</v>
      </c>
      <c r="O9" s="8" t="s">
        <v>213</v>
      </c>
      <c r="P9" s="8" t="s">
        <v>213</v>
      </c>
      <c r="Q9" s="8" t="s">
        <v>69</v>
      </c>
      <c r="R9" s="11" t="s">
        <v>69</v>
      </c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</row>
    <row r="10" spans="1:15" ht="13.5" customHeight="1">
      <c r="A10" s="4" t="s">
        <v>160</v>
      </c>
      <c r="O10" s="14"/>
    </row>
    <row r="11" spans="2:18" ht="12.75">
      <c r="B11" s="4" t="s">
        <v>32</v>
      </c>
      <c r="C11" s="5">
        <v>1</v>
      </c>
      <c r="D11" s="3"/>
      <c r="E11">
        <v>10</v>
      </c>
      <c r="F11" s="14">
        <f aca="true" t="shared" si="0" ref="F11:H35">IF(E11="","",E11*$C11)</f>
        <v>10</v>
      </c>
      <c r="G11" s="14">
        <f aca="true" t="shared" si="1" ref="G11:G35">IF(E11=0,"",IF(D11="nd",E11/2,E11))</f>
        <v>10</v>
      </c>
      <c r="H11" s="14">
        <f t="shared" si="0"/>
        <v>10</v>
      </c>
      <c r="I11" s="3" t="s">
        <v>12</v>
      </c>
      <c r="J11">
        <v>8</v>
      </c>
      <c r="K11" s="14">
        <f aca="true" t="shared" si="2" ref="K11:M35">IF(J11="","",J11*$C11)</f>
        <v>8</v>
      </c>
      <c r="L11" s="14">
        <f>IF(J11=0,"",IF(I11="nd",J11/2,J11))</f>
        <v>4</v>
      </c>
      <c r="M11" s="14">
        <f t="shared" si="2"/>
        <v>4</v>
      </c>
      <c r="N11" s="3" t="s">
        <v>12</v>
      </c>
      <c r="O11">
        <v>4</v>
      </c>
      <c r="P11" s="14">
        <f aca="true" t="shared" si="3" ref="P11:R35">IF(O11="","",O11*$C11)</f>
        <v>4</v>
      </c>
      <c r="Q11" s="14">
        <f>IF(O11=0,"",IF(N11="nd",O11/2,O11))</f>
        <v>2</v>
      </c>
      <c r="R11" s="14">
        <f t="shared" si="3"/>
        <v>2</v>
      </c>
    </row>
    <row r="12" spans="2:18" ht="12.75">
      <c r="B12" s="4" t="s">
        <v>33</v>
      </c>
      <c r="C12" s="5">
        <v>0</v>
      </c>
      <c r="D12" s="3"/>
      <c r="E12">
        <v>570</v>
      </c>
      <c r="F12" s="14">
        <f t="shared" si="0"/>
        <v>0</v>
      </c>
      <c r="G12" s="14">
        <f t="shared" si="1"/>
        <v>570</v>
      </c>
      <c r="H12" s="14">
        <f t="shared" si="0"/>
        <v>0</v>
      </c>
      <c r="I12" s="3"/>
      <c r="J12">
        <v>610</v>
      </c>
      <c r="K12" s="14">
        <f t="shared" si="2"/>
        <v>0</v>
      </c>
      <c r="L12" s="14">
        <f aca="true" t="shared" si="4" ref="L12:L35">IF(J12=0,"",IF(I12="nd",J12/2,J12))</f>
        <v>610</v>
      </c>
      <c r="M12" s="14">
        <f t="shared" si="2"/>
        <v>0</v>
      </c>
      <c r="N12" s="3"/>
      <c r="O12">
        <v>1000</v>
      </c>
      <c r="P12" s="14">
        <f t="shared" si="3"/>
        <v>0</v>
      </c>
      <c r="Q12" s="14">
        <f aca="true" t="shared" si="5" ref="Q12:Q35">IF(O12=0,"",IF(N12="nd",O12/2,O12))</f>
        <v>1000</v>
      </c>
      <c r="R12" s="14">
        <f t="shared" si="3"/>
        <v>0</v>
      </c>
    </row>
    <row r="13" spans="2:18" ht="12.75">
      <c r="B13" s="4" t="s">
        <v>34</v>
      </c>
      <c r="C13" s="5">
        <v>0.5</v>
      </c>
      <c r="D13" s="3" t="s">
        <v>12</v>
      </c>
      <c r="E13">
        <v>6</v>
      </c>
      <c r="F13" s="14">
        <f t="shared" si="0"/>
        <v>3</v>
      </c>
      <c r="G13" s="14">
        <f t="shared" si="1"/>
        <v>3</v>
      </c>
      <c r="H13" s="14">
        <f t="shared" si="0"/>
        <v>1.5</v>
      </c>
      <c r="I13" s="3" t="s">
        <v>12</v>
      </c>
      <c r="J13">
        <v>10</v>
      </c>
      <c r="K13" s="14">
        <f t="shared" si="2"/>
        <v>5</v>
      </c>
      <c r="L13" s="14">
        <f t="shared" si="4"/>
        <v>5</v>
      </c>
      <c r="M13" s="14">
        <f t="shared" si="2"/>
        <v>2.5</v>
      </c>
      <c r="N13" s="3"/>
      <c r="O13">
        <v>6</v>
      </c>
      <c r="P13" s="14">
        <f t="shared" si="3"/>
        <v>3</v>
      </c>
      <c r="Q13" s="14">
        <f t="shared" si="5"/>
        <v>6</v>
      </c>
      <c r="R13" s="14">
        <f t="shared" si="3"/>
        <v>3</v>
      </c>
    </row>
    <row r="14" spans="2:18" ht="12.75">
      <c r="B14" s="4" t="s">
        <v>35</v>
      </c>
      <c r="C14" s="5">
        <v>0</v>
      </c>
      <c r="D14" s="3"/>
      <c r="E14">
        <v>300</v>
      </c>
      <c r="F14" s="14">
        <f t="shared" si="0"/>
        <v>0</v>
      </c>
      <c r="G14" s="14">
        <f t="shared" si="1"/>
        <v>300</v>
      </c>
      <c r="H14" s="14">
        <f t="shared" si="0"/>
        <v>0</v>
      </c>
      <c r="I14" s="3"/>
      <c r="J14">
        <v>500</v>
      </c>
      <c r="K14" s="14">
        <f t="shared" si="2"/>
        <v>0</v>
      </c>
      <c r="L14" s="14">
        <f t="shared" si="4"/>
        <v>500</v>
      </c>
      <c r="M14" s="14">
        <f t="shared" si="2"/>
        <v>0</v>
      </c>
      <c r="N14" s="3"/>
      <c r="O14">
        <v>830</v>
      </c>
      <c r="P14" s="14">
        <f t="shared" si="3"/>
        <v>0</v>
      </c>
      <c r="Q14" s="14">
        <f t="shared" si="5"/>
        <v>830</v>
      </c>
      <c r="R14" s="14">
        <f t="shared" si="3"/>
        <v>0</v>
      </c>
    </row>
    <row r="15" spans="2:18" ht="12.75">
      <c r="B15" s="4" t="s">
        <v>36</v>
      </c>
      <c r="C15" s="5">
        <v>0.1</v>
      </c>
      <c r="D15" s="3" t="s">
        <v>12</v>
      </c>
      <c r="E15">
        <v>10</v>
      </c>
      <c r="F15" s="14">
        <f t="shared" si="0"/>
        <v>1</v>
      </c>
      <c r="G15" s="14">
        <f t="shared" si="1"/>
        <v>5</v>
      </c>
      <c r="H15" s="14">
        <f t="shared" si="0"/>
        <v>0.5</v>
      </c>
      <c r="I15" s="3" t="s">
        <v>12</v>
      </c>
      <c r="J15">
        <v>20</v>
      </c>
      <c r="K15" s="14">
        <f t="shared" si="2"/>
        <v>2</v>
      </c>
      <c r="L15" s="14">
        <f t="shared" si="4"/>
        <v>10</v>
      </c>
      <c r="M15" s="14">
        <f t="shared" si="2"/>
        <v>1</v>
      </c>
      <c r="N15" s="3" t="s">
        <v>12</v>
      </c>
      <c r="O15">
        <v>10</v>
      </c>
      <c r="P15" s="14">
        <f t="shared" si="3"/>
        <v>1</v>
      </c>
      <c r="Q15" s="14">
        <f t="shared" si="5"/>
        <v>5</v>
      </c>
      <c r="R15" s="14">
        <f t="shared" si="3"/>
        <v>0.5</v>
      </c>
    </row>
    <row r="16" spans="2:18" ht="12.75">
      <c r="B16" s="4" t="s">
        <v>37</v>
      </c>
      <c r="C16" s="5">
        <v>0.1</v>
      </c>
      <c r="D16" s="3"/>
      <c r="E16">
        <v>10</v>
      </c>
      <c r="F16" s="14">
        <f t="shared" si="0"/>
        <v>1</v>
      </c>
      <c r="G16" s="14">
        <f t="shared" si="1"/>
        <v>10</v>
      </c>
      <c r="H16" s="14">
        <f t="shared" si="0"/>
        <v>1</v>
      </c>
      <c r="I16" s="3"/>
      <c r="J16">
        <v>30</v>
      </c>
      <c r="K16" s="14">
        <f t="shared" si="2"/>
        <v>3</v>
      </c>
      <c r="L16" s="14">
        <f t="shared" si="4"/>
        <v>30</v>
      </c>
      <c r="M16" s="14">
        <f t="shared" si="2"/>
        <v>3</v>
      </c>
      <c r="N16" s="3"/>
      <c r="O16">
        <v>50</v>
      </c>
      <c r="P16" s="14">
        <f t="shared" si="3"/>
        <v>5</v>
      </c>
      <c r="Q16" s="14">
        <f t="shared" si="5"/>
        <v>50</v>
      </c>
      <c r="R16" s="14">
        <f t="shared" si="3"/>
        <v>5</v>
      </c>
    </row>
    <row r="17" spans="2:18" ht="12.75">
      <c r="B17" s="4" t="s">
        <v>38</v>
      </c>
      <c r="C17" s="5">
        <v>0.1</v>
      </c>
      <c r="D17" s="3" t="s">
        <v>12</v>
      </c>
      <c r="E17">
        <v>10</v>
      </c>
      <c r="F17" s="14">
        <f t="shared" si="0"/>
        <v>1</v>
      </c>
      <c r="G17" s="14">
        <f t="shared" si="1"/>
        <v>5</v>
      </c>
      <c r="H17" s="14">
        <f t="shared" si="0"/>
        <v>0.5</v>
      </c>
      <c r="I17" s="3"/>
      <c r="J17">
        <v>30</v>
      </c>
      <c r="K17" s="14">
        <f t="shared" si="2"/>
        <v>3</v>
      </c>
      <c r="L17" s="14">
        <f t="shared" si="4"/>
        <v>30</v>
      </c>
      <c r="M17" s="14">
        <f t="shared" si="2"/>
        <v>3</v>
      </c>
      <c r="N17" s="3"/>
      <c r="O17">
        <v>30</v>
      </c>
      <c r="P17" s="14">
        <f t="shared" si="3"/>
        <v>3</v>
      </c>
      <c r="Q17" s="14">
        <f t="shared" si="5"/>
        <v>30</v>
      </c>
      <c r="R17" s="14">
        <f t="shared" si="3"/>
        <v>3</v>
      </c>
    </row>
    <row r="18" spans="2:18" ht="12.75">
      <c r="B18" s="4" t="s">
        <v>39</v>
      </c>
      <c r="C18" s="5">
        <v>0</v>
      </c>
      <c r="D18" s="3"/>
      <c r="E18">
        <v>720</v>
      </c>
      <c r="F18" s="14">
        <f t="shared" si="0"/>
        <v>0</v>
      </c>
      <c r="G18" s="14">
        <f t="shared" si="1"/>
        <v>720</v>
      </c>
      <c r="H18" s="14">
        <f t="shared" si="0"/>
        <v>0</v>
      </c>
      <c r="I18" s="3"/>
      <c r="J18">
        <v>1400</v>
      </c>
      <c r="K18" s="14">
        <f t="shared" si="2"/>
        <v>0</v>
      </c>
      <c r="L18" s="14">
        <f t="shared" si="4"/>
        <v>1400</v>
      </c>
      <c r="M18" s="14">
        <f t="shared" si="2"/>
        <v>0</v>
      </c>
      <c r="N18" s="3"/>
      <c r="O18">
        <v>1800</v>
      </c>
      <c r="P18" s="14">
        <f t="shared" si="3"/>
        <v>0</v>
      </c>
      <c r="Q18" s="14">
        <f t="shared" si="5"/>
        <v>1800</v>
      </c>
      <c r="R18" s="14">
        <f t="shared" si="3"/>
        <v>0</v>
      </c>
    </row>
    <row r="19" spans="2:18" ht="12.75">
      <c r="B19" s="4" t="s">
        <v>40</v>
      </c>
      <c r="C19" s="5">
        <v>0.01</v>
      </c>
      <c r="D19" s="3"/>
      <c r="E19">
        <v>90</v>
      </c>
      <c r="F19" s="14">
        <f t="shared" si="0"/>
        <v>0.9</v>
      </c>
      <c r="G19" s="14">
        <f t="shared" si="1"/>
        <v>90</v>
      </c>
      <c r="H19" s="14">
        <f t="shared" si="0"/>
        <v>0.9</v>
      </c>
      <c r="I19" s="3"/>
      <c r="J19">
        <v>210</v>
      </c>
      <c r="K19" s="14">
        <f t="shared" si="2"/>
        <v>2.1</v>
      </c>
      <c r="L19" s="14">
        <f t="shared" si="4"/>
        <v>210</v>
      </c>
      <c r="M19" s="14">
        <f t="shared" si="2"/>
        <v>2.1</v>
      </c>
      <c r="N19" s="3"/>
      <c r="O19">
        <v>310</v>
      </c>
      <c r="P19" s="14">
        <f t="shared" si="3"/>
        <v>3.1</v>
      </c>
      <c r="Q19" s="14">
        <f t="shared" si="5"/>
        <v>310</v>
      </c>
      <c r="R19" s="14">
        <f t="shared" si="3"/>
        <v>3.1</v>
      </c>
    </row>
    <row r="20" spans="2:18" ht="12.75">
      <c r="B20" s="4" t="s">
        <v>41</v>
      </c>
      <c r="C20" s="5">
        <v>0</v>
      </c>
      <c r="D20" s="3"/>
      <c r="E20">
        <v>220</v>
      </c>
      <c r="F20" s="14">
        <f t="shared" si="0"/>
        <v>0</v>
      </c>
      <c r="G20" s="14">
        <f t="shared" si="1"/>
        <v>220</v>
      </c>
      <c r="H20" s="14">
        <f t="shared" si="0"/>
        <v>0</v>
      </c>
      <c r="I20" s="3"/>
      <c r="J20">
        <v>470</v>
      </c>
      <c r="K20" s="14">
        <f t="shared" si="2"/>
        <v>0</v>
      </c>
      <c r="L20" s="14">
        <f t="shared" si="4"/>
        <v>470</v>
      </c>
      <c r="M20" s="14">
        <f t="shared" si="2"/>
        <v>0</v>
      </c>
      <c r="N20" s="3"/>
      <c r="O20">
        <v>720</v>
      </c>
      <c r="P20" s="14">
        <f t="shared" si="3"/>
        <v>0</v>
      </c>
      <c r="Q20" s="14">
        <f t="shared" si="5"/>
        <v>720</v>
      </c>
      <c r="R20" s="14">
        <f t="shared" si="3"/>
        <v>0</v>
      </c>
    </row>
    <row r="21" spans="2:18" ht="12.75">
      <c r="B21" s="4" t="s">
        <v>42</v>
      </c>
      <c r="C21" s="5">
        <v>0.001</v>
      </c>
      <c r="D21" s="3"/>
      <c r="E21">
        <v>130</v>
      </c>
      <c r="F21" s="14">
        <f t="shared" si="0"/>
        <v>0.13</v>
      </c>
      <c r="G21" s="14">
        <f t="shared" si="1"/>
        <v>130</v>
      </c>
      <c r="H21" s="14">
        <f t="shared" si="0"/>
        <v>0.13</v>
      </c>
      <c r="I21" s="3"/>
      <c r="J21">
        <v>180</v>
      </c>
      <c r="K21" s="14">
        <f t="shared" si="2"/>
        <v>0.18</v>
      </c>
      <c r="L21" s="14">
        <f t="shared" si="4"/>
        <v>180</v>
      </c>
      <c r="M21" s="14">
        <f t="shared" si="2"/>
        <v>0.18</v>
      </c>
      <c r="N21" s="3"/>
      <c r="O21">
        <v>250</v>
      </c>
      <c r="P21" s="14">
        <f t="shared" si="3"/>
        <v>0.25</v>
      </c>
      <c r="Q21" s="14">
        <f t="shared" si="5"/>
        <v>250</v>
      </c>
      <c r="R21" s="14">
        <f t="shared" si="3"/>
        <v>0.25</v>
      </c>
    </row>
    <row r="22" spans="2:18" ht="12.75">
      <c r="B22" s="4" t="s">
        <v>43</v>
      </c>
      <c r="C22" s="5">
        <v>0.1</v>
      </c>
      <c r="D22" s="3" t="s">
        <v>12</v>
      </c>
      <c r="E22">
        <v>4</v>
      </c>
      <c r="F22" s="14">
        <f t="shared" si="0"/>
        <v>0.4</v>
      </c>
      <c r="G22" s="14">
        <f t="shared" si="1"/>
        <v>2</v>
      </c>
      <c r="H22" s="14">
        <f t="shared" si="0"/>
        <v>0.2</v>
      </c>
      <c r="I22" s="3" t="s">
        <v>12</v>
      </c>
      <c r="J22">
        <v>6</v>
      </c>
      <c r="K22" s="14">
        <f t="shared" si="2"/>
        <v>0.6000000000000001</v>
      </c>
      <c r="L22" s="14">
        <f t="shared" si="4"/>
        <v>3</v>
      </c>
      <c r="M22" s="14">
        <f t="shared" si="2"/>
        <v>0.30000000000000004</v>
      </c>
      <c r="N22" s="3" t="s">
        <v>12</v>
      </c>
      <c r="O22">
        <v>3</v>
      </c>
      <c r="P22" s="14">
        <f t="shared" si="3"/>
        <v>0.30000000000000004</v>
      </c>
      <c r="Q22" s="14">
        <f t="shared" si="5"/>
        <v>1.5</v>
      </c>
      <c r="R22" s="14">
        <f t="shared" si="3"/>
        <v>0.15000000000000002</v>
      </c>
    </row>
    <row r="23" spans="2:18" ht="12.75">
      <c r="B23" s="4" t="s">
        <v>44</v>
      </c>
      <c r="C23" s="5">
        <v>0</v>
      </c>
      <c r="D23" s="3" t="s">
        <v>12</v>
      </c>
      <c r="E23">
        <v>4</v>
      </c>
      <c r="F23" s="14">
        <f t="shared" si="0"/>
        <v>0</v>
      </c>
      <c r="G23" s="14">
        <f t="shared" si="1"/>
        <v>2</v>
      </c>
      <c r="H23" s="14">
        <f t="shared" si="0"/>
        <v>0</v>
      </c>
      <c r="I23" s="3"/>
      <c r="J23">
        <v>20</v>
      </c>
      <c r="K23" s="14">
        <f t="shared" si="2"/>
        <v>0</v>
      </c>
      <c r="L23" s="14">
        <f t="shared" si="4"/>
        <v>20</v>
      </c>
      <c r="M23" s="14">
        <f t="shared" si="2"/>
        <v>0</v>
      </c>
      <c r="N23" s="3"/>
      <c r="O23">
        <v>10</v>
      </c>
      <c r="P23" s="14">
        <f t="shared" si="3"/>
        <v>0</v>
      </c>
      <c r="Q23" s="14">
        <f t="shared" si="5"/>
        <v>10</v>
      </c>
      <c r="R23" s="14">
        <f t="shared" si="3"/>
        <v>0</v>
      </c>
    </row>
    <row r="24" spans="2:18" ht="12.75">
      <c r="B24" s="4" t="s">
        <v>45</v>
      </c>
      <c r="C24" s="5">
        <v>0.05</v>
      </c>
      <c r="D24" s="3" t="s">
        <v>12</v>
      </c>
      <c r="E24">
        <v>4</v>
      </c>
      <c r="F24" s="14">
        <f t="shared" si="0"/>
        <v>0.2</v>
      </c>
      <c r="G24" s="14">
        <f t="shared" si="1"/>
        <v>2</v>
      </c>
      <c r="H24" s="14">
        <f t="shared" si="0"/>
        <v>0.1</v>
      </c>
      <c r="I24" s="3" t="s">
        <v>12</v>
      </c>
      <c r="J24">
        <v>8</v>
      </c>
      <c r="K24" s="14">
        <f t="shared" si="2"/>
        <v>0.4</v>
      </c>
      <c r="L24" s="14">
        <f t="shared" si="4"/>
        <v>4</v>
      </c>
      <c r="M24" s="14">
        <f t="shared" si="2"/>
        <v>0.2</v>
      </c>
      <c r="N24" s="3" t="s">
        <v>12</v>
      </c>
      <c r="O24">
        <v>4</v>
      </c>
      <c r="P24" s="14">
        <f t="shared" si="3"/>
        <v>0.2</v>
      </c>
      <c r="Q24" s="14">
        <f t="shared" si="5"/>
        <v>2</v>
      </c>
      <c r="R24" s="14">
        <f t="shared" si="3"/>
        <v>0.1</v>
      </c>
    </row>
    <row r="25" spans="2:18" ht="12.75">
      <c r="B25" s="4" t="s">
        <v>46</v>
      </c>
      <c r="C25" s="5">
        <v>0.5</v>
      </c>
      <c r="D25" s="3" t="s">
        <v>12</v>
      </c>
      <c r="E25">
        <v>4</v>
      </c>
      <c r="F25" s="14">
        <f t="shared" si="0"/>
        <v>2</v>
      </c>
      <c r="G25" s="14">
        <f t="shared" si="1"/>
        <v>2</v>
      </c>
      <c r="H25" s="14">
        <f t="shared" si="0"/>
        <v>1</v>
      </c>
      <c r="I25" s="3" t="s">
        <v>12</v>
      </c>
      <c r="J25">
        <v>8</v>
      </c>
      <c r="K25" s="14">
        <f t="shared" si="2"/>
        <v>4</v>
      </c>
      <c r="L25" s="14">
        <f t="shared" si="4"/>
        <v>4</v>
      </c>
      <c r="M25" s="14">
        <f t="shared" si="2"/>
        <v>2</v>
      </c>
      <c r="N25" s="3" t="s">
        <v>12</v>
      </c>
      <c r="O25">
        <v>4</v>
      </c>
      <c r="P25" s="14">
        <f t="shared" si="3"/>
        <v>2</v>
      </c>
      <c r="Q25" s="14">
        <f t="shared" si="5"/>
        <v>2</v>
      </c>
      <c r="R25" s="14">
        <f t="shared" si="3"/>
        <v>1</v>
      </c>
    </row>
    <row r="26" spans="2:18" ht="12.75">
      <c r="B26" s="4" t="s">
        <v>47</v>
      </c>
      <c r="C26" s="5">
        <v>0</v>
      </c>
      <c r="D26" s="3" t="s">
        <v>12</v>
      </c>
      <c r="E26">
        <v>4</v>
      </c>
      <c r="F26" s="14">
        <f t="shared" si="0"/>
        <v>0</v>
      </c>
      <c r="G26" s="14">
        <f t="shared" si="1"/>
        <v>2</v>
      </c>
      <c r="H26" s="14">
        <f t="shared" si="0"/>
        <v>0</v>
      </c>
      <c r="I26" s="3" t="s">
        <v>12</v>
      </c>
      <c r="J26">
        <v>8</v>
      </c>
      <c r="K26" s="14">
        <f t="shared" si="2"/>
        <v>0</v>
      </c>
      <c r="L26" s="14">
        <f t="shared" si="4"/>
        <v>4</v>
      </c>
      <c r="M26" s="14">
        <f t="shared" si="2"/>
        <v>0</v>
      </c>
      <c r="N26" s="3" t="s">
        <v>12</v>
      </c>
      <c r="O26">
        <v>4</v>
      </c>
      <c r="P26" s="14">
        <f t="shared" si="3"/>
        <v>0</v>
      </c>
      <c r="Q26" s="14">
        <f t="shared" si="5"/>
        <v>2</v>
      </c>
      <c r="R26" s="14">
        <f t="shared" si="3"/>
        <v>0</v>
      </c>
    </row>
    <row r="27" spans="2:18" ht="12.75">
      <c r="B27" s="4" t="s">
        <v>48</v>
      </c>
      <c r="C27" s="5">
        <v>0.1</v>
      </c>
      <c r="D27" s="3" t="s">
        <v>12</v>
      </c>
      <c r="E27">
        <v>6</v>
      </c>
      <c r="F27" s="14">
        <f t="shared" si="0"/>
        <v>0.6000000000000001</v>
      </c>
      <c r="G27" s="14">
        <f t="shared" si="1"/>
        <v>3</v>
      </c>
      <c r="H27" s="14">
        <f t="shared" si="0"/>
        <v>0.30000000000000004</v>
      </c>
      <c r="I27" s="3" t="s">
        <v>12</v>
      </c>
      <c r="J27">
        <v>10</v>
      </c>
      <c r="K27" s="14">
        <f t="shared" si="2"/>
        <v>1</v>
      </c>
      <c r="L27" s="14">
        <f t="shared" si="4"/>
        <v>5</v>
      </c>
      <c r="M27" s="14">
        <f t="shared" si="2"/>
        <v>0.5</v>
      </c>
      <c r="N27" s="3" t="s">
        <v>12</v>
      </c>
      <c r="O27">
        <v>6</v>
      </c>
      <c r="P27" s="14">
        <f t="shared" si="3"/>
        <v>0.6000000000000001</v>
      </c>
      <c r="Q27" s="14">
        <f t="shared" si="5"/>
        <v>3</v>
      </c>
      <c r="R27" s="14">
        <f t="shared" si="3"/>
        <v>0.30000000000000004</v>
      </c>
    </row>
    <row r="28" spans="2:18" ht="12.75">
      <c r="B28" s="4" t="s">
        <v>49</v>
      </c>
      <c r="C28" s="5">
        <v>0.1</v>
      </c>
      <c r="D28" s="3" t="s">
        <v>12</v>
      </c>
      <c r="E28">
        <v>6</v>
      </c>
      <c r="F28" s="14">
        <f t="shared" si="0"/>
        <v>0.6000000000000001</v>
      </c>
      <c r="G28" s="14">
        <f t="shared" si="1"/>
        <v>3</v>
      </c>
      <c r="H28" s="14">
        <f t="shared" si="0"/>
        <v>0.30000000000000004</v>
      </c>
      <c r="I28" s="3" t="s">
        <v>12</v>
      </c>
      <c r="J28">
        <v>10</v>
      </c>
      <c r="K28" s="14">
        <f t="shared" si="2"/>
        <v>1</v>
      </c>
      <c r="L28" s="14">
        <f t="shared" si="4"/>
        <v>5</v>
      </c>
      <c r="M28" s="14">
        <f t="shared" si="2"/>
        <v>0.5</v>
      </c>
      <c r="N28" s="3" t="s">
        <v>12</v>
      </c>
      <c r="O28">
        <v>5</v>
      </c>
      <c r="P28" s="14">
        <f t="shared" si="3"/>
        <v>0.5</v>
      </c>
      <c r="Q28" s="14">
        <f t="shared" si="5"/>
        <v>2.5</v>
      </c>
      <c r="R28" s="14">
        <f t="shared" si="3"/>
        <v>0.25</v>
      </c>
    </row>
    <row r="29" spans="2:18" ht="12.75">
      <c r="B29" s="4" t="s">
        <v>50</v>
      </c>
      <c r="C29" s="5">
        <v>0.1</v>
      </c>
      <c r="D29" s="3" t="s">
        <v>12</v>
      </c>
      <c r="E29">
        <v>7</v>
      </c>
      <c r="F29" s="14">
        <f t="shared" si="0"/>
        <v>0.7000000000000001</v>
      </c>
      <c r="G29" s="14">
        <f t="shared" si="1"/>
        <v>3.5</v>
      </c>
      <c r="H29" s="14">
        <f t="shared" si="0"/>
        <v>0.35000000000000003</v>
      </c>
      <c r="I29" s="3" t="s">
        <v>12</v>
      </c>
      <c r="J29">
        <v>10</v>
      </c>
      <c r="K29" s="14">
        <f t="shared" si="2"/>
        <v>1</v>
      </c>
      <c r="L29" s="14">
        <f t="shared" si="4"/>
        <v>5</v>
      </c>
      <c r="M29" s="14">
        <f t="shared" si="2"/>
        <v>0.5</v>
      </c>
      <c r="N29" s="3" t="s">
        <v>12</v>
      </c>
      <c r="O29">
        <v>7</v>
      </c>
      <c r="P29" s="14">
        <f t="shared" si="3"/>
        <v>0.7000000000000001</v>
      </c>
      <c r="Q29" s="14">
        <f t="shared" si="5"/>
        <v>3.5</v>
      </c>
      <c r="R29" s="14">
        <f t="shared" si="3"/>
        <v>0.35000000000000003</v>
      </c>
    </row>
    <row r="30" spans="2:18" ht="12.75">
      <c r="B30" s="4" t="s">
        <v>51</v>
      </c>
      <c r="C30" s="5">
        <v>0.1</v>
      </c>
      <c r="D30" s="3" t="s">
        <v>12</v>
      </c>
      <c r="E30">
        <v>8</v>
      </c>
      <c r="F30" s="14">
        <f t="shared" si="0"/>
        <v>0.8</v>
      </c>
      <c r="G30" s="14">
        <f t="shared" si="1"/>
        <v>4</v>
      </c>
      <c r="H30" s="14">
        <f t="shared" si="0"/>
        <v>0.4</v>
      </c>
      <c r="I30" s="3" t="s">
        <v>12</v>
      </c>
      <c r="J30">
        <v>10</v>
      </c>
      <c r="K30" s="14">
        <f t="shared" si="2"/>
        <v>1</v>
      </c>
      <c r="L30" s="14">
        <f t="shared" si="4"/>
        <v>5</v>
      </c>
      <c r="M30" s="14">
        <f t="shared" si="2"/>
        <v>0.5</v>
      </c>
      <c r="N30" s="3" t="s">
        <v>12</v>
      </c>
      <c r="O30">
        <v>7</v>
      </c>
      <c r="P30" s="14">
        <f t="shared" si="3"/>
        <v>0.7000000000000001</v>
      </c>
      <c r="Q30" s="14">
        <f t="shared" si="5"/>
        <v>3.5</v>
      </c>
      <c r="R30" s="14">
        <f t="shared" si="3"/>
        <v>0.35000000000000003</v>
      </c>
    </row>
    <row r="31" spans="2:18" ht="12.75">
      <c r="B31" s="4" t="s">
        <v>52</v>
      </c>
      <c r="C31" s="5">
        <v>0</v>
      </c>
      <c r="D31" s="3" t="s">
        <v>12</v>
      </c>
      <c r="E31">
        <v>6</v>
      </c>
      <c r="F31" s="14">
        <f t="shared" si="0"/>
        <v>0</v>
      </c>
      <c r="G31" s="14">
        <f t="shared" si="1"/>
        <v>3</v>
      </c>
      <c r="H31" s="14">
        <f t="shared" si="0"/>
        <v>0</v>
      </c>
      <c r="I31" s="3" t="s">
        <v>12</v>
      </c>
      <c r="J31">
        <v>20</v>
      </c>
      <c r="K31" s="14">
        <f t="shared" si="2"/>
        <v>0</v>
      </c>
      <c r="L31" s="14">
        <f t="shared" si="4"/>
        <v>10</v>
      </c>
      <c r="M31" s="14">
        <f t="shared" si="2"/>
        <v>0</v>
      </c>
      <c r="N31" s="3" t="s">
        <v>12</v>
      </c>
      <c r="O31">
        <v>6</v>
      </c>
      <c r="P31" s="14">
        <f t="shared" si="3"/>
        <v>0</v>
      </c>
      <c r="Q31" s="14">
        <f t="shared" si="5"/>
        <v>3</v>
      </c>
      <c r="R31" s="14">
        <f t="shared" si="3"/>
        <v>0</v>
      </c>
    </row>
    <row r="32" spans="2:18" ht="12.75">
      <c r="B32" s="4" t="s">
        <v>53</v>
      </c>
      <c r="C32" s="5">
        <v>0.01</v>
      </c>
      <c r="D32" s="3" t="s">
        <v>12</v>
      </c>
      <c r="E32">
        <v>8</v>
      </c>
      <c r="F32" s="14">
        <f t="shared" si="0"/>
        <v>0.08</v>
      </c>
      <c r="G32" s="14">
        <f t="shared" si="1"/>
        <v>4</v>
      </c>
      <c r="H32" s="14">
        <f t="shared" si="0"/>
        <v>0.04</v>
      </c>
      <c r="I32" s="3" t="s">
        <v>12</v>
      </c>
      <c r="J32">
        <v>20</v>
      </c>
      <c r="K32" s="14">
        <f t="shared" si="2"/>
        <v>0.2</v>
      </c>
      <c r="L32" s="14">
        <f t="shared" si="4"/>
        <v>10</v>
      </c>
      <c r="M32" s="14">
        <f t="shared" si="2"/>
        <v>0.1</v>
      </c>
      <c r="N32" s="3" t="s">
        <v>12</v>
      </c>
      <c r="O32">
        <v>7</v>
      </c>
      <c r="P32" s="14">
        <f t="shared" si="3"/>
        <v>0.07</v>
      </c>
      <c r="Q32" s="14">
        <f t="shared" si="5"/>
        <v>3.5</v>
      </c>
      <c r="R32" s="14">
        <f t="shared" si="3"/>
        <v>0.035</v>
      </c>
    </row>
    <row r="33" spans="2:18" ht="12.75">
      <c r="B33" s="4" t="s">
        <v>54</v>
      </c>
      <c r="C33" s="5">
        <v>0.01</v>
      </c>
      <c r="D33" s="3" t="s">
        <v>12</v>
      </c>
      <c r="E33">
        <v>10</v>
      </c>
      <c r="F33" s="14">
        <f t="shared" si="0"/>
        <v>0.1</v>
      </c>
      <c r="G33" s="14">
        <f t="shared" si="1"/>
        <v>5</v>
      </c>
      <c r="H33" s="14">
        <f t="shared" si="0"/>
        <v>0.05</v>
      </c>
      <c r="I33" s="3" t="s">
        <v>12</v>
      </c>
      <c r="J33">
        <v>20</v>
      </c>
      <c r="K33" s="14">
        <f t="shared" si="2"/>
        <v>0.2</v>
      </c>
      <c r="L33" s="14">
        <f t="shared" si="4"/>
        <v>10</v>
      </c>
      <c r="M33" s="14">
        <f t="shared" si="2"/>
        <v>0.1</v>
      </c>
      <c r="N33" s="3" t="s">
        <v>12</v>
      </c>
      <c r="O33">
        <v>10</v>
      </c>
      <c r="P33" s="14">
        <f t="shared" si="3"/>
        <v>0.1</v>
      </c>
      <c r="Q33" s="14">
        <f t="shared" si="5"/>
        <v>5</v>
      </c>
      <c r="R33" s="14">
        <f t="shared" si="3"/>
        <v>0.05</v>
      </c>
    </row>
    <row r="34" spans="2:18" ht="12.75">
      <c r="B34" s="4" t="s">
        <v>55</v>
      </c>
      <c r="C34" s="5">
        <v>0</v>
      </c>
      <c r="D34" s="3" t="s">
        <v>12</v>
      </c>
      <c r="E34">
        <v>8</v>
      </c>
      <c r="F34" s="14">
        <f t="shared" si="0"/>
        <v>0</v>
      </c>
      <c r="G34" s="14">
        <f t="shared" si="1"/>
        <v>4</v>
      </c>
      <c r="H34" s="14">
        <f t="shared" si="0"/>
        <v>0</v>
      </c>
      <c r="I34" s="3" t="s">
        <v>12</v>
      </c>
      <c r="J34">
        <v>20</v>
      </c>
      <c r="K34" s="14">
        <f t="shared" si="2"/>
        <v>0</v>
      </c>
      <c r="L34" s="14">
        <f t="shared" si="4"/>
        <v>10</v>
      </c>
      <c r="M34" s="14">
        <f t="shared" si="2"/>
        <v>0</v>
      </c>
      <c r="N34" s="3" t="s">
        <v>12</v>
      </c>
      <c r="O34">
        <v>9</v>
      </c>
      <c r="P34" s="14">
        <f t="shared" si="3"/>
        <v>0</v>
      </c>
      <c r="Q34" s="14">
        <f t="shared" si="5"/>
        <v>4.5</v>
      </c>
      <c r="R34" s="14">
        <f t="shared" si="3"/>
        <v>0</v>
      </c>
    </row>
    <row r="35" spans="2:18" ht="12.75">
      <c r="B35" s="4" t="s">
        <v>56</v>
      </c>
      <c r="C35" s="5">
        <v>0.001</v>
      </c>
      <c r="D35" s="3" t="s">
        <v>12</v>
      </c>
      <c r="E35">
        <v>10</v>
      </c>
      <c r="F35" s="14">
        <f t="shared" si="0"/>
        <v>0.01</v>
      </c>
      <c r="G35" s="14">
        <f t="shared" si="1"/>
        <v>5</v>
      </c>
      <c r="H35" s="14">
        <f t="shared" si="0"/>
        <v>0.005</v>
      </c>
      <c r="I35" s="3" t="s">
        <v>12</v>
      </c>
      <c r="J35">
        <v>20</v>
      </c>
      <c r="K35" s="14">
        <f t="shared" si="2"/>
        <v>0.02</v>
      </c>
      <c r="L35" s="14">
        <f t="shared" si="4"/>
        <v>10</v>
      </c>
      <c r="M35" s="14">
        <f t="shared" si="2"/>
        <v>0.01</v>
      </c>
      <c r="N35" s="3" t="s">
        <v>12</v>
      </c>
      <c r="O35">
        <v>10</v>
      </c>
      <c r="P35" s="14">
        <f t="shared" si="3"/>
        <v>0.01</v>
      </c>
      <c r="Q35" s="14">
        <f t="shared" si="5"/>
        <v>5</v>
      </c>
      <c r="R35" s="14">
        <f t="shared" si="3"/>
        <v>0.005</v>
      </c>
    </row>
    <row r="36" spans="5:17" ht="9" customHeight="1">
      <c r="E36" s="17"/>
      <c r="G36" s="17"/>
      <c r="I36" s="18"/>
      <c r="J36" s="16"/>
      <c r="K36" s="14"/>
      <c r="L36" s="14"/>
      <c r="M36" s="14"/>
      <c r="N36" s="18"/>
      <c r="O36" s="16"/>
      <c r="Q36" s="17"/>
    </row>
    <row r="37" spans="2:18" ht="12.75">
      <c r="B37" s="4" t="s">
        <v>57</v>
      </c>
      <c r="E37"/>
      <c r="F37">
        <v>111.45</v>
      </c>
      <c r="G37">
        <v>111.45</v>
      </c>
      <c r="H37">
        <v>111.45</v>
      </c>
      <c r="I37" s="3"/>
      <c r="J37"/>
      <c r="K37">
        <v>110.792</v>
      </c>
      <c r="L37">
        <v>110.792</v>
      </c>
      <c r="M37">
        <v>110.792</v>
      </c>
      <c r="N37" s="3"/>
      <c r="O37"/>
      <c r="P37">
        <v>114.04</v>
      </c>
      <c r="Q37">
        <v>114.04</v>
      </c>
      <c r="R37">
        <v>114.04</v>
      </c>
    </row>
    <row r="38" spans="2:18" ht="12.75">
      <c r="B38" s="4" t="s">
        <v>58</v>
      </c>
      <c r="E38"/>
      <c r="F38">
        <v>11.7</v>
      </c>
      <c r="G38">
        <v>11.7</v>
      </c>
      <c r="H38">
        <v>11.7</v>
      </c>
      <c r="I38" s="3"/>
      <c r="J38"/>
      <c r="K38">
        <v>12.4</v>
      </c>
      <c r="L38">
        <v>12.4</v>
      </c>
      <c r="M38">
        <v>12.4</v>
      </c>
      <c r="N38" s="3"/>
      <c r="O38"/>
      <c r="P38">
        <v>12.1</v>
      </c>
      <c r="Q38">
        <v>12.1</v>
      </c>
      <c r="R38">
        <v>12.1</v>
      </c>
    </row>
    <row r="39" spans="5:18" ht="9.75" customHeight="1">
      <c r="E39" s="17"/>
      <c r="F39" s="19"/>
      <c r="G39" s="17"/>
      <c r="H39" s="19"/>
      <c r="I39" s="20"/>
      <c r="J39" s="17"/>
      <c r="K39" s="21"/>
      <c r="L39" s="14"/>
      <c r="M39" s="21"/>
      <c r="N39" s="18"/>
      <c r="O39" s="17"/>
      <c r="P39" s="17"/>
      <c r="Q39" s="17"/>
      <c r="R39" s="17"/>
    </row>
    <row r="40" spans="2:18" ht="12" customHeight="1">
      <c r="B40" s="4" t="s">
        <v>161</v>
      </c>
      <c r="C40" s="7"/>
      <c r="D40" s="11"/>
      <c r="E40" s="14"/>
      <c r="F40" s="15">
        <f>SUM(F11:F35)/1000</f>
        <v>0.02252</v>
      </c>
      <c r="G40" s="15">
        <f>SUM(G35,G34,G31,G26,G23,G21,G20,G18,G14,G12)/1000</f>
        <v>1.956</v>
      </c>
      <c r="H40" s="15">
        <f>SUM(H11:H35)/1000</f>
        <v>0.017275</v>
      </c>
      <c r="I40" s="11"/>
      <c r="J40" s="14"/>
      <c r="K40" s="15">
        <f>SUM(K11:K35)/1000</f>
        <v>0.03270000000000001</v>
      </c>
      <c r="L40" s="15">
        <f>SUM(L35,L34,L31,L26,L23,L21,L20,L18,L14,L12)/1000</f>
        <v>3.214</v>
      </c>
      <c r="M40" s="15">
        <f>SUM(M11:M35)/1000</f>
        <v>0.02049</v>
      </c>
      <c r="N40" s="11"/>
      <c r="O40" s="17"/>
      <c r="P40" s="15">
        <f>SUM(P11:P35)/1000</f>
        <v>0.024530000000000003</v>
      </c>
      <c r="Q40" s="15">
        <f>SUM(Q35,Q34,Q31,Q26,Q23,Q21,Q20,Q18,Q14,Q12)/1000</f>
        <v>4.6245</v>
      </c>
      <c r="R40" s="15">
        <f>SUM(R11:R35)/1000</f>
        <v>0.019440000000000006</v>
      </c>
    </row>
    <row r="41" spans="2:18" ht="12" customHeight="1">
      <c r="B41" s="4" t="s">
        <v>59</v>
      </c>
      <c r="C41" s="7"/>
      <c r="D41" s="85">
        <f>(F41-H41)*2/F41*100</f>
        <v>46.58081705150979</v>
      </c>
      <c r="E41" s="14"/>
      <c r="F41" s="15">
        <f>F40/F37/0.0283*(21-7)/(21-F38)</f>
        <v>0.010748477828818387</v>
      </c>
      <c r="G41" s="15">
        <f>G40/G37/0.0283*(21-7)/(21-G38)</f>
        <v>0.9335711648831599</v>
      </c>
      <c r="H41" s="15">
        <f>H40/H37/0.0283*(21-7)/(21-H38)</f>
        <v>0.008245113432186394</v>
      </c>
      <c r="I41" s="85">
        <f>(K41-M41)*2/K41*100</f>
        <v>74.67889908256883</v>
      </c>
      <c r="J41" s="14"/>
      <c r="K41" s="15">
        <f>K40/K37/0.0283*(21-7)/(21-K38)</f>
        <v>0.016977842457382625</v>
      </c>
      <c r="L41" s="15">
        <f>L40/L37/0.0283*(21-7)/(21-L38)</f>
        <v>1.6687090415299004</v>
      </c>
      <c r="M41" s="15">
        <f>M40/M37/0.0283*(21-7)/(21-M38)</f>
        <v>0.010638409539809478</v>
      </c>
      <c r="N41" s="85">
        <f>(P41-R41)*2/P41*100</f>
        <v>41.50020383204235</v>
      </c>
      <c r="O41" s="17"/>
      <c r="P41" s="15">
        <f>P40/P37/0.0283*(21-7)/(21-P38)</f>
        <v>0.011956165914734704</v>
      </c>
      <c r="Q41" s="15">
        <f>Q40/Q37/0.0283*(21-7)/(21-Q38)</f>
        <v>2.2540272838438913</v>
      </c>
      <c r="R41" s="15">
        <f>R40/R37/0.0283*(21-7)/(21-R38)</f>
        <v>0.009475249302178667</v>
      </c>
    </row>
    <row r="42" spans="3:18" ht="12" customHeight="1">
      <c r="C42" s="7"/>
      <c r="D42" s="11"/>
      <c r="E42" s="14"/>
      <c r="F42" s="15"/>
      <c r="G42" s="15"/>
      <c r="H42" s="15"/>
      <c r="I42" s="11"/>
      <c r="J42" s="14"/>
      <c r="K42" s="15"/>
      <c r="L42" s="15"/>
      <c r="M42" s="15"/>
      <c r="N42" s="11"/>
      <c r="O42" s="17"/>
      <c r="P42" s="15"/>
      <c r="Q42" s="15"/>
      <c r="R42" s="15"/>
    </row>
    <row r="43" spans="2:31" s="17" customFormat="1" ht="12.75">
      <c r="B43" s="17" t="s">
        <v>70</v>
      </c>
      <c r="C43" s="15">
        <f>AVERAGE(H41,M41,R41)</f>
        <v>0.009452924091391514</v>
      </c>
      <c r="D43" s="18"/>
      <c r="F43" s="7"/>
      <c r="H43" s="7"/>
      <c r="I43" s="18"/>
      <c r="N43" s="18"/>
      <c r="P43" s="6"/>
      <c r="R43" s="6"/>
      <c r="S43"/>
      <c r="T43"/>
      <c r="U43"/>
      <c r="V43"/>
      <c r="W43"/>
      <c r="X43"/>
      <c r="Y43"/>
      <c r="Z43"/>
      <c r="AA43"/>
      <c r="AB43"/>
      <c r="AC43"/>
      <c r="AD43"/>
      <c r="AE43"/>
    </row>
    <row r="44" spans="2:3" ht="12.75">
      <c r="B44" s="4" t="s">
        <v>71</v>
      </c>
      <c r="C44" s="15">
        <f>AVERAGE(G41,L41,Q41)</f>
        <v>1.6187691634189838</v>
      </c>
    </row>
    <row r="45" spans="5:18" ht="12.75">
      <c r="E45" s="4"/>
      <c r="G45" s="4"/>
      <c r="I45" s="5"/>
      <c r="J45" s="4"/>
      <c r="K45" s="4"/>
      <c r="L45" s="4"/>
      <c r="M45" s="4"/>
      <c r="N45" s="5"/>
      <c r="O45" s="4"/>
      <c r="P45" s="4"/>
      <c r="Q45" s="4"/>
      <c r="R45" s="4"/>
    </row>
    <row r="46" spans="4:14" ht="12.75">
      <c r="D46" s="3"/>
      <c r="I46" s="3"/>
      <c r="N46" s="3"/>
    </row>
    <row r="47" spans="4:14" ht="12.75">
      <c r="D47" s="3"/>
      <c r="I47" s="3"/>
      <c r="N47" s="3"/>
    </row>
    <row r="48" spans="4:14" ht="12.75">
      <c r="D48" s="3"/>
      <c r="I48" s="3"/>
      <c r="N48" s="3"/>
    </row>
    <row r="49" spans="4:14" ht="12.75">
      <c r="D49" s="3"/>
      <c r="I49" s="3"/>
      <c r="N49" s="3"/>
    </row>
    <row r="50" spans="4:14" ht="12.75">
      <c r="D50" s="3"/>
      <c r="I50" s="3"/>
      <c r="N50" s="3"/>
    </row>
    <row r="51" spans="4:14" ht="12.75">
      <c r="D51" s="3"/>
      <c r="I51" s="3"/>
      <c r="N51" s="3"/>
    </row>
    <row r="52" spans="4:14" ht="12.75">
      <c r="D52" s="3"/>
      <c r="I52" s="3"/>
      <c r="N52" s="3"/>
    </row>
    <row r="53" spans="4:14" ht="12.75">
      <c r="D53" s="3"/>
      <c r="I53" s="3"/>
      <c r="N53" s="3"/>
    </row>
    <row r="54" spans="4:14" ht="12.75">
      <c r="D54" s="3"/>
      <c r="I54" s="3"/>
      <c r="N54" s="3"/>
    </row>
    <row r="55" spans="4:14" ht="12.75">
      <c r="D55" s="3"/>
      <c r="I55" s="3"/>
      <c r="N55" s="3"/>
    </row>
    <row r="56" spans="4:14" ht="12.75">
      <c r="D56" s="3"/>
      <c r="I56" s="3"/>
      <c r="N56" s="3"/>
    </row>
    <row r="57" spans="4:14" ht="12.75">
      <c r="D57" s="3"/>
      <c r="I57" s="3"/>
      <c r="N57" s="3"/>
    </row>
    <row r="58" spans="4:14" ht="12.75">
      <c r="D58" s="3"/>
      <c r="I58" s="3"/>
      <c r="N58" s="3"/>
    </row>
    <row r="59" spans="4:14" ht="12.75">
      <c r="D59" s="3"/>
      <c r="I59" s="3"/>
      <c r="N59" s="3"/>
    </row>
    <row r="60" spans="4:14" ht="12.75">
      <c r="D60" s="3"/>
      <c r="I60" s="3"/>
      <c r="N60" s="3"/>
    </row>
    <row r="61" spans="4:14" ht="12.75">
      <c r="D61" s="3"/>
      <c r="I61" s="3"/>
      <c r="N61" s="3"/>
    </row>
    <row r="62" spans="4:14" ht="12.75">
      <c r="D62" s="3"/>
      <c r="I62" s="3"/>
      <c r="N62" s="3"/>
    </row>
    <row r="63" spans="4:14" ht="12.75">
      <c r="D63" s="3"/>
      <c r="I63" s="3"/>
      <c r="N63" s="3"/>
    </row>
    <row r="64" spans="4:14" ht="12.75">
      <c r="D64" s="3"/>
      <c r="I64" s="3"/>
      <c r="N64" s="3"/>
    </row>
    <row r="65" spans="4:14" ht="12.75">
      <c r="D65" s="3"/>
      <c r="I65" s="3"/>
      <c r="N65" s="3"/>
    </row>
    <row r="66" spans="4:14" ht="12.75">
      <c r="D66" s="3"/>
      <c r="I66" s="3"/>
      <c r="N66" s="3"/>
    </row>
    <row r="67" spans="4:14" ht="12.75">
      <c r="D67" s="3"/>
      <c r="I67" s="3"/>
      <c r="N67" s="3"/>
    </row>
    <row r="68" spans="4:14" ht="12.75">
      <c r="D68" s="3"/>
      <c r="I68" s="3"/>
      <c r="N68" s="3"/>
    </row>
    <row r="69" spans="4:14" ht="12.75">
      <c r="D69" s="3"/>
      <c r="I69" s="3"/>
      <c r="N69" s="3"/>
    </row>
    <row r="70" spans="4:14" ht="12.75">
      <c r="D70" s="3"/>
      <c r="I70" s="3"/>
      <c r="N70" s="3"/>
    </row>
    <row r="71" spans="4:14" ht="12.75">
      <c r="D71" s="3"/>
      <c r="I71" s="3"/>
      <c r="N71" s="3"/>
    </row>
    <row r="72" spans="4:14" ht="12.75">
      <c r="D72" s="3"/>
      <c r="I72" s="3"/>
      <c r="N72" s="3"/>
    </row>
    <row r="73" spans="4:14" ht="12.75">
      <c r="D73" s="3"/>
      <c r="I73" s="3"/>
      <c r="N73" s="3"/>
    </row>
    <row r="74" spans="4:14" ht="12.75">
      <c r="D74" s="3"/>
      <c r="I74" s="3"/>
      <c r="N74" s="3"/>
    </row>
    <row r="75" spans="4:14" ht="12.75">
      <c r="D75" s="3"/>
      <c r="I75" s="3"/>
      <c r="N75" s="3"/>
    </row>
    <row r="76" spans="4:14" ht="12.75">
      <c r="D76" s="3"/>
      <c r="I76" s="3"/>
      <c r="N76" s="3"/>
    </row>
    <row r="77" spans="4:14" ht="12.75">
      <c r="D77" s="3"/>
      <c r="I77" s="3"/>
      <c r="N77" s="3"/>
    </row>
    <row r="78" spans="4:14" ht="12.75">
      <c r="D78" s="3"/>
      <c r="I78" s="3"/>
      <c r="N78" s="3"/>
    </row>
    <row r="79" spans="4:14" ht="12.75">
      <c r="D79" s="3"/>
      <c r="I79" s="3"/>
      <c r="N79" s="3"/>
    </row>
    <row r="80" spans="4:14" ht="12.75">
      <c r="D80" s="3"/>
      <c r="I80" s="3"/>
      <c r="N80" s="3"/>
    </row>
    <row r="81" spans="4:14" ht="12.75">
      <c r="D81" s="3"/>
      <c r="I81" s="3"/>
      <c r="N81" s="3"/>
    </row>
    <row r="82" spans="4:14" ht="12.75">
      <c r="D82" s="3"/>
      <c r="I82" s="3"/>
      <c r="N82" s="3"/>
    </row>
    <row r="83" spans="4:14" ht="12.75">
      <c r="D83" s="3"/>
      <c r="I83" s="3"/>
      <c r="N83" s="3"/>
    </row>
    <row r="84" spans="4:14" ht="12.75">
      <c r="D84" s="3"/>
      <c r="I84" s="3"/>
      <c r="N84" s="3"/>
    </row>
    <row r="85" spans="4:14" ht="12.75">
      <c r="D85" s="3"/>
      <c r="I85" s="3"/>
      <c r="N85" s="3"/>
    </row>
    <row r="86" spans="4:14" ht="12.75">
      <c r="D86" s="3"/>
      <c r="I86" s="3"/>
      <c r="N86" s="3"/>
    </row>
    <row r="87" spans="4:14" ht="12.75">
      <c r="D87" s="3"/>
      <c r="I87" s="3"/>
      <c r="N87" s="3"/>
    </row>
    <row r="88" spans="4:14" ht="12.75">
      <c r="D88" s="3"/>
      <c r="I88" s="3"/>
      <c r="N88" s="3"/>
    </row>
    <row r="89" spans="4:14" ht="12.75">
      <c r="D89" s="3"/>
      <c r="I89" s="3"/>
      <c r="N89" s="3"/>
    </row>
    <row r="90" spans="4:14" ht="12.75">
      <c r="D90" s="3"/>
      <c r="I90" s="3"/>
      <c r="N90" s="3"/>
    </row>
    <row r="91" spans="4:14" ht="12.75">
      <c r="D91" s="3"/>
      <c r="I91" s="3"/>
      <c r="N91" s="3"/>
    </row>
    <row r="92" spans="4:14" ht="12.75">
      <c r="D92" s="3"/>
      <c r="I92" s="3"/>
      <c r="N92" s="3"/>
    </row>
    <row r="93" spans="4:14" ht="12.75">
      <c r="D93" s="3"/>
      <c r="I93" s="3"/>
      <c r="N93" s="3"/>
    </row>
    <row r="94" spans="4:14" ht="12.75">
      <c r="D94" s="3"/>
      <c r="I94" s="3"/>
      <c r="N94" s="3"/>
    </row>
    <row r="95" spans="4:14" ht="12.75">
      <c r="D95" s="3"/>
      <c r="I95" s="3"/>
      <c r="N95" s="3"/>
    </row>
    <row r="96" spans="4:14" ht="12.75">
      <c r="D96" s="3"/>
      <c r="I96" s="3"/>
      <c r="N96" s="3"/>
    </row>
    <row r="97" spans="4:14" ht="12.75">
      <c r="D97" s="3"/>
      <c r="I97" s="3"/>
      <c r="N97" s="3"/>
    </row>
    <row r="104" spans="4:14" ht="12.75">
      <c r="D104" s="3"/>
      <c r="I104" s="3"/>
      <c r="N104" s="3"/>
    </row>
    <row r="105" spans="3:18" ht="12.75">
      <c r="C105" s="5"/>
      <c r="E105" s="8"/>
      <c r="F105" s="11"/>
      <c r="G105" s="8"/>
      <c r="H105" s="11"/>
      <c r="J105" s="8"/>
      <c r="K105" s="8"/>
      <c r="L105" s="8"/>
      <c r="M105" s="8"/>
      <c r="O105" s="8"/>
      <c r="P105" s="8"/>
      <c r="Q105" s="8"/>
      <c r="R105" s="8"/>
    </row>
    <row r="106" spans="3:18" ht="12.75">
      <c r="C106" s="5"/>
      <c r="E106" s="8"/>
      <c r="G106" s="8"/>
      <c r="J106" s="8"/>
      <c r="K106" s="7"/>
      <c r="L106" s="8"/>
      <c r="M106" s="7"/>
      <c r="O106" s="8"/>
      <c r="P106" s="7"/>
      <c r="Q106" s="8"/>
      <c r="R106" s="7"/>
    </row>
    <row r="107" ht="12.75">
      <c r="O107" s="14"/>
    </row>
    <row r="108" spans="3:18" ht="12.75">
      <c r="C108" s="5"/>
      <c r="E108" s="14"/>
      <c r="F108" s="17"/>
      <c r="G108" s="14"/>
      <c r="H108" s="17"/>
      <c r="I108" s="11"/>
      <c r="J108" s="16"/>
      <c r="K108" s="14"/>
      <c r="L108" s="14"/>
      <c r="M108" s="14"/>
      <c r="N108" s="11"/>
      <c r="O108" s="14"/>
      <c r="P108" s="7"/>
      <c r="Q108" s="14"/>
      <c r="R108" s="7"/>
    </row>
    <row r="109" spans="3:18" ht="12.75">
      <c r="C109" s="5"/>
      <c r="E109" s="14"/>
      <c r="F109" s="17"/>
      <c r="G109" s="14"/>
      <c r="H109" s="17"/>
      <c r="I109" s="11"/>
      <c r="J109" s="16"/>
      <c r="K109" s="14"/>
      <c r="L109" s="14"/>
      <c r="M109" s="14"/>
      <c r="N109" s="11"/>
      <c r="O109" s="21"/>
      <c r="P109" s="7"/>
      <c r="Q109" s="14"/>
      <c r="R109" s="7"/>
    </row>
    <row r="110" spans="3:18" ht="12.75">
      <c r="C110" s="5"/>
      <c r="E110" s="14"/>
      <c r="F110" s="17"/>
      <c r="G110" s="14"/>
      <c r="H110" s="17"/>
      <c r="I110" s="11"/>
      <c r="J110" s="16"/>
      <c r="K110" s="14"/>
      <c r="L110" s="14"/>
      <c r="M110" s="14"/>
      <c r="N110" s="11"/>
      <c r="O110" s="21"/>
      <c r="P110" s="7"/>
      <c r="Q110" s="14"/>
      <c r="R110" s="7"/>
    </row>
    <row r="111" spans="3:18" ht="12.75">
      <c r="C111" s="5"/>
      <c r="E111" s="14"/>
      <c r="F111" s="17"/>
      <c r="G111" s="14"/>
      <c r="H111" s="17"/>
      <c r="I111" s="11"/>
      <c r="J111" s="16"/>
      <c r="K111" s="14"/>
      <c r="L111" s="14"/>
      <c r="M111" s="14"/>
      <c r="N111" s="11"/>
      <c r="O111" s="21"/>
      <c r="P111" s="7"/>
      <c r="Q111" s="14"/>
      <c r="R111" s="7"/>
    </row>
    <row r="112" spans="3:18" ht="12.75">
      <c r="C112" s="5"/>
      <c r="E112" s="14"/>
      <c r="F112" s="17"/>
      <c r="G112" s="14"/>
      <c r="H112" s="17"/>
      <c r="I112" s="11"/>
      <c r="J112" s="16"/>
      <c r="K112" s="14"/>
      <c r="L112" s="14"/>
      <c r="M112" s="14"/>
      <c r="N112" s="11"/>
      <c r="O112" s="21"/>
      <c r="P112" s="7"/>
      <c r="Q112" s="14"/>
      <c r="R112" s="7"/>
    </row>
    <row r="113" spans="3:18" ht="12.75">
      <c r="C113" s="5"/>
      <c r="E113" s="14"/>
      <c r="F113" s="17"/>
      <c r="G113" s="14"/>
      <c r="H113" s="17"/>
      <c r="I113" s="11"/>
      <c r="J113" s="16"/>
      <c r="K113" s="14"/>
      <c r="L113" s="14"/>
      <c r="M113" s="14"/>
      <c r="N113" s="11"/>
      <c r="O113" s="21"/>
      <c r="P113" s="7"/>
      <c r="Q113" s="14"/>
      <c r="R113" s="7"/>
    </row>
    <row r="114" spans="3:18" ht="12.75">
      <c r="C114" s="5"/>
      <c r="E114" s="14"/>
      <c r="F114" s="17"/>
      <c r="G114" s="14"/>
      <c r="H114" s="17"/>
      <c r="I114" s="11"/>
      <c r="J114" s="16"/>
      <c r="K114" s="14"/>
      <c r="L114" s="14"/>
      <c r="M114" s="14"/>
      <c r="N114" s="11"/>
      <c r="O114" s="21"/>
      <c r="P114" s="7"/>
      <c r="Q114" s="14"/>
      <c r="R114" s="7"/>
    </row>
    <row r="115" spans="3:18" ht="12.75">
      <c r="C115" s="5"/>
      <c r="E115" s="14"/>
      <c r="F115" s="17"/>
      <c r="G115" s="14"/>
      <c r="H115" s="17"/>
      <c r="I115" s="11"/>
      <c r="J115" s="16"/>
      <c r="K115" s="14"/>
      <c r="L115" s="14"/>
      <c r="M115" s="14"/>
      <c r="N115" s="11"/>
      <c r="O115" s="21"/>
      <c r="P115" s="7"/>
      <c r="Q115" s="14"/>
      <c r="R115" s="7"/>
    </row>
    <row r="116" spans="3:18" ht="12.75">
      <c r="C116" s="5"/>
      <c r="E116" s="14"/>
      <c r="F116" s="17"/>
      <c r="G116" s="14"/>
      <c r="H116" s="17"/>
      <c r="I116" s="11"/>
      <c r="J116" s="16"/>
      <c r="K116" s="14"/>
      <c r="L116" s="14"/>
      <c r="M116" s="14"/>
      <c r="N116" s="11"/>
      <c r="O116" s="21"/>
      <c r="P116" s="7"/>
      <c r="Q116" s="14"/>
      <c r="R116" s="7"/>
    </row>
    <row r="117" spans="3:18" ht="12.75">
      <c r="C117" s="5"/>
      <c r="E117" s="14"/>
      <c r="F117" s="17"/>
      <c r="G117" s="14"/>
      <c r="H117" s="17"/>
      <c r="I117" s="11"/>
      <c r="J117" s="16"/>
      <c r="K117" s="14"/>
      <c r="L117" s="14"/>
      <c r="M117" s="14"/>
      <c r="N117" s="11"/>
      <c r="O117" s="21"/>
      <c r="P117" s="7"/>
      <c r="Q117" s="14"/>
      <c r="R117" s="7"/>
    </row>
    <row r="118" spans="3:18" ht="12.75">
      <c r="C118" s="5"/>
      <c r="E118" s="14"/>
      <c r="F118" s="17"/>
      <c r="G118" s="14"/>
      <c r="H118" s="17"/>
      <c r="I118" s="11"/>
      <c r="J118" s="16"/>
      <c r="K118" s="14"/>
      <c r="L118" s="14"/>
      <c r="M118" s="14"/>
      <c r="N118" s="11"/>
      <c r="O118" s="21"/>
      <c r="P118" s="7"/>
      <c r="Q118" s="14"/>
      <c r="R118" s="7"/>
    </row>
    <row r="119" spans="3:18" ht="12.75">
      <c r="C119" s="5"/>
      <c r="E119" s="14"/>
      <c r="F119" s="17"/>
      <c r="G119" s="14"/>
      <c r="H119" s="17"/>
      <c r="I119" s="11"/>
      <c r="J119" s="16"/>
      <c r="K119" s="14"/>
      <c r="L119" s="14"/>
      <c r="M119" s="14"/>
      <c r="N119" s="11"/>
      <c r="O119" s="21"/>
      <c r="P119" s="7"/>
      <c r="Q119" s="14"/>
      <c r="R119" s="7"/>
    </row>
    <row r="120" spans="3:18" ht="12.75">
      <c r="C120" s="5"/>
      <c r="E120" s="14"/>
      <c r="F120" s="17"/>
      <c r="G120" s="14"/>
      <c r="H120" s="17"/>
      <c r="I120" s="11"/>
      <c r="J120" s="16"/>
      <c r="K120" s="14"/>
      <c r="L120" s="14"/>
      <c r="M120" s="14"/>
      <c r="N120" s="11"/>
      <c r="O120" s="21"/>
      <c r="P120" s="7"/>
      <c r="Q120" s="14"/>
      <c r="R120" s="7"/>
    </row>
    <row r="121" spans="3:18" ht="12.75">
      <c r="C121" s="5"/>
      <c r="E121" s="14"/>
      <c r="F121" s="17"/>
      <c r="G121" s="14"/>
      <c r="H121" s="17"/>
      <c r="I121" s="11"/>
      <c r="J121" s="16"/>
      <c r="K121" s="14"/>
      <c r="L121" s="14"/>
      <c r="M121" s="14"/>
      <c r="N121" s="11"/>
      <c r="O121" s="21"/>
      <c r="P121" s="7"/>
      <c r="Q121" s="14"/>
      <c r="R121" s="7"/>
    </row>
    <row r="122" spans="3:18" ht="12.75">
      <c r="C122" s="5"/>
      <c r="E122" s="14"/>
      <c r="F122" s="17"/>
      <c r="G122" s="14"/>
      <c r="H122" s="17"/>
      <c r="I122" s="11"/>
      <c r="J122" s="16"/>
      <c r="K122" s="14"/>
      <c r="L122" s="14"/>
      <c r="M122" s="14"/>
      <c r="N122" s="11"/>
      <c r="O122" s="21"/>
      <c r="P122" s="7"/>
      <c r="Q122" s="14"/>
      <c r="R122" s="7"/>
    </row>
    <row r="123" spans="3:18" ht="12.75">
      <c r="C123" s="5"/>
      <c r="E123" s="14"/>
      <c r="F123" s="17"/>
      <c r="G123" s="14"/>
      <c r="H123" s="17"/>
      <c r="I123" s="11"/>
      <c r="J123" s="16"/>
      <c r="K123" s="14"/>
      <c r="L123" s="14"/>
      <c r="M123" s="14"/>
      <c r="N123" s="11"/>
      <c r="O123" s="21"/>
      <c r="P123" s="7"/>
      <c r="Q123" s="14"/>
      <c r="R123" s="7"/>
    </row>
    <row r="124" spans="3:18" ht="12.75">
      <c r="C124" s="5"/>
      <c r="E124" s="14"/>
      <c r="F124" s="17"/>
      <c r="G124" s="14"/>
      <c r="H124" s="17"/>
      <c r="I124" s="11"/>
      <c r="J124" s="16"/>
      <c r="K124" s="14"/>
      <c r="L124" s="14"/>
      <c r="M124" s="14"/>
      <c r="N124" s="11"/>
      <c r="O124" s="21"/>
      <c r="P124" s="7"/>
      <c r="Q124" s="14"/>
      <c r="R124" s="7"/>
    </row>
    <row r="125" spans="3:18" ht="12.75">
      <c r="C125" s="5"/>
      <c r="E125" s="14"/>
      <c r="F125" s="17"/>
      <c r="G125" s="14"/>
      <c r="H125" s="17"/>
      <c r="I125" s="11"/>
      <c r="J125" s="16"/>
      <c r="K125" s="14"/>
      <c r="L125" s="14"/>
      <c r="M125" s="14"/>
      <c r="N125" s="11"/>
      <c r="O125" s="21"/>
      <c r="P125" s="7"/>
      <c r="Q125" s="14"/>
      <c r="R125" s="7"/>
    </row>
    <row r="126" spans="3:18" ht="12.75">
      <c r="C126" s="5"/>
      <c r="E126" s="14"/>
      <c r="F126" s="17"/>
      <c r="G126" s="14"/>
      <c r="H126" s="17"/>
      <c r="I126" s="11"/>
      <c r="J126" s="16"/>
      <c r="K126" s="14"/>
      <c r="L126" s="14"/>
      <c r="M126" s="14"/>
      <c r="N126" s="11"/>
      <c r="O126" s="21"/>
      <c r="P126" s="7"/>
      <c r="Q126" s="14"/>
      <c r="R126" s="7"/>
    </row>
    <row r="127" spans="3:18" ht="12.75">
      <c r="C127" s="5"/>
      <c r="E127" s="14"/>
      <c r="F127" s="17"/>
      <c r="G127" s="14"/>
      <c r="H127" s="17"/>
      <c r="I127" s="11"/>
      <c r="J127" s="16"/>
      <c r="K127" s="14"/>
      <c r="L127" s="14"/>
      <c r="M127" s="14"/>
      <c r="N127" s="11"/>
      <c r="O127" s="21"/>
      <c r="P127" s="7"/>
      <c r="Q127" s="14"/>
      <c r="R127" s="7"/>
    </row>
    <row r="128" spans="3:18" ht="12.75">
      <c r="C128" s="5"/>
      <c r="E128" s="14"/>
      <c r="F128" s="17"/>
      <c r="G128" s="14"/>
      <c r="H128" s="17"/>
      <c r="I128" s="11"/>
      <c r="J128" s="16"/>
      <c r="K128" s="14"/>
      <c r="L128" s="14"/>
      <c r="M128" s="14"/>
      <c r="N128" s="11"/>
      <c r="O128" s="21"/>
      <c r="P128" s="7"/>
      <c r="Q128" s="14"/>
      <c r="R128" s="7"/>
    </row>
    <row r="129" spans="3:18" ht="12.75">
      <c r="C129" s="5"/>
      <c r="E129" s="14"/>
      <c r="F129" s="17"/>
      <c r="G129" s="14"/>
      <c r="H129" s="17"/>
      <c r="I129" s="11"/>
      <c r="J129" s="16"/>
      <c r="K129" s="14"/>
      <c r="L129" s="14"/>
      <c r="M129" s="14"/>
      <c r="N129" s="11"/>
      <c r="O129" s="21"/>
      <c r="P129" s="7"/>
      <c r="Q129" s="14"/>
      <c r="R129" s="7"/>
    </row>
    <row r="130" spans="3:18" ht="12.75">
      <c r="C130" s="5"/>
      <c r="E130" s="14"/>
      <c r="F130" s="17"/>
      <c r="G130" s="14"/>
      <c r="H130" s="17"/>
      <c r="I130" s="11"/>
      <c r="J130" s="16"/>
      <c r="K130" s="14"/>
      <c r="L130" s="14"/>
      <c r="M130" s="14"/>
      <c r="N130" s="11"/>
      <c r="O130" s="21"/>
      <c r="P130" s="7"/>
      <c r="Q130" s="14"/>
      <c r="R130" s="7"/>
    </row>
    <row r="131" spans="3:18" ht="12.75">
      <c r="C131" s="5"/>
      <c r="E131" s="14"/>
      <c r="F131" s="17"/>
      <c r="G131" s="14"/>
      <c r="H131" s="17"/>
      <c r="I131" s="11"/>
      <c r="J131" s="16"/>
      <c r="K131" s="14"/>
      <c r="L131" s="14"/>
      <c r="M131" s="14"/>
      <c r="N131" s="11"/>
      <c r="O131" s="21"/>
      <c r="P131" s="7"/>
      <c r="Q131" s="14"/>
      <c r="R131" s="7"/>
    </row>
    <row r="132" spans="3:18" ht="12.75">
      <c r="C132" s="5"/>
      <c r="E132" s="14"/>
      <c r="F132" s="17"/>
      <c r="G132" s="14"/>
      <c r="H132" s="17"/>
      <c r="I132" s="11"/>
      <c r="J132" s="16"/>
      <c r="K132" s="14"/>
      <c r="L132" s="14"/>
      <c r="M132" s="14"/>
      <c r="N132" s="11"/>
      <c r="O132" s="21"/>
      <c r="P132" s="7"/>
      <c r="Q132" s="14"/>
      <c r="R132" s="7"/>
    </row>
    <row r="133" spans="5:17" ht="12.75">
      <c r="E133" s="17"/>
      <c r="G133" s="17"/>
      <c r="I133" s="18"/>
      <c r="J133" s="17"/>
      <c r="K133" s="14"/>
      <c r="L133" s="14"/>
      <c r="M133" s="14"/>
      <c r="N133" s="18"/>
      <c r="O133" s="16"/>
      <c r="Q133" s="17"/>
    </row>
    <row r="134" spans="5:18" ht="12.75">
      <c r="E134" s="17"/>
      <c r="F134" s="17"/>
      <c r="G134" s="17"/>
      <c r="H134" s="17"/>
      <c r="I134" s="18"/>
      <c r="J134" s="17"/>
      <c r="K134" s="14"/>
      <c r="L134" s="14"/>
      <c r="M134" s="14"/>
      <c r="N134" s="18"/>
      <c r="O134" s="17"/>
      <c r="P134" s="17"/>
      <c r="Q134" s="17"/>
      <c r="R134" s="17"/>
    </row>
    <row r="135" spans="5:18" ht="12.75">
      <c r="E135" s="17"/>
      <c r="F135" s="17"/>
      <c r="G135" s="17"/>
      <c r="H135" s="17"/>
      <c r="I135" s="18"/>
      <c r="J135" s="17"/>
      <c r="K135" s="14"/>
      <c r="L135" s="14"/>
      <c r="M135" s="14"/>
      <c r="N135" s="18"/>
      <c r="O135" s="17"/>
      <c r="P135" s="17"/>
      <c r="Q135" s="17"/>
      <c r="R135" s="17"/>
    </row>
    <row r="136" spans="5:18" ht="12.75">
      <c r="E136" s="17"/>
      <c r="F136" s="16"/>
      <c r="G136" s="17"/>
      <c r="H136" s="16"/>
      <c r="I136" s="20"/>
      <c r="J136" s="17"/>
      <c r="K136" s="21"/>
      <c r="L136" s="14"/>
      <c r="M136" s="21"/>
      <c r="N136" s="18"/>
      <c r="O136" s="17"/>
      <c r="P136" s="17"/>
      <c r="Q136" s="17"/>
      <c r="R136" s="17"/>
    </row>
    <row r="137" spans="3:18" ht="12.75">
      <c r="C137" s="7"/>
      <c r="D137" s="11"/>
      <c r="E137" s="14"/>
      <c r="F137" s="17"/>
      <c r="G137" s="14"/>
      <c r="H137" s="17"/>
      <c r="I137" s="11"/>
      <c r="J137" s="14"/>
      <c r="K137" s="14"/>
      <c r="L137" s="14"/>
      <c r="M137" s="14"/>
      <c r="N137" s="11"/>
      <c r="O137" s="17"/>
      <c r="P137" s="7"/>
      <c r="Q137" s="7"/>
      <c r="R137" s="7"/>
    </row>
    <row r="138" spans="3:18" ht="12.75">
      <c r="C138" s="7"/>
      <c r="D138" s="11"/>
      <c r="E138" s="17"/>
      <c r="G138" s="15"/>
      <c r="I138" s="11"/>
      <c r="J138" s="17"/>
      <c r="K138" s="7"/>
      <c r="L138" s="14"/>
      <c r="M138" s="7"/>
      <c r="N138" s="11"/>
      <c r="O138" s="17"/>
      <c r="P138" s="15"/>
      <c r="Q138" s="15"/>
      <c r="R138" s="15"/>
    </row>
  </sheetData>
  <printOptions headings="1" horizontalCentered="1"/>
  <pageMargins left="0.25" right="0.25" top="0.5" bottom="0.5" header="0.25" footer="0.25"/>
  <pageSetup horizontalDpi="1200" verticalDpi="1200" orientation="landscape" scale="80" r:id="rId1"/>
  <headerFooter alignWithMargins="0">
    <oddFooter>&amp;C&amp;P, &amp;F,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E138"/>
  <sheetViews>
    <sheetView workbookViewId="0" topLeftCell="A25">
      <selection activeCell="C1" sqref="C1"/>
    </sheetView>
  </sheetViews>
  <sheetFormatPr defaultColWidth="9.140625" defaultRowHeight="12.75"/>
  <cols>
    <col min="1" max="1" width="2.8515625" style="4" customWidth="1"/>
    <col min="2" max="2" width="25.8515625" style="4" customWidth="1"/>
    <col min="3" max="3" width="7.8515625" style="4" customWidth="1"/>
    <col min="4" max="4" width="7.00390625" style="5" customWidth="1"/>
    <col min="5" max="5" width="8.7109375" style="6" customWidth="1"/>
    <col min="6" max="6" width="9.28125" style="7" customWidth="1"/>
    <col min="7" max="7" width="10.00390625" style="6" customWidth="1"/>
    <col min="8" max="8" width="9.28125" style="7" customWidth="1"/>
    <col min="9" max="9" width="5.57421875" style="8" customWidth="1"/>
    <col min="10" max="10" width="7.00390625" style="6" customWidth="1"/>
    <col min="11" max="11" width="8.28125" style="6" customWidth="1"/>
    <col min="12" max="12" width="8.421875" style="6" customWidth="1"/>
    <col min="13" max="13" width="8.28125" style="6" customWidth="1"/>
    <col min="14" max="14" width="3.57421875" style="8" customWidth="1"/>
    <col min="15" max="15" width="7.8515625" style="6" customWidth="1"/>
    <col min="16" max="18" width="8.7109375" style="6" customWidth="1"/>
    <col min="19" max="19" width="7.421875" style="0" customWidth="1"/>
    <col min="20" max="31" width="10.8515625" style="0" customWidth="1"/>
    <col min="32" max="16384" width="10.8515625" style="4" customWidth="1"/>
  </cols>
  <sheetData>
    <row r="1" ht="12.75">
      <c r="A1" s="40" t="s">
        <v>80</v>
      </c>
    </row>
    <row r="2" ht="12.75">
      <c r="A2" s="4" t="s">
        <v>303</v>
      </c>
    </row>
    <row r="3" spans="1:3" ht="12.75">
      <c r="A3" s="4" t="s">
        <v>21</v>
      </c>
      <c r="C3" s="9" t="s">
        <v>158</v>
      </c>
    </row>
    <row r="4" spans="1:18" ht="12.75">
      <c r="A4" s="4" t="s">
        <v>22</v>
      </c>
      <c r="C4" s="9" t="s">
        <v>146</v>
      </c>
      <c r="E4" s="10"/>
      <c r="F4" s="11"/>
      <c r="G4" s="10"/>
      <c r="H4" s="11"/>
      <c r="J4" s="10"/>
      <c r="K4" s="10"/>
      <c r="L4" s="10"/>
      <c r="M4" s="10"/>
      <c r="O4" s="10"/>
      <c r="P4" s="10"/>
      <c r="Q4" s="10"/>
      <c r="R4" s="10"/>
    </row>
    <row r="5" spans="1:3" ht="12.75">
      <c r="A5" s="4" t="s">
        <v>23</v>
      </c>
      <c r="C5" s="9" t="s">
        <v>159</v>
      </c>
    </row>
    <row r="6" spans="3:17" ht="12.75">
      <c r="C6" s="5"/>
      <c r="E6" s="8"/>
      <c r="G6" s="8"/>
      <c r="J6" s="8"/>
      <c r="L6" s="8"/>
      <c r="O6" s="8"/>
      <c r="Q6" s="8"/>
    </row>
    <row r="7" spans="3:31" ht="12.75">
      <c r="C7" s="5" t="s">
        <v>24</v>
      </c>
      <c r="E7" s="12" t="s">
        <v>25</v>
      </c>
      <c r="F7" s="12"/>
      <c r="G7" s="12"/>
      <c r="H7" s="12"/>
      <c r="I7" s="13"/>
      <c r="J7" s="12" t="s">
        <v>26</v>
      </c>
      <c r="K7" s="12"/>
      <c r="L7" s="12"/>
      <c r="M7" s="12"/>
      <c r="N7" s="13"/>
      <c r="O7" s="12" t="s">
        <v>27</v>
      </c>
      <c r="P7" s="12"/>
      <c r="Q7" s="12"/>
      <c r="R7" s="12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</row>
    <row r="8" spans="3:31" ht="12.75">
      <c r="C8" s="5" t="s">
        <v>28</v>
      </c>
      <c r="E8" s="8" t="s">
        <v>29</v>
      </c>
      <c r="F8" s="11" t="s">
        <v>30</v>
      </c>
      <c r="G8" s="8" t="s">
        <v>29</v>
      </c>
      <c r="H8" s="11" t="s">
        <v>30</v>
      </c>
      <c r="J8" s="8" t="s">
        <v>29</v>
      </c>
      <c r="K8" s="8" t="s">
        <v>31</v>
      </c>
      <c r="L8" s="8" t="s">
        <v>29</v>
      </c>
      <c r="M8" s="8" t="s">
        <v>31</v>
      </c>
      <c r="O8" s="8" t="s">
        <v>29</v>
      </c>
      <c r="P8" s="8" t="s">
        <v>31</v>
      </c>
      <c r="Q8" s="8" t="s">
        <v>29</v>
      </c>
      <c r="R8" s="8" t="s">
        <v>31</v>
      </c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</row>
    <row r="9" spans="3:31" ht="12.75">
      <c r="C9" s="5"/>
      <c r="E9" s="8" t="s">
        <v>213</v>
      </c>
      <c r="F9" s="8" t="s">
        <v>213</v>
      </c>
      <c r="G9" s="8" t="s">
        <v>69</v>
      </c>
      <c r="H9" s="11" t="s">
        <v>69</v>
      </c>
      <c r="J9" s="8" t="s">
        <v>213</v>
      </c>
      <c r="K9" s="8" t="s">
        <v>213</v>
      </c>
      <c r="L9" s="8" t="s">
        <v>69</v>
      </c>
      <c r="M9" s="11" t="s">
        <v>69</v>
      </c>
      <c r="O9" s="8" t="s">
        <v>213</v>
      </c>
      <c r="P9" s="8" t="s">
        <v>213</v>
      </c>
      <c r="Q9" s="8" t="s">
        <v>69</v>
      </c>
      <c r="R9" s="11" t="s">
        <v>69</v>
      </c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</row>
    <row r="10" spans="1:15" ht="13.5" customHeight="1">
      <c r="A10" s="4" t="s">
        <v>160</v>
      </c>
      <c r="O10" s="14"/>
    </row>
    <row r="11" spans="2:18" ht="12.75">
      <c r="B11" s="4" t="s">
        <v>32</v>
      </c>
      <c r="C11" s="5">
        <v>1</v>
      </c>
      <c r="D11" s="3"/>
      <c r="E11">
        <v>800</v>
      </c>
      <c r="F11" s="14">
        <f aca="true" t="shared" si="0" ref="F11:H35">IF(E11="","",E11*$C11)</f>
        <v>800</v>
      </c>
      <c r="G11" s="14">
        <f aca="true" t="shared" si="1" ref="G11:G20">IF(E11=0,"",IF(D11="nd",E11/2,E11))</f>
        <v>800</v>
      </c>
      <c r="H11" s="14">
        <f t="shared" si="0"/>
        <v>800</v>
      </c>
      <c r="I11" s="3" t="s">
        <v>12</v>
      </c>
      <c r="J11">
        <v>78</v>
      </c>
      <c r="K11" s="14">
        <f aca="true" t="shared" si="2" ref="K11:M35">IF(J11="","",J11*$C11)</f>
        <v>78</v>
      </c>
      <c r="L11" s="14">
        <f>IF(J11=0,"",IF(I11="nd",J11/2,J11))</f>
        <v>39</v>
      </c>
      <c r="M11" s="14">
        <f t="shared" si="2"/>
        <v>39</v>
      </c>
      <c r="N11" s="3"/>
      <c r="O11">
        <v>500</v>
      </c>
      <c r="P11" s="14">
        <f aca="true" t="shared" si="3" ref="P11:R35">IF(O11="","",O11*$C11)</f>
        <v>500</v>
      </c>
      <c r="Q11" s="14">
        <f>IF(O11=0,"",IF(N11="nd",O11/2,O11))</f>
        <v>500</v>
      </c>
      <c r="R11" s="14">
        <f t="shared" si="3"/>
        <v>500</v>
      </c>
    </row>
    <row r="12" spans="2:18" ht="12.75">
      <c r="B12" s="4" t="s">
        <v>33</v>
      </c>
      <c r="C12" s="5">
        <v>0</v>
      </c>
      <c r="D12" s="3"/>
      <c r="E12">
        <v>18000</v>
      </c>
      <c r="F12" s="14">
        <f t="shared" si="0"/>
        <v>0</v>
      </c>
      <c r="G12" s="14">
        <f t="shared" si="1"/>
        <v>18000</v>
      </c>
      <c r="H12" s="14">
        <f t="shared" si="0"/>
        <v>0</v>
      </c>
      <c r="I12" s="3"/>
      <c r="J12">
        <v>75</v>
      </c>
      <c r="K12" s="14">
        <f t="shared" si="2"/>
        <v>0</v>
      </c>
      <c r="L12" s="14">
        <f aca="true" t="shared" si="4" ref="L12:L35">IF(J12=0,"",IF(I12="nd",J12/2,J12))</f>
        <v>75</v>
      </c>
      <c r="M12" s="14">
        <f t="shared" si="2"/>
        <v>0</v>
      </c>
      <c r="N12" s="3"/>
      <c r="O12">
        <v>13000</v>
      </c>
      <c r="P12" s="14">
        <f t="shared" si="3"/>
        <v>0</v>
      </c>
      <c r="Q12" s="14">
        <f aca="true" t="shared" si="5" ref="Q12:Q35">IF(O12=0,"",IF(N12="nd",O12/2,O12))</f>
        <v>13000</v>
      </c>
      <c r="R12" s="14">
        <f t="shared" si="3"/>
        <v>0</v>
      </c>
    </row>
    <row r="13" spans="2:18" ht="12.75">
      <c r="B13" s="4" t="s">
        <v>34</v>
      </c>
      <c r="C13" s="5">
        <v>0.5</v>
      </c>
      <c r="D13" s="3"/>
      <c r="E13">
        <v>2800</v>
      </c>
      <c r="F13" s="14">
        <f t="shared" si="0"/>
        <v>1400</v>
      </c>
      <c r="G13" s="14">
        <f t="shared" si="1"/>
        <v>2800</v>
      </c>
      <c r="H13" s="14">
        <f t="shared" si="0"/>
        <v>1400</v>
      </c>
      <c r="I13" s="3" t="s">
        <v>12</v>
      </c>
      <c r="J13">
        <v>57</v>
      </c>
      <c r="K13" s="14">
        <f t="shared" si="2"/>
        <v>28.5</v>
      </c>
      <c r="L13" s="14">
        <f t="shared" si="4"/>
        <v>28.5</v>
      </c>
      <c r="M13" s="14">
        <f t="shared" si="2"/>
        <v>14.25</v>
      </c>
      <c r="N13" s="3"/>
      <c r="O13">
        <v>2500</v>
      </c>
      <c r="P13" s="14">
        <f t="shared" si="3"/>
        <v>1250</v>
      </c>
      <c r="Q13" s="14">
        <f t="shared" si="5"/>
        <v>2500</v>
      </c>
      <c r="R13" s="14">
        <f t="shared" si="3"/>
        <v>1250</v>
      </c>
    </row>
    <row r="14" spans="2:18" ht="12.75">
      <c r="B14" s="4" t="s">
        <v>35</v>
      </c>
      <c r="C14" s="5">
        <v>0</v>
      </c>
      <c r="D14" s="3"/>
      <c r="E14">
        <v>33000</v>
      </c>
      <c r="F14" s="14">
        <f t="shared" si="0"/>
        <v>0</v>
      </c>
      <c r="G14" s="14">
        <f t="shared" si="1"/>
        <v>33000</v>
      </c>
      <c r="H14" s="14">
        <f t="shared" si="0"/>
        <v>0</v>
      </c>
      <c r="I14" s="3" t="s">
        <v>12</v>
      </c>
      <c r="J14">
        <v>140</v>
      </c>
      <c r="K14" s="14">
        <f t="shared" si="2"/>
        <v>0</v>
      </c>
      <c r="L14" s="14">
        <f t="shared" si="4"/>
        <v>70</v>
      </c>
      <c r="M14" s="14">
        <f t="shared" si="2"/>
        <v>0</v>
      </c>
      <c r="N14" s="3"/>
      <c r="O14">
        <v>28000</v>
      </c>
      <c r="P14" s="14">
        <f t="shared" si="3"/>
        <v>0</v>
      </c>
      <c r="Q14" s="14">
        <f t="shared" si="5"/>
        <v>28000</v>
      </c>
      <c r="R14" s="14">
        <f t="shared" si="3"/>
        <v>0</v>
      </c>
    </row>
    <row r="15" spans="2:18" ht="12.75">
      <c r="B15" s="4" t="s">
        <v>36</v>
      </c>
      <c r="C15" s="5">
        <v>0.1</v>
      </c>
      <c r="D15" s="3"/>
      <c r="E15">
        <v>1300</v>
      </c>
      <c r="F15" s="14">
        <f t="shared" si="0"/>
        <v>130</v>
      </c>
      <c r="G15" s="14">
        <f t="shared" si="1"/>
        <v>1300</v>
      </c>
      <c r="H15" s="14">
        <f t="shared" si="0"/>
        <v>130</v>
      </c>
      <c r="I15" s="3" t="s">
        <v>12</v>
      </c>
      <c r="J15">
        <v>42</v>
      </c>
      <c r="K15" s="14">
        <f t="shared" si="2"/>
        <v>4.2</v>
      </c>
      <c r="L15" s="14">
        <f t="shared" si="4"/>
        <v>21</v>
      </c>
      <c r="M15" s="14">
        <f t="shared" si="2"/>
        <v>2.1</v>
      </c>
      <c r="N15" s="3"/>
      <c r="O15">
        <v>1100</v>
      </c>
      <c r="P15" s="14">
        <f t="shared" si="3"/>
        <v>110</v>
      </c>
      <c r="Q15" s="14">
        <f t="shared" si="5"/>
        <v>1100</v>
      </c>
      <c r="R15" s="14">
        <f t="shared" si="3"/>
        <v>110</v>
      </c>
    </row>
    <row r="16" spans="2:18" ht="12.75">
      <c r="B16" s="4" t="s">
        <v>37</v>
      </c>
      <c r="C16" s="5">
        <v>0.1</v>
      </c>
      <c r="D16" s="3"/>
      <c r="E16">
        <v>1800</v>
      </c>
      <c r="F16" s="14">
        <f t="shared" si="0"/>
        <v>180</v>
      </c>
      <c r="G16" s="14">
        <f t="shared" si="1"/>
        <v>1800</v>
      </c>
      <c r="H16" s="14">
        <f t="shared" si="0"/>
        <v>180</v>
      </c>
      <c r="I16" s="3" t="s">
        <v>12</v>
      </c>
      <c r="J16">
        <v>46</v>
      </c>
      <c r="K16" s="14">
        <f t="shared" si="2"/>
        <v>4.6000000000000005</v>
      </c>
      <c r="L16" s="14">
        <f t="shared" si="4"/>
        <v>23</v>
      </c>
      <c r="M16" s="14">
        <f t="shared" si="2"/>
        <v>2.3000000000000003</v>
      </c>
      <c r="N16" s="3"/>
      <c r="O16">
        <v>1500</v>
      </c>
      <c r="P16" s="14">
        <f t="shared" si="3"/>
        <v>150</v>
      </c>
      <c r="Q16" s="14">
        <f t="shared" si="5"/>
        <v>1500</v>
      </c>
      <c r="R16" s="14">
        <f t="shared" si="3"/>
        <v>150</v>
      </c>
    </row>
    <row r="17" spans="2:18" ht="12.75">
      <c r="B17" s="4" t="s">
        <v>38</v>
      </c>
      <c r="C17" s="5">
        <v>0.1</v>
      </c>
      <c r="D17" s="3"/>
      <c r="E17">
        <v>3200</v>
      </c>
      <c r="F17" s="14">
        <f t="shared" si="0"/>
        <v>320</v>
      </c>
      <c r="G17" s="14">
        <f t="shared" si="1"/>
        <v>3200</v>
      </c>
      <c r="H17" s="14">
        <f t="shared" si="0"/>
        <v>320</v>
      </c>
      <c r="I17" s="3" t="s">
        <v>12</v>
      </c>
      <c r="J17">
        <v>40</v>
      </c>
      <c r="K17" s="14">
        <f t="shared" si="2"/>
        <v>4</v>
      </c>
      <c r="L17" s="14">
        <f t="shared" si="4"/>
        <v>20</v>
      </c>
      <c r="M17" s="14">
        <f t="shared" si="2"/>
        <v>2</v>
      </c>
      <c r="N17" s="3"/>
      <c r="O17">
        <v>2800</v>
      </c>
      <c r="P17" s="14">
        <f t="shared" si="3"/>
        <v>280</v>
      </c>
      <c r="Q17" s="14">
        <f t="shared" si="5"/>
        <v>2800</v>
      </c>
      <c r="R17" s="14">
        <f t="shared" si="3"/>
        <v>280</v>
      </c>
    </row>
    <row r="18" spans="2:18" ht="12.75">
      <c r="B18" s="4" t="s">
        <v>39</v>
      </c>
      <c r="C18" s="5">
        <v>0</v>
      </c>
      <c r="D18" s="3"/>
      <c r="E18">
        <v>27000</v>
      </c>
      <c r="F18" s="14">
        <f t="shared" si="0"/>
        <v>0</v>
      </c>
      <c r="G18" s="14">
        <f t="shared" si="1"/>
        <v>27000</v>
      </c>
      <c r="H18" s="14">
        <f t="shared" si="0"/>
        <v>0</v>
      </c>
      <c r="I18" s="3"/>
      <c r="J18">
        <v>25</v>
      </c>
      <c r="K18" s="14">
        <f t="shared" si="2"/>
        <v>0</v>
      </c>
      <c r="L18" s="14">
        <f t="shared" si="4"/>
        <v>25</v>
      </c>
      <c r="M18" s="14">
        <f t="shared" si="2"/>
        <v>0</v>
      </c>
      <c r="N18" s="3"/>
      <c r="O18">
        <v>22000</v>
      </c>
      <c r="P18" s="14">
        <f t="shared" si="3"/>
        <v>0</v>
      </c>
      <c r="Q18" s="14">
        <f t="shared" si="5"/>
        <v>22000</v>
      </c>
      <c r="R18" s="14">
        <f t="shared" si="3"/>
        <v>0</v>
      </c>
    </row>
    <row r="19" spans="2:18" ht="12.75">
      <c r="B19" s="4" t="s">
        <v>40</v>
      </c>
      <c r="C19" s="5">
        <v>0.01</v>
      </c>
      <c r="D19" s="3"/>
      <c r="E19">
        <v>5600</v>
      </c>
      <c r="F19" s="14">
        <f t="shared" si="0"/>
        <v>56</v>
      </c>
      <c r="G19" s="14">
        <f t="shared" si="1"/>
        <v>5600</v>
      </c>
      <c r="H19" s="14">
        <f t="shared" si="0"/>
        <v>56</v>
      </c>
      <c r="I19" s="3" t="s">
        <v>12</v>
      </c>
      <c r="J19">
        <v>88</v>
      </c>
      <c r="K19" s="14">
        <f t="shared" si="2"/>
        <v>0.88</v>
      </c>
      <c r="L19" s="14">
        <f t="shared" si="4"/>
        <v>44</v>
      </c>
      <c r="M19" s="14">
        <f t="shared" si="2"/>
        <v>0.44</v>
      </c>
      <c r="N19" s="3"/>
      <c r="O19">
        <v>5300</v>
      </c>
      <c r="P19" s="14">
        <f t="shared" si="3"/>
        <v>53</v>
      </c>
      <c r="Q19" s="14">
        <f t="shared" si="5"/>
        <v>5300</v>
      </c>
      <c r="R19" s="14">
        <f t="shared" si="3"/>
        <v>53</v>
      </c>
    </row>
    <row r="20" spans="2:18" ht="12.75">
      <c r="B20" s="4" t="s">
        <v>41</v>
      </c>
      <c r="C20" s="5">
        <v>0</v>
      </c>
      <c r="D20" s="3"/>
      <c r="E20">
        <v>14000</v>
      </c>
      <c r="F20" s="14">
        <f t="shared" si="0"/>
        <v>0</v>
      </c>
      <c r="G20" s="14">
        <f t="shared" si="1"/>
        <v>14000</v>
      </c>
      <c r="H20" s="14">
        <f t="shared" si="0"/>
        <v>0</v>
      </c>
      <c r="I20" s="3" t="s">
        <v>12</v>
      </c>
      <c r="J20">
        <v>88</v>
      </c>
      <c r="K20" s="14">
        <f t="shared" si="2"/>
        <v>0</v>
      </c>
      <c r="L20" s="14">
        <f t="shared" si="4"/>
        <v>44</v>
      </c>
      <c r="M20" s="14">
        <f t="shared" si="2"/>
        <v>0</v>
      </c>
      <c r="N20" s="3"/>
      <c r="O20">
        <v>14000</v>
      </c>
      <c r="P20" s="14">
        <f t="shared" si="3"/>
        <v>0</v>
      </c>
      <c r="Q20" s="14">
        <f t="shared" si="5"/>
        <v>14000</v>
      </c>
      <c r="R20" s="14">
        <f t="shared" si="3"/>
        <v>0</v>
      </c>
    </row>
    <row r="21" spans="2:18" ht="12.75">
      <c r="B21" s="4" t="s">
        <v>42</v>
      </c>
      <c r="C21" s="5">
        <v>0.001</v>
      </c>
      <c r="D21" s="3"/>
      <c r="E21">
        <v>4100</v>
      </c>
      <c r="F21" s="14">
        <f t="shared" si="0"/>
        <v>4.1</v>
      </c>
      <c r="G21" s="14">
        <f aca="true" t="shared" si="6" ref="G21:G35">IF(E21=0,"",IF(D21="nd",E21/2,E21))</f>
        <v>4100</v>
      </c>
      <c r="H21" s="14">
        <f t="shared" si="0"/>
        <v>4.1</v>
      </c>
      <c r="I21" s="3"/>
      <c r="J21">
        <v>84</v>
      </c>
      <c r="K21" s="14">
        <f t="shared" si="2"/>
        <v>0.084</v>
      </c>
      <c r="L21" s="14">
        <f t="shared" si="4"/>
        <v>84</v>
      </c>
      <c r="M21" s="14">
        <f t="shared" si="2"/>
        <v>0.084</v>
      </c>
      <c r="N21" s="3"/>
      <c r="O21">
        <v>3900</v>
      </c>
      <c r="P21" s="14">
        <f t="shared" si="3"/>
        <v>3.9</v>
      </c>
      <c r="Q21" s="14">
        <f t="shared" si="5"/>
        <v>3900</v>
      </c>
      <c r="R21" s="14">
        <f t="shared" si="3"/>
        <v>3.9</v>
      </c>
    </row>
    <row r="22" spans="2:18" ht="12.75">
      <c r="B22" s="4" t="s">
        <v>43</v>
      </c>
      <c r="C22" s="5">
        <v>0.1</v>
      </c>
      <c r="D22" s="3"/>
      <c r="E22">
        <v>180</v>
      </c>
      <c r="F22" s="14">
        <f t="shared" si="0"/>
        <v>18</v>
      </c>
      <c r="G22" s="14">
        <f t="shared" si="6"/>
        <v>180</v>
      </c>
      <c r="H22" s="14">
        <f t="shared" si="0"/>
        <v>18</v>
      </c>
      <c r="I22" s="3" t="s">
        <v>12</v>
      </c>
      <c r="J22">
        <v>120</v>
      </c>
      <c r="K22" s="14">
        <f t="shared" si="2"/>
        <v>12</v>
      </c>
      <c r="L22" s="14">
        <f t="shared" si="4"/>
        <v>60</v>
      </c>
      <c r="M22" s="14">
        <f t="shared" si="2"/>
        <v>6</v>
      </c>
      <c r="N22" s="3"/>
      <c r="O22">
        <v>75</v>
      </c>
      <c r="P22" s="14">
        <f t="shared" si="3"/>
        <v>7.5</v>
      </c>
      <c r="Q22" s="14">
        <f t="shared" si="5"/>
        <v>75</v>
      </c>
      <c r="R22" s="14">
        <f t="shared" si="3"/>
        <v>7.5</v>
      </c>
    </row>
    <row r="23" spans="2:18" ht="12.75">
      <c r="B23" s="4" t="s">
        <v>44</v>
      </c>
      <c r="C23" s="5">
        <v>0</v>
      </c>
      <c r="D23" s="3"/>
      <c r="E23">
        <v>1800</v>
      </c>
      <c r="F23" s="14">
        <f t="shared" si="0"/>
        <v>0</v>
      </c>
      <c r="G23" s="14">
        <f t="shared" si="6"/>
        <v>1800</v>
      </c>
      <c r="H23" s="14">
        <f t="shared" si="0"/>
        <v>0</v>
      </c>
      <c r="I23" s="3" t="s">
        <v>12</v>
      </c>
      <c r="J23">
        <v>130</v>
      </c>
      <c r="K23" s="14">
        <f t="shared" si="2"/>
        <v>0</v>
      </c>
      <c r="L23" s="14">
        <f t="shared" si="4"/>
        <v>65</v>
      </c>
      <c r="M23" s="14">
        <f t="shared" si="2"/>
        <v>0</v>
      </c>
      <c r="N23" s="3"/>
      <c r="O23">
        <v>1300</v>
      </c>
      <c r="P23" s="14">
        <f t="shared" si="3"/>
        <v>0</v>
      </c>
      <c r="Q23" s="14">
        <f t="shared" si="5"/>
        <v>1300</v>
      </c>
      <c r="R23" s="14">
        <f t="shared" si="3"/>
        <v>0</v>
      </c>
    </row>
    <row r="24" spans="2:18" ht="12.75">
      <c r="B24" s="4" t="s">
        <v>45</v>
      </c>
      <c r="C24" s="5">
        <v>0.05</v>
      </c>
      <c r="D24" s="3"/>
      <c r="E24">
        <v>130</v>
      </c>
      <c r="F24" s="14">
        <f t="shared" si="0"/>
        <v>6.5</v>
      </c>
      <c r="G24" s="14">
        <f t="shared" si="6"/>
        <v>130</v>
      </c>
      <c r="H24" s="14">
        <f t="shared" si="0"/>
        <v>6.5</v>
      </c>
      <c r="I24" s="3" t="s">
        <v>12</v>
      </c>
      <c r="J24">
        <v>72</v>
      </c>
      <c r="K24" s="14">
        <f t="shared" si="2"/>
        <v>3.6</v>
      </c>
      <c r="L24" s="14">
        <f t="shared" si="4"/>
        <v>36</v>
      </c>
      <c r="M24" s="14">
        <f t="shared" si="2"/>
        <v>1.8</v>
      </c>
      <c r="N24" s="3"/>
      <c r="O24">
        <v>61</v>
      </c>
      <c r="P24" s="14">
        <f t="shared" si="3"/>
        <v>3.0500000000000003</v>
      </c>
      <c r="Q24" s="14">
        <f t="shared" si="5"/>
        <v>61</v>
      </c>
      <c r="R24" s="14">
        <f t="shared" si="3"/>
        <v>3.0500000000000003</v>
      </c>
    </row>
    <row r="25" spans="2:18" ht="12.75">
      <c r="B25" s="4" t="s">
        <v>46</v>
      </c>
      <c r="C25" s="5">
        <v>0.5</v>
      </c>
      <c r="D25" s="3" t="s">
        <v>12</v>
      </c>
      <c r="E25">
        <v>160</v>
      </c>
      <c r="F25" s="14">
        <f t="shared" si="0"/>
        <v>80</v>
      </c>
      <c r="G25" s="14">
        <f t="shared" si="6"/>
        <v>80</v>
      </c>
      <c r="H25" s="14">
        <f t="shared" si="0"/>
        <v>40</v>
      </c>
      <c r="I25" s="3" t="s">
        <v>12</v>
      </c>
      <c r="J25">
        <v>65</v>
      </c>
      <c r="K25" s="14">
        <f t="shared" si="2"/>
        <v>32.5</v>
      </c>
      <c r="L25" s="14">
        <f t="shared" si="4"/>
        <v>32.5</v>
      </c>
      <c r="M25" s="14">
        <f t="shared" si="2"/>
        <v>16.25</v>
      </c>
      <c r="N25" s="3"/>
      <c r="O25">
        <v>58</v>
      </c>
      <c r="P25" s="14">
        <f t="shared" si="3"/>
        <v>29</v>
      </c>
      <c r="Q25" s="14">
        <f t="shared" si="5"/>
        <v>58</v>
      </c>
      <c r="R25" s="14">
        <f t="shared" si="3"/>
        <v>29</v>
      </c>
    </row>
    <row r="26" spans="2:18" ht="12.75">
      <c r="B26" s="4" t="s">
        <v>47</v>
      </c>
      <c r="C26" s="5">
        <v>0</v>
      </c>
      <c r="D26" s="3"/>
      <c r="E26">
        <v>2800</v>
      </c>
      <c r="F26" s="14">
        <f t="shared" si="0"/>
        <v>0</v>
      </c>
      <c r="G26" s="14">
        <f t="shared" si="6"/>
        <v>2800</v>
      </c>
      <c r="H26" s="14">
        <f t="shared" si="0"/>
        <v>0</v>
      </c>
      <c r="I26" s="3"/>
      <c r="J26">
        <v>74</v>
      </c>
      <c r="K26" s="14">
        <f t="shared" si="2"/>
        <v>0</v>
      </c>
      <c r="L26" s="14">
        <f t="shared" si="4"/>
        <v>74</v>
      </c>
      <c r="M26" s="14">
        <f t="shared" si="2"/>
        <v>0</v>
      </c>
      <c r="N26" s="3"/>
      <c r="O26">
        <v>2400</v>
      </c>
      <c r="P26" s="14">
        <f t="shared" si="3"/>
        <v>0</v>
      </c>
      <c r="Q26" s="14">
        <f t="shared" si="5"/>
        <v>2400</v>
      </c>
      <c r="R26" s="14">
        <f t="shared" si="3"/>
        <v>0</v>
      </c>
    </row>
    <row r="27" spans="2:18" ht="12.75">
      <c r="B27" s="4" t="s">
        <v>48</v>
      </c>
      <c r="C27" s="5">
        <v>0.1</v>
      </c>
      <c r="D27" s="3"/>
      <c r="E27">
        <v>150</v>
      </c>
      <c r="F27" s="14">
        <f t="shared" si="0"/>
        <v>15</v>
      </c>
      <c r="G27" s="14">
        <f t="shared" si="6"/>
        <v>150</v>
      </c>
      <c r="H27" s="14">
        <f t="shared" si="0"/>
        <v>15</v>
      </c>
      <c r="I27" s="3"/>
      <c r="J27">
        <v>24</v>
      </c>
      <c r="K27" s="14">
        <f t="shared" si="2"/>
        <v>2.4000000000000004</v>
      </c>
      <c r="L27" s="14">
        <f t="shared" si="4"/>
        <v>24</v>
      </c>
      <c r="M27" s="14">
        <f t="shared" si="2"/>
        <v>2.4000000000000004</v>
      </c>
      <c r="N27" s="3"/>
      <c r="O27">
        <v>140</v>
      </c>
      <c r="P27" s="14">
        <f t="shared" si="3"/>
        <v>14</v>
      </c>
      <c r="Q27" s="14">
        <f t="shared" si="5"/>
        <v>140</v>
      </c>
      <c r="R27" s="14">
        <f t="shared" si="3"/>
        <v>14</v>
      </c>
    </row>
    <row r="28" spans="2:18" ht="12.75">
      <c r="B28" s="4" t="s">
        <v>49</v>
      </c>
      <c r="C28" s="5">
        <v>0.1</v>
      </c>
      <c r="D28" s="3"/>
      <c r="E28">
        <v>150</v>
      </c>
      <c r="F28" s="14">
        <f t="shared" si="0"/>
        <v>15</v>
      </c>
      <c r="G28" s="14">
        <f t="shared" si="6"/>
        <v>150</v>
      </c>
      <c r="H28" s="14">
        <f t="shared" si="0"/>
        <v>15</v>
      </c>
      <c r="I28" s="3"/>
      <c r="J28">
        <v>28</v>
      </c>
      <c r="K28" s="14">
        <f t="shared" si="2"/>
        <v>2.8000000000000003</v>
      </c>
      <c r="L28" s="14">
        <f t="shared" si="4"/>
        <v>28</v>
      </c>
      <c r="M28" s="14">
        <f t="shared" si="2"/>
        <v>2.8000000000000003</v>
      </c>
      <c r="N28" s="3"/>
      <c r="O28">
        <v>170</v>
      </c>
      <c r="P28" s="14">
        <f t="shared" si="3"/>
        <v>17</v>
      </c>
      <c r="Q28" s="14">
        <f t="shared" si="5"/>
        <v>170</v>
      </c>
      <c r="R28" s="14">
        <f t="shared" si="3"/>
        <v>17</v>
      </c>
    </row>
    <row r="29" spans="2:18" ht="12.75">
      <c r="B29" s="4" t="s">
        <v>50</v>
      </c>
      <c r="C29" s="5">
        <v>0.1</v>
      </c>
      <c r="D29" s="3" t="s">
        <v>12</v>
      </c>
      <c r="E29">
        <v>140</v>
      </c>
      <c r="F29" s="14">
        <f t="shared" si="0"/>
        <v>14</v>
      </c>
      <c r="G29" s="14">
        <f t="shared" si="6"/>
        <v>70</v>
      </c>
      <c r="H29" s="14">
        <f t="shared" si="0"/>
        <v>7</v>
      </c>
      <c r="I29" s="3"/>
      <c r="J29">
        <v>14</v>
      </c>
      <c r="K29" s="14">
        <f t="shared" si="2"/>
        <v>1.4000000000000001</v>
      </c>
      <c r="L29" s="14">
        <f t="shared" si="4"/>
        <v>14</v>
      </c>
      <c r="M29" s="14">
        <f t="shared" si="2"/>
        <v>1.4000000000000001</v>
      </c>
      <c r="N29" s="3"/>
      <c r="O29">
        <v>42</v>
      </c>
      <c r="P29" s="14">
        <f t="shared" si="3"/>
        <v>4.2</v>
      </c>
      <c r="Q29" s="14">
        <f t="shared" si="5"/>
        <v>42</v>
      </c>
      <c r="R29" s="14">
        <f t="shared" si="3"/>
        <v>4.2</v>
      </c>
    </row>
    <row r="30" spans="2:18" ht="12.75">
      <c r="B30" s="4" t="s">
        <v>51</v>
      </c>
      <c r="C30" s="5">
        <v>0.1</v>
      </c>
      <c r="D30" s="3" t="s">
        <v>12</v>
      </c>
      <c r="E30">
        <v>150</v>
      </c>
      <c r="F30" s="14">
        <f t="shared" si="0"/>
        <v>15</v>
      </c>
      <c r="G30" s="14">
        <f t="shared" si="6"/>
        <v>75</v>
      </c>
      <c r="H30" s="14">
        <f t="shared" si="0"/>
        <v>7.5</v>
      </c>
      <c r="I30" s="3" t="s">
        <v>12</v>
      </c>
      <c r="J30">
        <v>18</v>
      </c>
      <c r="K30" s="14">
        <f t="shared" si="2"/>
        <v>1.8</v>
      </c>
      <c r="L30" s="14">
        <f t="shared" si="4"/>
        <v>9</v>
      </c>
      <c r="M30" s="14">
        <f t="shared" si="2"/>
        <v>0.9</v>
      </c>
      <c r="N30" s="3" t="s">
        <v>12</v>
      </c>
      <c r="O30">
        <v>28</v>
      </c>
      <c r="P30" s="14">
        <f t="shared" si="3"/>
        <v>2.8000000000000003</v>
      </c>
      <c r="Q30" s="14">
        <f t="shared" si="5"/>
        <v>14</v>
      </c>
      <c r="R30" s="14">
        <f t="shared" si="3"/>
        <v>1.4000000000000001</v>
      </c>
    </row>
    <row r="31" spans="2:18" ht="12.75">
      <c r="B31" s="4" t="s">
        <v>52</v>
      </c>
      <c r="C31" s="5">
        <v>0</v>
      </c>
      <c r="D31" s="3"/>
      <c r="E31">
        <v>2800</v>
      </c>
      <c r="F31" s="14">
        <f t="shared" si="0"/>
        <v>0</v>
      </c>
      <c r="G31" s="14">
        <f t="shared" si="6"/>
        <v>2800</v>
      </c>
      <c r="H31" s="14">
        <f t="shared" si="0"/>
        <v>0</v>
      </c>
      <c r="I31" s="3"/>
      <c r="J31">
        <v>91</v>
      </c>
      <c r="K31" s="14">
        <f t="shared" si="2"/>
        <v>0</v>
      </c>
      <c r="L31" s="14">
        <f t="shared" si="4"/>
        <v>91</v>
      </c>
      <c r="M31" s="14">
        <f t="shared" si="2"/>
        <v>0</v>
      </c>
      <c r="N31" s="3"/>
      <c r="O31">
        <v>2600</v>
      </c>
      <c r="P31" s="14">
        <f t="shared" si="3"/>
        <v>0</v>
      </c>
      <c r="Q31" s="14">
        <f t="shared" si="5"/>
        <v>2600</v>
      </c>
      <c r="R31" s="14">
        <f t="shared" si="3"/>
        <v>0</v>
      </c>
    </row>
    <row r="32" spans="2:18" ht="12.75">
      <c r="B32" s="4" t="s">
        <v>53</v>
      </c>
      <c r="C32" s="5">
        <v>0.01</v>
      </c>
      <c r="D32" s="3"/>
      <c r="E32">
        <v>250</v>
      </c>
      <c r="F32" s="14">
        <f t="shared" si="0"/>
        <v>2.5</v>
      </c>
      <c r="G32" s="14">
        <f t="shared" si="6"/>
        <v>250</v>
      </c>
      <c r="H32" s="14">
        <f t="shared" si="0"/>
        <v>2.5</v>
      </c>
      <c r="I32" s="3"/>
      <c r="J32">
        <v>25</v>
      </c>
      <c r="K32" s="14">
        <f t="shared" si="2"/>
        <v>0.25</v>
      </c>
      <c r="L32" s="14">
        <f t="shared" si="4"/>
        <v>25</v>
      </c>
      <c r="M32" s="14">
        <f t="shared" si="2"/>
        <v>0.25</v>
      </c>
      <c r="N32" s="3"/>
      <c r="O32">
        <v>210</v>
      </c>
      <c r="P32" s="14">
        <f t="shared" si="3"/>
        <v>2.1</v>
      </c>
      <c r="Q32" s="14">
        <f t="shared" si="5"/>
        <v>210</v>
      </c>
      <c r="R32" s="14">
        <f t="shared" si="3"/>
        <v>2.1</v>
      </c>
    </row>
    <row r="33" spans="2:18" ht="12.75">
      <c r="B33" s="4" t="s">
        <v>54</v>
      </c>
      <c r="C33" s="5">
        <v>0.01</v>
      </c>
      <c r="D33" s="3" t="s">
        <v>12</v>
      </c>
      <c r="E33">
        <v>100</v>
      </c>
      <c r="F33" s="14">
        <f t="shared" si="0"/>
        <v>1</v>
      </c>
      <c r="G33" s="14">
        <f t="shared" si="6"/>
        <v>50</v>
      </c>
      <c r="H33" s="14">
        <f t="shared" si="0"/>
        <v>0.5</v>
      </c>
      <c r="I33" s="3" t="s">
        <v>12</v>
      </c>
      <c r="J33">
        <v>24</v>
      </c>
      <c r="K33" s="14">
        <f t="shared" si="2"/>
        <v>0.24</v>
      </c>
      <c r="L33" s="14">
        <f t="shared" si="4"/>
        <v>12</v>
      </c>
      <c r="M33" s="14">
        <f t="shared" si="2"/>
        <v>0.12</v>
      </c>
      <c r="N33" s="3"/>
      <c r="O33">
        <v>60</v>
      </c>
      <c r="P33" s="14">
        <f t="shared" si="3"/>
        <v>0.6</v>
      </c>
      <c r="Q33" s="14">
        <f t="shared" si="5"/>
        <v>60</v>
      </c>
      <c r="R33" s="14">
        <f t="shared" si="3"/>
        <v>0.6</v>
      </c>
    </row>
    <row r="34" spans="2:18" ht="12.75">
      <c r="B34" s="4" t="s">
        <v>55</v>
      </c>
      <c r="C34" s="5">
        <v>0</v>
      </c>
      <c r="D34" s="3"/>
      <c r="E34">
        <v>470</v>
      </c>
      <c r="F34" s="14">
        <f t="shared" si="0"/>
        <v>0</v>
      </c>
      <c r="G34" s="14">
        <f t="shared" si="6"/>
        <v>470</v>
      </c>
      <c r="H34" s="14">
        <f t="shared" si="0"/>
        <v>0</v>
      </c>
      <c r="I34" s="3"/>
      <c r="J34">
        <v>25</v>
      </c>
      <c r="K34" s="14">
        <f t="shared" si="2"/>
        <v>0</v>
      </c>
      <c r="L34" s="14">
        <f t="shared" si="4"/>
        <v>25</v>
      </c>
      <c r="M34" s="14">
        <f t="shared" si="2"/>
        <v>0</v>
      </c>
      <c r="N34" s="3"/>
      <c r="O34">
        <v>550</v>
      </c>
      <c r="P34" s="14">
        <f t="shared" si="3"/>
        <v>0</v>
      </c>
      <c r="Q34" s="14">
        <f t="shared" si="5"/>
        <v>550</v>
      </c>
      <c r="R34" s="14">
        <f t="shared" si="3"/>
        <v>0</v>
      </c>
    </row>
    <row r="35" spans="2:18" ht="12.75">
      <c r="B35" s="4" t="s">
        <v>56</v>
      </c>
      <c r="C35" s="5">
        <v>0.001</v>
      </c>
      <c r="D35" s="3"/>
      <c r="E35">
        <v>290</v>
      </c>
      <c r="F35" s="14">
        <f t="shared" si="0"/>
        <v>0.29</v>
      </c>
      <c r="G35" s="14">
        <f t="shared" si="6"/>
        <v>290</v>
      </c>
      <c r="H35" s="14">
        <f t="shared" si="0"/>
        <v>0.29</v>
      </c>
      <c r="I35" s="3"/>
      <c r="J35">
        <v>77</v>
      </c>
      <c r="K35" s="14">
        <f t="shared" si="2"/>
        <v>0.077</v>
      </c>
      <c r="L35" s="14">
        <f t="shared" si="4"/>
        <v>77</v>
      </c>
      <c r="M35" s="14">
        <f t="shared" si="2"/>
        <v>0.077</v>
      </c>
      <c r="N35" s="3"/>
      <c r="O35">
        <v>250</v>
      </c>
      <c r="P35" s="14">
        <f t="shared" si="3"/>
        <v>0.25</v>
      </c>
      <c r="Q35" s="14">
        <f t="shared" si="5"/>
        <v>250</v>
      </c>
      <c r="R35" s="14">
        <f t="shared" si="3"/>
        <v>0.25</v>
      </c>
    </row>
    <row r="36" spans="5:17" ht="12.75">
      <c r="E36" s="17"/>
      <c r="G36" s="17"/>
      <c r="I36" s="18"/>
      <c r="J36" s="16"/>
      <c r="K36" s="14"/>
      <c r="L36" s="14"/>
      <c r="M36" s="14"/>
      <c r="N36" s="18"/>
      <c r="O36" s="16"/>
      <c r="Q36" s="17"/>
    </row>
    <row r="37" spans="2:18" ht="12.75">
      <c r="B37" s="4" t="s">
        <v>57</v>
      </c>
      <c r="E37"/>
      <c r="F37">
        <v>120.059</v>
      </c>
      <c r="G37">
        <v>120.059</v>
      </c>
      <c r="H37">
        <v>120.059</v>
      </c>
      <c r="I37"/>
      <c r="J37"/>
      <c r="K37">
        <v>122.925</v>
      </c>
      <c r="L37">
        <v>122.925</v>
      </c>
      <c r="M37">
        <v>122.925</v>
      </c>
      <c r="N37"/>
      <c r="O37"/>
      <c r="P37">
        <v>126.494</v>
      </c>
      <c r="Q37">
        <v>126.494</v>
      </c>
      <c r="R37">
        <v>126.494</v>
      </c>
    </row>
    <row r="38" spans="2:18" ht="12.75">
      <c r="B38" s="4" t="s">
        <v>58</v>
      </c>
      <c r="E38"/>
      <c r="F38">
        <v>9.7</v>
      </c>
      <c r="G38">
        <v>9.7</v>
      </c>
      <c r="H38">
        <v>9.7</v>
      </c>
      <c r="I38"/>
      <c r="J38"/>
      <c r="K38">
        <v>9.5</v>
      </c>
      <c r="L38">
        <v>9.5</v>
      </c>
      <c r="M38">
        <v>9.5</v>
      </c>
      <c r="N38"/>
      <c r="O38"/>
      <c r="P38">
        <v>9.9</v>
      </c>
      <c r="Q38">
        <v>9.9</v>
      </c>
      <c r="R38">
        <v>9.9</v>
      </c>
    </row>
    <row r="39" spans="5:18" ht="12.75">
      <c r="E39" s="17"/>
      <c r="F39" s="19"/>
      <c r="G39" s="17"/>
      <c r="H39" s="19"/>
      <c r="I39" s="20"/>
      <c r="J39" s="17"/>
      <c r="K39" s="21"/>
      <c r="L39" s="14"/>
      <c r="M39" s="21"/>
      <c r="N39" s="18"/>
      <c r="O39" s="17"/>
      <c r="P39" s="17"/>
      <c r="Q39" s="17"/>
      <c r="R39" s="17"/>
    </row>
    <row r="40" spans="2:18" ht="12.75">
      <c r="B40" s="4" t="s">
        <v>161</v>
      </c>
      <c r="C40" s="7"/>
      <c r="D40" s="11"/>
      <c r="E40" s="14"/>
      <c r="F40" s="15">
        <f>SUM(F11:F35)/1000</f>
        <v>3.05739</v>
      </c>
      <c r="G40" s="15">
        <f>SUM(G35,G34,G31,G26,G23,G21,G20,G18,G14,G12)/1000</f>
        <v>104.26</v>
      </c>
      <c r="H40" s="15">
        <f>SUM(H11:H35)/1000</f>
        <v>3.0023899999999997</v>
      </c>
      <c r="I40" s="11"/>
      <c r="J40" s="14"/>
      <c r="K40" s="15">
        <f>SUM(K11:K35)/1000</f>
        <v>0.17733100000000004</v>
      </c>
      <c r="L40" s="15">
        <f>SUM(L35,L34,L31,L26,L23,L21,L20,L18,L14,L12)/1000</f>
        <v>0.63</v>
      </c>
      <c r="M40" s="15">
        <f>SUM(M11:M35)/1000</f>
        <v>0.09217100000000002</v>
      </c>
      <c r="N40" s="11"/>
      <c r="O40" s="17"/>
      <c r="P40" s="15">
        <f>SUM(P11:P35)/1000</f>
        <v>2.4274</v>
      </c>
      <c r="Q40" s="15">
        <f>SUM(Q35,Q34,Q31,Q26,Q23,Q21,Q20,Q18,Q14,Q12)/1000</f>
        <v>88</v>
      </c>
      <c r="R40" s="15">
        <f>SUM(R11:R35)/1000</f>
        <v>2.426</v>
      </c>
    </row>
    <row r="41" spans="2:18" ht="12.75">
      <c r="B41" s="4" t="s">
        <v>59</v>
      </c>
      <c r="C41" s="7"/>
      <c r="D41" s="14">
        <f>(F41-H41)*2/F41*100</f>
        <v>3.597839987701966</v>
      </c>
      <c r="E41" s="14"/>
      <c r="F41" s="15">
        <f>F40/F37/0.0283*(21-7)/(21-F38)</f>
        <v>1.114857284143686</v>
      </c>
      <c r="G41" s="15">
        <f>G40/G37/0.0283*(21-7)/(21-G38)</f>
        <v>38.01772768433883</v>
      </c>
      <c r="H41" s="15">
        <f>H40/H37/0.0283*(21-7)/(21-H38)</f>
        <v>1.094801893556321</v>
      </c>
      <c r="I41" s="14">
        <f>(K41-M41)*2/K41*100</f>
        <v>96.04637655006741</v>
      </c>
      <c r="J41" s="14"/>
      <c r="K41" s="15">
        <f>K40/K37/0.0283*(21-7)/(21-K38)</f>
        <v>0.0620566326507816</v>
      </c>
      <c r="L41" s="15">
        <f>L40/L37/0.0283*(21-7)/(21-L38)</f>
        <v>0.2204672537232204</v>
      </c>
      <c r="M41" s="15">
        <f>M40/M37/0.0283*(21-7)/(21-M38)</f>
        <v>0.03225505911575072</v>
      </c>
      <c r="N41" s="14">
        <f>(P41-R41)*2/P41*100</f>
        <v>0.11534975694154567</v>
      </c>
      <c r="O41" s="17"/>
      <c r="P41" s="15">
        <f>P40/P37/0.0283*(21-7)/(21-P38)</f>
        <v>0.8552440134692029</v>
      </c>
      <c r="Q41" s="15">
        <f>Q40/Q37/0.0283*(21-7)/(21-Q38)</f>
        <v>31.004973710673916</v>
      </c>
      <c r="R41" s="15">
        <f>R40/R37/0.0283*(21-7)/(21-R38)</f>
        <v>0.854750752523806</v>
      </c>
    </row>
    <row r="42" spans="3:18" ht="12.75">
      <c r="C42" s="7"/>
      <c r="D42" s="11"/>
      <c r="E42" s="14"/>
      <c r="F42" s="15"/>
      <c r="G42" s="15"/>
      <c r="H42" s="15"/>
      <c r="I42" s="11"/>
      <c r="J42" s="14"/>
      <c r="K42" s="15"/>
      <c r="L42" s="15"/>
      <c r="M42" s="15"/>
      <c r="N42" s="11"/>
      <c r="O42" s="17"/>
      <c r="P42" s="15"/>
      <c r="Q42" s="15"/>
      <c r="R42" s="15"/>
    </row>
    <row r="43" spans="2:31" s="17" customFormat="1" ht="12.75">
      <c r="B43" s="17" t="s">
        <v>70</v>
      </c>
      <c r="C43" s="15">
        <f>AVERAGE(H41,M41,R41)</f>
        <v>0.6606025683986259</v>
      </c>
      <c r="D43" s="18"/>
      <c r="F43" s="7"/>
      <c r="H43" s="7"/>
      <c r="I43" s="18"/>
      <c r="N43" s="18"/>
      <c r="P43" s="6"/>
      <c r="R43" s="6"/>
      <c r="S43"/>
      <c r="T43"/>
      <c r="U43"/>
      <c r="V43"/>
      <c r="W43"/>
      <c r="X43"/>
      <c r="Y43"/>
      <c r="Z43"/>
      <c r="AA43"/>
      <c r="AB43"/>
      <c r="AC43"/>
      <c r="AD43"/>
      <c r="AE43"/>
    </row>
    <row r="44" spans="2:3" ht="12.75">
      <c r="B44" s="4" t="s">
        <v>71</v>
      </c>
      <c r="C44" s="15">
        <f>AVERAGE(G41,L41,Q41)</f>
        <v>23.081056216245326</v>
      </c>
    </row>
    <row r="45" spans="5:18" ht="12.75">
      <c r="E45" s="4"/>
      <c r="G45" s="4"/>
      <c r="I45" s="5"/>
      <c r="J45" s="4"/>
      <c r="K45" s="4"/>
      <c r="L45" s="4"/>
      <c r="M45" s="4"/>
      <c r="N45" s="5"/>
      <c r="O45" s="4"/>
      <c r="P45" s="4"/>
      <c r="Q45" s="4"/>
      <c r="R45" s="4"/>
    </row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104" ht="12.75"/>
    <row r="105" spans="3:18" ht="12.75">
      <c r="C105" s="5"/>
      <c r="E105" s="8"/>
      <c r="F105" s="11"/>
      <c r="G105" s="8"/>
      <c r="H105" s="11"/>
      <c r="J105" s="8"/>
      <c r="K105" s="8"/>
      <c r="L105" s="8"/>
      <c r="M105" s="8"/>
      <c r="O105" s="8"/>
      <c r="P105" s="8"/>
      <c r="Q105" s="8"/>
      <c r="R105" s="8"/>
    </row>
    <row r="106" spans="3:18" ht="12.75">
      <c r="C106" s="5"/>
      <c r="E106" s="8"/>
      <c r="G106" s="8"/>
      <c r="J106" s="8"/>
      <c r="K106" s="7"/>
      <c r="L106" s="8"/>
      <c r="M106" s="7"/>
      <c r="O106" s="8"/>
      <c r="P106" s="7"/>
      <c r="Q106" s="8"/>
      <c r="R106" s="7"/>
    </row>
    <row r="107" ht="12.75">
      <c r="O107" s="14"/>
    </row>
    <row r="108" spans="3:18" ht="12.75">
      <c r="C108" s="5"/>
      <c r="E108" s="14"/>
      <c r="F108" s="17"/>
      <c r="G108" s="14"/>
      <c r="H108" s="17"/>
      <c r="I108" s="11"/>
      <c r="J108" s="16"/>
      <c r="K108" s="14"/>
      <c r="L108" s="14"/>
      <c r="M108" s="14"/>
      <c r="N108" s="11"/>
      <c r="O108" s="14"/>
      <c r="P108" s="7"/>
      <c r="Q108" s="14"/>
      <c r="R108" s="7"/>
    </row>
    <row r="109" spans="3:18" ht="12.75">
      <c r="C109" s="5"/>
      <c r="E109" s="14"/>
      <c r="F109" s="17"/>
      <c r="G109" s="14"/>
      <c r="H109" s="17"/>
      <c r="I109" s="11"/>
      <c r="J109" s="16"/>
      <c r="K109" s="14"/>
      <c r="L109" s="14"/>
      <c r="M109" s="14"/>
      <c r="N109" s="11"/>
      <c r="O109" s="21"/>
      <c r="P109" s="7"/>
      <c r="Q109" s="14"/>
      <c r="R109" s="7"/>
    </row>
    <row r="110" spans="3:18" ht="12.75">
      <c r="C110" s="5"/>
      <c r="E110" s="14"/>
      <c r="F110" s="17"/>
      <c r="G110" s="14"/>
      <c r="H110" s="17"/>
      <c r="I110" s="11"/>
      <c r="J110" s="16"/>
      <c r="K110" s="14"/>
      <c r="L110" s="14"/>
      <c r="M110" s="14"/>
      <c r="N110" s="11"/>
      <c r="O110" s="21"/>
      <c r="P110" s="7"/>
      <c r="Q110" s="14"/>
      <c r="R110" s="7"/>
    </row>
    <row r="111" spans="3:18" ht="12.75">
      <c r="C111" s="5"/>
      <c r="E111" s="14"/>
      <c r="F111" s="17"/>
      <c r="G111" s="14"/>
      <c r="H111" s="17"/>
      <c r="I111" s="11"/>
      <c r="J111" s="16"/>
      <c r="K111" s="14"/>
      <c r="L111" s="14"/>
      <c r="M111" s="14"/>
      <c r="N111" s="11"/>
      <c r="O111" s="21"/>
      <c r="P111" s="7"/>
      <c r="Q111" s="14"/>
      <c r="R111" s="7"/>
    </row>
    <row r="112" spans="3:18" ht="12.75">
      <c r="C112" s="5"/>
      <c r="E112" s="14"/>
      <c r="F112" s="17"/>
      <c r="G112" s="14"/>
      <c r="H112" s="17"/>
      <c r="I112" s="11"/>
      <c r="J112" s="16"/>
      <c r="K112" s="14"/>
      <c r="L112" s="14"/>
      <c r="M112" s="14"/>
      <c r="N112" s="11"/>
      <c r="O112" s="21"/>
      <c r="P112" s="7"/>
      <c r="Q112" s="14"/>
      <c r="R112" s="7"/>
    </row>
    <row r="113" spans="3:18" ht="12.75">
      <c r="C113" s="5"/>
      <c r="E113" s="14"/>
      <c r="F113" s="17"/>
      <c r="G113" s="14"/>
      <c r="H113" s="17"/>
      <c r="I113" s="11"/>
      <c r="J113" s="16"/>
      <c r="K113" s="14"/>
      <c r="L113" s="14"/>
      <c r="M113" s="14"/>
      <c r="N113" s="11"/>
      <c r="O113" s="21"/>
      <c r="P113" s="7"/>
      <c r="Q113" s="14"/>
      <c r="R113" s="7"/>
    </row>
    <row r="114" spans="3:18" ht="12.75">
      <c r="C114" s="5"/>
      <c r="E114" s="14"/>
      <c r="F114" s="17"/>
      <c r="G114" s="14"/>
      <c r="H114" s="17"/>
      <c r="I114" s="11"/>
      <c r="J114" s="16"/>
      <c r="K114" s="14"/>
      <c r="L114" s="14"/>
      <c r="M114" s="14"/>
      <c r="N114" s="11"/>
      <c r="O114" s="21"/>
      <c r="P114" s="7"/>
      <c r="Q114" s="14"/>
      <c r="R114" s="7"/>
    </row>
    <row r="115" spans="3:18" ht="12.75">
      <c r="C115" s="5"/>
      <c r="E115" s="14"/>
      <c r="F115" s="17"/>
      <c r="G115" s="14"/>
      <c r="H115" s="17"/>
      <c r="I115" s="11"/>
      <c r="J115" s="16"/>
      <c r="K115" s="14"/>
      <c r="L115" s="14"/>
      <c r="M115" s="14"/>
      <c r="N115" s="11"/>
      <c r="O115" s="21"/>
      <c r="P115" s="7"/>
      <c r="Q115" s="14"/>
      <c r="R115" s="7"/>
    </row>
    <row r="116" spans="3:18" ht="12.75">
      <c r="C116" s="5"/>
      <c r="E116" s="14"/>
      <c r="F116" s="17"/>
      <c r="G116" s="14"/>
      <c r="H116" s="17"/>
      <c r="I116" s="11"/>
      <c r="J116" s="16"/>
      <c r="K116" s="14"/>
      <c r="L116" s="14"/>
      <c r="M116" s="14"/>
      <c r="N116" s="11"/>
      <c r="O116" s="21"/>
      <c r="P116" s="7"/>
      <c r="Q116" s="14"/>
      <c r="R116" s="7"/>
    </row>
    <row r="117" spans="3:18" ht="12.75">
      <c r="C117" s="5"/>
      <c r="E117" s="14"/>
      <c r="F117" s="17"/>
      <c r="G117" s="14"/>
      <c r="H117" s="17"/>
      <c r="I117" s="11"/>
      <c r="J117" s="16"/>
      <c r="K117" s="14"/>
      <c r="L117" s="14"/>
      <c r="M117" s="14"/>
      <c r="N117" s="11"/>
      <c r="O117" s="21"/>
      <c r="P117" s="7"/>
      <c r="Q117" s="14"/>
      <c r="R117" s="7"/>
    </row>
    <row r="118" spans="3:18" ht="12.75">
      <c r="C118" s="5"/>
      <c r="E118" s="14"/>
      <c r="F118" s="17"/>
      <c r="G118" s="14"/>
      <c r="H118" s="17"/>
      <c r="I118" s="11"/>
      <c r="J118" s="16"/>
      <c r="K118" s="14"/>
      <c r="L118" s="14"/>
      <c r="M118" s="14"/>
      <c r="N118" s="11"/>
      <c r="O118" s="21"/>
      <c r="P118" s="7"/>
      <c r="Q118" s="14"/>
      <c r="R118" s="7"/>
    </row>
    <row r="119" spans="3:18" ht="12.75">
      <c r="C119" s="5"/>
      <c r="E119" s="14"/>
      <c r="F119" s="17"/>
      <c r="G119" s="14"/>
      <c r="H119" s="17"/>
      <c r="I119" s="11"/>
      <c r="J119" s="16"/>
      <c r="K119" s="14"/>
      <c r="L119" s="14"/>
      <c r="M119" s="14"/>
      <c r="N119" s="11"/>
      <c r="O119" s="21"/>
      <c r="P119" s="7"/>
      <c r="Q119" s="14"/>
      <c r="R119" s="7"/>
    </row>
    <row r="120" spans="3:18" ht="12.75">
      <c r="C120" s="5"/>
      <c r="E120" s="14"/>
      <c r="F120" s="17"/>
      <c r="G120" s="14"/>
      <c r="H120" s="17"/>
      <c r="I120" s="11"/>
      <c r="J120" s="16"/>
      <c r="K120" s="14"/>
      <c r="L120" s="14"/>
      <c r="M120" s="14"/>
      <c r="N120" s="11"/>
      <c r="O120" s="21"/>
      <c r="P120" s="7"/>
      <c r="Q120" s="14"/>
      <c r="R120" s="7"/>
    </row>
    <row r="121" spans="3:18" ht="12.75">
      <c r="C121" s="5"/>
      <c r="E121" s="14"/>
      <c r="F121" s="17"/>
      <c r="G121" s="14"/>
      <c r="H121" s="17"/>
      <c r="I121" s="11"/>
      <c r="J121" s="16"/>
      <c r="K121" s="14"/>
      <c r="L121" s="14"/>
      <c r="M121" s="14"/>
      <c r="N121" s="11"/>
      <c r="O121" s="21"/>
      <c r="P121" s="7"/>
      <c r="Q121" s="14"/>
      <c r="R121" s="7"/>
    </row>
    <row r="122" spans="3:18" ht="12.75">
      <c r="C122" s="5"/>
      <c r="E122" s="14"/>
      <c r="F122" s="17"/>
      <c r="G122" s="14"/>
      <c r="H122" s="17"/>
      <c r="I122" s="11"/>
      <c r="J122" s="16"/>
      <c r="K122" s="14"/>
      <c r="L122" s="14"/>
      <c r="M122" s="14"/>
      <c r="N122" s="11"/>
      <c r="O122" s="21"/>
      <c r="P122" s="7"/>
      <c r="Q122" s="14"/>
      <c r="R122" s="7"/>
    </row>
    <row r="123" spans="3:18" ht="12.75">
      <c r="C123" s="5"/>
      <c r="E123" s="14"/>
      <c r="F123" s="17"/>
      <c r="G123" s="14"/>
      <c r="H123" s="17"/>
      <c r="I123" s="11"/>
      <c r="J123" s="16"/>
      <c r="K123" s="14"/>
      <c r="L123" s="14"/>
      <c r="M123" s="14"/>
      <c r="N123" s="11"/>
      <c r="O123" s="21"/>
      <c r="P123" s="7"/>
      <c r="Q123" s="14"/>
      <c r="R123" s="7"/>
    </row>
    <row r="124" spans="3:18" ht="12.75">
      <c r="C124" s="5"/>
      <c r="E124" s="14"/>
      <c r="F124" s="17"/>
      <c r="G124" s="14"/>
      <c r="H124" s="17"/>
      <c r="I124" s="11"/>
      <c r="J124" s="16"/>
      <c r="K124" s="14"/>
      <c r="L124" s="14"/>
      <c r="M124" s="14"/>
      <c r="N124" s="11"/>
      <c r="O124" s="21"/>
      <c r="P124" s="7"/>
      <c r="Q124" s="14"/>
      <c r="R124" s="7"/>
    </row>
    <row r="125" spans="3:18" ht="12.75">
      <c r="C125" s="5"/>
      <c r="E125" s="14"/>
      <c r="F125" s="17"/>
      <c r="G125" s="14"/>
      <c r="H125" s="17"/>
      <c r="I125" s="11"/>
      <c r="J125" s="16"/>
      <c r="K125" s="14"/>
      <c r="L125" s="14"/>
      <c r="M125" s="14"/>
      <c r="N125" s="11"/>
      <c r="O125" s="21"/>
      <c r="P125" s="7"/>
      <c r="Q125" s="14"/>
      <c r="R125" s="7"/>
    </row>
    <row r="126" spans="3:18" ht="12.75">
      <c r="C126" s="5"/>
      <c r="E126" s="14"/>
      <c r="F126" s="17"/>
      <c r="G126" s="14"/>
      <c r="H126" s="17"/>
      <c r="I126" s="11"/>
      <c r="J126" s="16"/>
      <c r="K126" s="14"/>
      <c r="L126" s="14"/>
      <c r="M126" s="14"/>
      <c r="N126" s="11"/>
      <c r="O126" s="21"/>
      <c r="P126" s="7"/>
      <c r="Q126" s="14"/>
      <c r="R126" s="7"/>
    </row>
    <row r="127" spans="3:18" ht="12.75">
      <c r="C127" s="5"/>
      <c r="E127" s="14"/>
      <c r="F127" s="17"/>
      <c r="G127" s="14"/>
      <c r="H127" s="17"/>
      <c r="I127" s="11"/>
      <c r="J127" s="16"/>
      <c r="K127" s="14"/>
      <c r="L127" s="14"/>
      <c r="M127" s="14"/>
      <c r="N127" s="11"/>
      <c r="O127" s="21"/>
      <c r="P127" s="7"/>
      <c r="Q127" s="14"/>
      <c r="R127" s="7"/>
    </row>
    <row r="128" spans="3:18" ht="12.75">
      <c r="C128" s="5"/>
      <c r="E128" s="14"/>
      <c r="F128" s="17"/>
      <c r="G128" s="14"/>
      <c r="H128" s="17"/>
      <c r="I128" s="11"/>
      <c r="J128" s="16"/>
      <c r="K128" s="14"/>
      <c r="L128" s="14"/>
      <c r="M128" s="14"/>
      <c r="N128" s="11"/>
      <c r="O128" s="21"/>
      <c r="P128" s="7"/>
      <c r="Q128" s="14"/>
      <c r="R128" s="7"/>
    </row>
    <row r="129" spans="3:18" ht="12.75">
      <c r="C129" s="5"/>
      <c r="E129" s="14"/>
      <c r="F129" s="17"/>
      <c r="G129" s="14"/>
      <c r="H129" s="17"/>
      <c r="I129" s="11"/>
      <c r="J129" s="16"/>
      <c r="K129" s="14"/>
      <c r="L129" s="14"/>
      <c r="M129" s="14"/>
      <c r="N129" s="11"/>
      <c r="O129" s="21"/>
      <c r="P129" s="7"/>
      <c r="Q129" s="14"/>
      <c r="R129" s="7"/>
    </row>
    <row r="130" spans="3:18" ht="12.75">
      <c r="C130" s="5"/>
      <c r="E130" s="14"/>
      <c r="F130" s="17"/>
      <c r="G130" s="14"/>
      <c r="H130" s="17"/>
      <c r="I130" s="11"/>
      <c r="J130" s="16"/>
      <c r="K130" s="14"/>
      <c r="L130" s="14"/>
      <c r="M130" s="14"/>
      <c r="N130" s="11"/>
      <c r="O130" s="21"/>
      <c r="P130" s="7"/>
      <c r="Q130" s="14"/>
      <c r="R130" s="7"/>
    </row>
    <row r="131" spans="3:18" ht="12.75">
      <c r="C131" s="5"/>
      <c r="E131" s="14"/>
      <c r="F131" s="17"/>
      <c r="G131" s="14"/>
      <c r="H131" s="17"/>
      <c r="I131" s="11"/>
      <c r="J131" s="16"/>
      <c r="K131" s="14"/>
      <c r="L131" s="14"/>
      <c r="M131" s="14"/>
      <c r="N131" s="11"/>
      <c r="O131" s="21"/>
      <c r="P131" s="7"/>
      <c r="Q131" s="14"/>
      <c r="R131" s="7"/>
    </row>
    <row r="132" spans="3:18" ht="12.75">
      <c r="C132" s="5"/>
      <c r="E132" s="14"/>
      <c r="F132" s="17"/>
      <c r="G132" s="14"/>
      <c r="H132" s="17"/>
      <c r="I132" s="11"/>
      <c r="J132" s="16"/>
      <c r="K132" s="14"/>
      <c r="L132" s="14"/>
      <c r="M132" s="14"/>
      <c r="N132" s="11"/>
      <c r="O132" s="21"/>
      <c r="P132" s="7"/>
      <c r="Q132" s="14"/>
      <c r="R132" s="7"/>
    </row>
    <row r="133" spans="5:17" ht="12.75">
      <c r="E133" s="17"/>
      <c r="G133" s="17"/>
      <c r="I133" s="18"/>
      <c r="J133" s="17"/>
      <c r="K133" s="14"/>
      <c r="L133" s="14"/>
      <c r="M133" s="14"/>
      <c r="N133" s="18"/>
      <c r="O133" s="16"/>
      <c r="Q133" s="17"/>
    </row>
    <row r="134" spans="5:18" ht="12.75">
      <c r="E134" s="17"/>
      <c r="F134" s="17"/>
      <c r="G134" s="17"/>
      <c r="H134" s="17"/>
      <c r="I134" s="18"/>
      <c r="J134" s="17"/>
      <c r="K134" s="14"/>
      <c r="L134" s="14"/>
      <c r="M134" s="14"/>
      <c r="N134" s="18"/>
      <c r="O134" s="17"/>
      <c r="P134" s="17"/>
      <c r="Q134" s="17"/>
      <c r="R134" s="17"/>
    </row>
    <row r="135" spans="5:18" ht="12.75">
      <c r="E135" s="17"/>
      <c r="F135" s="17"/>
      <c r="G135" s="17"/>
      <c r="H135" s="17"/>
      <c r="I135" s="18"/>
      <c r="J135" s="17"/>
      <c r="K135" s="14"/>
      <c r="L135" s="14"/>
      <c r="M135" s="14"/>
      <c r="N135" s="18"/>
      <c r="O135" s="17"/>
      <c r="P135" s="17"/>
      <c r="Q135" s="17"/>
      <c r="R135" s="17"/>
    </row>
    <row r="136" spans="5:18" ht="12.75">
      <c r="E136" s="17"/>
      <c r="F136" s="16"/>
      <c r="G136" s="17"/>
      <c r="H136" s="16"/>
      <c r="I136" s="20"/>
      <c r="J136" s="17"/>
      <c r="K136" s="21"/>
      <c r="L136" s="14"/>
      <c r="M136" s="21"/>
      <c r="N136" s="18"/>
      <c r="O136" s="17"/>
      <c r="P136" s="17"/>
      <c r="Q136" s="17"/>
      <c r="R136" s="17"/>
    </row>
    <row r="137" spans="3:18" ht="12.75">
      <c r="C137" s="7"/>
      <c r="D137" s="11"/>
      <c r="E137" s="14"/>
      <c r="F137" s="17"/>
      <c r="G137" s="14"/>
      <c r="H137" s="17"/>
      <c r="I137" s="11"/>
      <c r="J137" s="14"/>
      <c r="K137" s="14"/>
      <c r="L137" s="14"/>
      <c r="M137" s="14"/>
      <c r="N137" s="11"/>
      <c r="O137" s="17"/>
      <c r="P137" s="7"/>
      <c r="Q137" s="7"/>
      <c r="R137" s="7"/>
    </row>
    <row r="138" spans="3:18" ht="12.75">
      <c r="C138" s="7"/>
      <c r="D138" s="11"/>
      <c r="E138" s="17"/>
      <c r="G138" s="15"/>
      <c r="I138" s="11"/>
      <c r="J138" s="17"/>
      <c r="K138" s="7"/>
      <c r="L138" s="14"/>
      <c r="M138" s="7"/>
      <c r="N138" s="11"/>
      <c r="O138" s="17"/>
      <c r="P138" s="15"/>
      <c r="Q138" s="15"/>
      <c r="R138" s="15"/>
    </row>
  </sheetData>
  <printOptions headings="1" horizontalCentered="1"/>
  <pageMargins left="0.25" right="0.25" top="0.5" bottom="0.5" header="0.5" footer="0.25"/>
  <pageSetup horizontalDpi="300" verticalDpi="300" orientation="landscape" pageOrder="overThenDown" scale="80" r:id="rId1"/>
  <headerFooter alignWithMargins="0">
    <oddFooter>&amp;C&amp;P, &amp;A, 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E138"/>
  <sheetViews>
    <sheetView workbookViewId="0" topLeftCell="A1">
      <selection activeCell="C1" sqref="C1"/>
    </sheetView>
  </sheetViews>
  <sheetFormatPr defaultColWidth="9.140625" defaultRowHeight="12.75"/>
  <cols>
    <col min="1" max="1" width="1.57421875" style="4" customWidth="1"/>
    <col min="2" max="2" width="25.8515625" style="4" customWidth="1"/>
    <col min="3" max="3" width="7.8515625" style="4" customWidth="1"/>
    <col min="4" max="4" width="5.28125" style="5" customWidth="1"/>
    <col min="5" max="5" width="8.7109375" style="6" customWidth="1"/>
    <col min="6" max="6" width="9.28125" style="7" customWidth="1"/>
    <col min="7" max="7" width="10.00390625" style="6" customWidth="1"/>
    <col min="8" max="8" width="9.28125" style="7" customWidth="1"/>
    <col min="9" max="9" width="5.140625" style="8" customWidth="1"/>
    <col min="10" max="10" width="7.00390625" style="6" customWidth="1"/>
    <col min="11" max="11" width="8.28125" style="6" customWidth="1"/>
    <col min="12" max="12" width="8.421875" style="6" customWidth="1"/>
    <col min="13" max="13" width="8.28125" style="6" customWidth="1"/>
    <col min="14" max="14" width="4.28125" style="8" customWidth="1"/>
    <col min="15" max="15" width="7.8515625" style="6" customWidth="1"/>
    <col min="16" max="18" width="8.7109375" style="6" customWidth="1"/>
    <col min="19" max="19" width="7.421875" style="0" customWidth="1"/>
    <col min="20" max="31" width="10.8515625" style="0" customWidth="1"/>
    <col min="32" max="16384" width="10.8515625" style="4" customWidth="1"/>
  </cols>
  <sheetData>
    <row r="1" ht="12.75">
      <c r="A1" s="40" t="s">
        <v>80</v>
      </c>
    </row>
    <row r="2" ht="12.75">
      <c r="A2" s="4" t="s">
        <v>303</v>
      </c>
    </row>
    <row r="3" spans="1:3" ht="12.75">
      <c r="A3" s="4" t="s">
        <v>21</v>
      </c>
      <c r="C3" s="9" t="s">
        <v>172</v>
      </c>
    </row>
    <row r="4" spans="1:18" ht="12.75">
      <c r="A4" s="4" t="s">
        <v>22</v>
      </c>
      <c r="C4" s="9" t="s">
        <v>170</v>
      </c>
      <c r="E4" s="10"/>
      <c r="F4" s="11"/>
      <c r="G4" s="10"/>
      <c r="H4" s="11"/>
      <c r="J4" s="10"/>
      <c r="K4" s="10"/>
      <c r="L4" s="10"/>
      <c r="M4" s="10"/>
      <c r="O4" s="10"/>
      <c r="P4" s="10"/>
      <c r="Q4" s="10"/>
      <c r="R4" s="10"/>
    </row>
    <row r="5" spans="1:3" ht="12.75">
      <c r="A5" s="4" t="s">
        <v>23</v>
      </c>
      <c r="C5" s="9" t="s">
        <v>171</v>
      </c>
    </row>
    <row r="6" spans="3:17" ht="12.75">
      <c r="C6" s="5"/>
      <c r="E6" s="8"/>
      <c r="G6" s="8"/>
      <c r="J6" s="8"/>
      <c r="L6" s="8"/>
      <c r="O6" s="8"/>
      <c r="Q6" s="8"/>
    </row>
    <row r="7" spans="3:31" ht="12.75">
      <c r="C7" s="5" t="s">
        <v>24</v>
      </c>
      <c r="E7" s="12" t="s">
        <v>25</v>
      </c>
      <c r="F7" s="12"/>
      <c r="G7" s="12"/>
      <c r="H7" s="12"/>
      <c r="I7" s="13"/>
      <c r="J7" s="12" t="s">
        <v>26</v>
      </c>
      <c r="K7" s="12"/>
      <c r="L7" s="12"/>
      <c r="M7" s="12"/>
      <c r="N7" s="13"/>
      <c r="O7" s="12" t="s">
        <v>27</v>
      </c>
      <c r="P7" s="12"/>
      <c r="Q7" s="12"/>
      <c r="R7" s="12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</row>
    <row r="8" spans="3:31" ht="12.75">
      <c r="C8" s="5" t="s">
        <v>28</v>
      </c>
      <c r="E8" s="8" t="s">
        <v>29</v>
      </c>
      <c r="F8" s="11" t="s">
        <v>30</v>
      </c>
      <c r="G8" s="8" t="s">
        <v>29</v>
      </c>
      <c r="H8" s="11" t="s">
        <v>30</v>
      </c>
      <c r="J8" s="8" t="s">
        <v>29</v>
      </c>
      <c r="K8" s="8" t="s">
        <v>31</v>
      </c>
      <c r="L8" s="8" t="s">
        <v>29</v>
      </c>
      <c r="M8" s="8" t="s">
        <v>31</v>
      </c>
      <c r="O8" s="8" t="s">
        <v>29</v>
      </c>
      <c r="P8" s="8" t="s">
        <v>31</v>
      </c>
      <c r="Q8" s="8" t="s">
        <v>29</v>
      </c>
      <c r="R8" s="8" t="s">
        <v>31</v>
      </c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</row>
    <row r="9" spans="3:31" ht="12.75">
      <c r="C9" s="5"/>
      <c r="E9" s="8" t="s">
        <v>213</v>
      </c>
      <c r="F9" s="8" t="s">
        <v>213</v>
      </c>
      <c r="G9" s="8" t="s">
        <v>69</v>
      </c>
      <c r="H9" s="11" t="s">
        <v>69</v>
      </c>
      <c r="J9" s="8" t="s">
        <v>213</v>
      </c>
      <c r="K9" s="8" t="s">
        <v>213</v>
      </c>
      <c r="L9" s="8" t="s">
        <v>69</v>
      </c>
      <c r="M9" s="11" t="s">
        <v>69</v>
      </c>
      <c r="O9" s="8" t="s">
        <v>213</v>
      </c>
      <c r="P9" s="8" t="s">
        <v>213</v>
      </c>
      <c r="Q9" s="8" t="s">
        <v>69</v>
      </c>
      <c r="R9" s="11" t="s">
        <v>69</v>
      </c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</row>
    <row r="10" spans="1:15" ht="13.5" customHeight="1">
      <c r="A10" s="4" t="s">
        <v>173</v>
      </c>
      <c r="O10" s="14"/>
    </row>
    <row r="11" spans="2:18" ht="12.75">
      <c r="B11" s="4" t="s">
        <v>32</v>
      </c>
      <c r="C11" s="5">
        <v>1</v>
      </c>
      <c r="D11" s="3" t="s">
        <v>12</v>
      </c>
      <c r="E11">
        <v>0.0041</v>
      </c>
      <c r="F11" s="66">
        <f aca="true" t="shared" si="0" ref="F11:H35">IF(E11="","",E11*$C11)</f>
        <v>0.0041</v>
      </c>
      <c r="G11" s="14">
        <f aca="true" t="shared" si="1" ref="G11:G35">IF(E11=0,"",IF(D11="nd",E11/2,E11))</f>
        <v>0.00205</v>
      </c>
      <c r="H11" s="66">
        <f t="shared" si="0"/>
        <v>0.00205</v>
      </c>
      <c r="I11" s="3"/>
      <c r="J11">
        <v>0.019</v>
      </c>
      <c r="K11" s="66">
        <f aca="true" t="shared" si="2" ref="K11:M35">IF(J11="","",J11*$C11)</f>
        <v>0.019</v>
      </c>
      <c r="L11" s="14">
        <f>IF(J11=0,"",IF(I11="nd",J11/2,J11))</f>
        <v>0.019</v>
      </c>
      <c r="M11" s="66">
        <f t="shared" si="2"/>
        <v>0.019</v>
      </c>
      <c r="N11" s="3" t="s">
        <v>12</v>
      </c>
      <c r="O11">
        <v>0.0029</v>
      </c>
      <c r="P11" s="66">
        <f aca="true" t="shared" si="3" ref="P11:R35">IF(O11="","",O11*$C11)</f>
        <v>0.0029</v>
      </c>
      <c r="Q11" s="14">
        <f>IF(O11=0,"",IF(N11="nd",O11/2,O11))</f>
        <v>0.00145</v>
      </c>
      <c r="R11" s="66">
        <f t="shared" si="3"/>
        <v>0.00145</v>
      </c>
    </row>
    <row r="12" spans="2:18" ht="12.75">
      <c r="B12" s="4" t="s">
        <v>33</v>
      </c>
      <c r="C12" s="5">
        <v>0</v>
      </c>
      <c r="D12" s="3"/>
      <c r="E12">
        <v>1.1</v>
      </c>
      <c r="F12" s="66">
        <f t="shared" si="0"/>
        <v>0</v>
      </c>
      <c r="G12" s="14">
        <f t="shared" si="1"/>
        <v>1.1</v>
      </c>
      <c r="H12" s="66">
        <f t="shared" si="0"/>
        <v>0</v>
      </c>
      <c r="I12" s="3"/>
      <c r="J12">
        <v>3.8</v>
      </c>
      <c r="K12" s="66">
        <f t="shared" si="2"/>
        <v>0</v>
      </c>
      <c r="L12" s="14">
        <f aca="true" t="shared" si="4" ref="L12:L35">IF(J12=0,"",IF(I12="nd",J12/2,J12))</f>
        <v>3.8</v>
      </c>
      <c r="M12" s="66">
        <f t="shared" si="2"/>
        <v>0</v>
      </c>
      <c r="N12" s="3"/>
      <c r="O12">
        <v>1.8</v>
      </c>
      <c r="P12" s="66">
        <f t="shared" si="3"/>
        <v>0</v>
      </c>
      <c r="Q12" s="14">
        <f aca="true" t="shared" si="5" ref="Q12:Q35">IF(O12=0,"",IF(N12="nd",O12/2,O12))</f>
        <v>1.8</v>
      </c>
      <c r="R12" s="66">
        <f t="shared" si="3"/>
        <v>0</v>
      </c>
    </row>
    <row r="13" spans="2:18" ht="12.75">
      <c r="B13" s="4" t="s">
        <v>34</v>
      </c>
      <c r="C13" s="5">
        <v>0.5</v>
      </c>
      <c r="D13" s="3"/>
      <c r="E13">
        <v>0.0049</v>
      </c>
      <c r="F13" s="66">
        <f t="shared" si="0"/>
        <v>0.00245</v>
      </c>
      <c r="G13" s="14">
        <f t="shared" si="1"/>
        <v>0.0049</v>
      </c>
      <c r="H13" s="66">
        <f t="shared" si="0"/>
        <v>0.00245</v>
      </c>
      <c r="I13" s="3"/>
      <c r="J13">
        <v>0.033</v>
      </c>
      <c r="K13" s="66">
        <f t="shared" si="2"/>
        <v>0.0165</v>
      </c>
      <c r="L13" s="14">
        <f t="shared" si="4"/>
        <v>0.033</v>
      </c>
      <c r="M13" s="66">
        <f t="shared" si="2"/>
        <v>0.0165</v>
      </c>
      <c r="N13" s="3" t="s">
        <v>12</v>
      </c>
      <c r="O13">
        <v>0.0019</v>
      </c>
      <c r="P13" s="66">
        <f t="shared" si="3"/>
        <v>0.00095</v>
      </c>
      <c r="Q13" s="14">
        <f t="shared" si="5"/>
        <v>0.00095</v>
      </c>
      <c r="R13" s="66">
        <f t="shared" si="3"/>
        <v>0.000475</v>
      </c>
    </row>
    <row r="14" spans="2:18" ht="12.75">
      <c r="B14" s="4" t="s">
        <v>35</v>
      </c>
      <c r="C14" s="5">
        <v>0</v>
      </c>
      <c r="D14" s="3"/>
      <c r="E14">
        <v>0.51</v>
      </c>
      <c r="F14" s="66">
        <f t="shared" si="0"/>
        <v>0</v>
      </c>
      <c r="G14" s="14">
        <f t="shared" si="1"/>
        <v>0.51</v>
      </c>
      <c r="H14" s="66">
        <f t="shared" si="0"/>
        <v>0</v>
      </c>
      <c r="I14" s="3"/>
      <c r="J14">
        <v>3.1</v>
      </c>
      <c r="K14" s="66">
        <f t="shared" si="2"/>
        <v>0</v>
      </c>
      <c r="L14" s="14">
        <f t="shared" si="4"/>
        <v>3.1</v>
      </c>
      <c r="M14" s="66">
        <f t="shared" si="2"/>
        <v>0</v>
      </c>
      <c r="N14" s="3"/>
      <c r="O14">
        <v>0.65</v>
      </c>
      <c r="P14" s="66">
        <f t="shared" si="3"/>
        <v>0</v>
      </c>
      <c r="Q14" s="14">
        <f t="shared" si="5"/>
        <v>0.65</v>
      </c>
      <c r="R14" s="66">
        <f t="shared" si="3"/>
        <v>0</v>
      </c>
    </row>
    <row r="15" spans="2:18" ht="12.75">
      <c r="B15" s="4" t="s">
        <v>36</v>
      </c>
      <c r="C15" s="5">
        <v>0.1</v>
      </c>
      <c r="D15" s="3"/>
      <c r="E15">
        <v>0.0055</v>
      </c>
      <c r="F15" s="66">
        <f t="shared" si="0"/>
        <v>0.00055</v>
      </c>
      <c r="G15" s="14">
        <f t="shared" si="1"/>
        <v>0.0055</v>
      </c>
      <c r="H15" s="66">
        <f t="shared" si="0"/>
        <v>0.00055</v>
      </c>
      <c r="I15" s="3"/>
      <c r="J15">
        <v>0.031</v>
      </c>
      <c r="K15" s="66">
        <f t="shared" si="2"/>
        <v>0.0031000000000000003</v>
      </c>
      <c r="L15" s="14">
        <f t="shared" si="4"/>
        <v>0.031</v>
      </c>
      <c r="M15" s="66">
        <f t="shared" si="2"/>
        <v>0.0031000000000000003</v>
      </c>
      <c r="N15" s="3"/>
      <c r="O15">
        <v>0.0048</v>
      </c>
      <c r="P15" s="66">
        <f t="shared" si="3"/>
        <v>0.00047999999999999996</v>
      </c>
      <c r="Q15" s="14">
        <f t="shared" si="5"/>
        <v>0.0048</v>
      </c>
      <c r="R15" s="66">
        <f t="shared" si="3"/>
        <v>0.00047999999999999996</v>
      </c>
    </row>
    <row r="16" spans="2:18" ht="12.75">
      <c r="B16" s="4" t="s">
        <v>37</v>
      </c>
      <c r="C16" s="5">
        <v>0.1</v>
      </c>
      <c r="D16" s="3"/>
      <c r="E16">
        <v>0.015</v>
      </c>
      <c r="F16" s="66">
        <f t="shared" si="0"/>
        <v>0.0015</v>
      </c>
      <c r="G16" s="14">
        <f t="shared" si="1"/>
        <v>0.015</v>
      </c>
      <c r="H16" s="66">
        <f t="shared" si="0"/>
        <v>0.0015</v>
      </c>
      <c r="I16" s="3"/>
      <c r="J16">
        <v>0.11</v>
      </c>
      <c r="K16" s="66">
        <f t="shared" si="2"/>
        <v>0.011000000000000001</v>
      </c>
      <c r="L16" s="14">
        <f t="shared" si="4"/>
        <v>0.11</v>
      </c>
      <c r="M16" s="66">
        <f t="shared" si="2"/>
        <v>0.011000000000000001</v>
      </c>
      <c r="N16" s="3"/>
      <c r="O16">
        <v>0.016</v>
      </c>
      <c r="P16" s="66">
        <f t="shared" si="3"/>
        <v>0.0016</v>
      </c>
      <c r="Q16" s="14">
        <f t="shared" si="5"/>
        <v>0.016</v>
      </c>
      <c r="R16" s="66">
        <f t="shared" si="3"/>
        <v>0.0016</v>
      </c>
    </row>
    <row r="17" spans="2:18" ht="12.75">
      <c r="B17" s="4" t="s">
        <v>38</v>
      </c>
      <c r="C17" s="5">
        <v>0.1</v>
      </c>
      <c r="D17" s="3"/>
      <c r="E17">
        <v>0.013</v>
      </c>
      <c r="F17" s="66">
        <f t="shared" si="0"/>
        <v>0.0013</v>
      </c>
      <c r="G17" s="14">
        <f t="shared" si="1"/>
        <v>0.013</v>
      </c>
      <c r="H17" s="66">
        <f t="shared" si="0"/>
        <v>0.0013</v>
      </c>
      <c r="I17" s="3"/>
      <c r="J17">
        <v>0.087</v>
      </c>
      <c r="K17" s="66">
        <f t="shared" si="2"/>
        <v>0.0087</v>
      </c>
      <c r="L17" s="14">
        <f t="shared" si="4"/>
        <v>0.087</v>
      </c>
      <c r="M17" s="66">
        <f t="shared" si="2"/>
        <v>0.0087</v>
      </c>
      <c r="N17" s="3"/>
      <c r="O17">
        <v>0.012</v>
      </c>
      <c r="P17" s="66">
        <f t="shared" si="3"/>
        <v>0.0012000000000000001</v>
      </c>
      <c r="Q17" s="14">
        <f t="shared" si="5"/>
        <v>0.012</v>
      </c>
      <c r="R17" s="66">
        <f t="shared" si="3"/>
        <v>0.0012000000000000001</v>
      </c>
    </row>
    <row r="18" spans="2:18" ht="12.75">
      <c r="B18" s="4" t="s">
        <v>39</v>
      </c>
      <c r="C18" s="5">
        <v>0</v>
      </c>
      <c r="D18" s="3"/>
      <c r="E18">
        <v>0.062</v>
      </c>
      <c r="F18" s="66">
        <f t="shared" si="0"/>
        <v>0</v>
      </c>
      <c r="G18" s="14">
        <f t="shared" si="1"/>
        <v>0.062</v>
      </c>
      <c r="H18" s="66">
        <f t="shared" si="0"/>
        <v>0</v>
      </c>
      <c r="I18" s="3"/>
      <c r="J18">
        <v>4.1</v>
      </c>
      <c r="K18" s="66">
        <f t="shared" si="2"/>
        <v>0</v>
      </c>
      <c r="L18" s="14">
        <f t="shared" si="4"/>
        <v>4.1</v>
      </c>
      <c r="M18" s="66">
        <f t="shared" si="2"/>
        <v>0</v>
      </c>
      <c r="N18" s="3"/>
      <c r="O18">
        <v>0.67</v>
      </c>
      <c r="P18" s="66">
        <f t="shared" si="3"/>
        <v>0</v>
      </c>
      <c r="Q18" s="14">
        <f t="shared" si="5"/>
        <v>0.67</v>
      </c>
      <c r="R18" s="66">
        <f t="shared" si="3"/>
        <v>0</v>
      </c>
    </row>
    <row r="19" spans="2:18" ht="12.75">
      <c r="B19" s="4" t="s">
        <v>40</v>
      </c>
      <c r="C19" s="5">
        <v>0.01</v>
      </c>
      <c r="D19" s="3"/>
      <c r="E19">
        <v>0.13</v>
      </c>
      <c r="F19" s="66">
        <f t="shared" si="0"/>
        <v>0.0013000000000000002</v>
      </c>
      <c r="G19" s="14">
        <f t="shared" si="1"/>
        <v>0.13</v>
      </c>
      <c r="H19" s="66">
        <f t="shared" si="0"/>
        <v>0.0013000000000000002</v>
      </c>
      <c r="I19" s="3"/>
      <c r="J19">
        <v>0.89</v>
      </c>
      <c r="K19" s="66">
        <f t="shared" si="2"/>
        <v>0.0089</v>
      </c>
      <c r="L19" s="14">
        <f t="shared" si="4"/>
        <v>0.89</v>
      </c>
      <c r="M19" s="66">
        <f t="shared" si="2"/>
        <v>0.0089</v>
      </c>
      <c r="N19" s="3"/>
      <c r="O19">
        <v>0.12</v>
      </c>
      <c r="P19" s="66">
        <f t="shared" si="3"/>
        <v>0.0012</v>
      </c>
      <c r="Q19" s="14">
        <f t="shared" si="5"/>
        <v>0.12</v>
      </c>
      <c r="R19" s="66">
        <f t="shared" si="3"/>
        <v>0.0012</v>
      </c>
    </row>
    <row r="20" spans="2:18" ht="12.75">
      <c r="B20" s="4" t="s">
        <v>41</v>
      </c>
      <c r="C20" s="5">
        <v>0</v>
      </c>
      <c r="D20" s="3"/>
      <c r="E20">
        <v>0.024</v>
      </c>
      <c r="F20" s="66">
        <f t="shared" si="0"/>
        <v>0</v>
      </c>
      <c r="G20" s="14">
        <f t="shared" si="1"/>
        <v>0.024</v>
      </c>
      <c r="H20" s="66">
        <f t="shared" si="0"/>
        <v>0</v>
      </c>
      <c r="I20" s="3"/>
      <c r="J20">
        <v>1.7</v>
      </c>
      <c r="K20" s="66">
        <f t="shared" si="2"/>
        <v>0</v>
      </c>
      <c r="L20" s="14">
        <f t="shared" si="4"/>
        <v>1.7</v>
      </c>
      <c r="M20" s="66">
        <f t="shared" si="2"/>
        <v>0</v>
      </c>
      <c r="N20" s="3"/>
      <c r="O20">
        <v>0.24</v>
      </c>
      <c r="P20" s="66">
        <f t="shared" si="3"/>
        <v>0</v>
      </c>
      <c r="Q20" s="14">
        <f t="shared" si="5"/>
        <v>0.24</v>
      </c>
      <c r="R20" s="66">
        <f t="shared" si="3"/>
        <v>0</v>
      </c>
    </row>
    <row r="21" spans="2:18" ht="12.75">
      <c r="B21" s="4" t="s">
        <v>42</v>
      </c>
      <c r="C21" s="5">
        <v>0.001</v>
      </c>
      <c r="D21" s="3"/>
      <c r="E21">
        <v>0.016</v>
      </c>
      <c r="F21" s="66">
        <f t="shared" si="0"/>
        <v>1.6E-05</v>
      </c>
      <c r="G21" s="14">
        <f t="shared" si="1"/>
        <v>0.016</v>
      </c>
      <c r="H21" s="66">
        <f t="shared" si="0"/>
        <v>1.6E-05</v>
      </c>
      <c r="I21" s="3"/>
      <c r="J21">
        <v>0.063</v>
      </c>
      <c r="K21" s="66">
        <f t="shared" si="2"/>
        <v>6.3E-05</v>
      </c>
      <c r="L21" s="14">
        <f t="shared" si="4"/>
        <v>0.063</v>
      </c>
      <c r="M21" s="66">
        <f t="shared" si="2"/>
        <v>6.3E-05</v>
      </c>
      <c r="N21" s="3"/>
      <c r="O21">
        <v>0.14</v>
      </c>
      <c r="P21" s="66">
        <f t="shared" si="3"/>
        <v>0.00014000000000000001</v>
      </c>
      <c r="Q21" s="14">
        <f t="shared" si="5"/>
        <v>0.14</v>
      </c>
      <c r="R21" s="66">
        <f t="shared" si="3"/>
        <v>0.00014000000000000001</v>
      </c>
    </row>
    <row r="22" spans="2:18" ht="12.75">
      <c r="B22" s="4" t="s">
        <v>43</v>
      </c>
      <c r="C22" s="5">
        <v>0.1</v>
      </c>
      <c r="D22" s="3"/>
      <c r="E22">
        <v>0.011</v>
      </c>
      <c r="F22" s="66">
        <f t="shared" si="0"/>
        <v>0.0011</v>
      </c>
      <c r="G22" s="14">
        <f t="shared" si="1"/>
        <v>0.011</v>
      </c>
      <c r="H22" s="66">
        <f t="shared" si="0"/>
        <v>0.0011</v>
      </c>
      <c r="I22" s="3"/>
      <c r="J22">
        <v>0.05</v>
      </c>
      <c r="K22" s="66">
        <f t="shared" si="2"/>
        <v>0.005000000000000001</v>
      </c>
      <c r="L22" s="14">
        <f t="shared" si="4"/>
        <v>0.05</v>
      </c>
      <c r="M22" s="66">
        <f t="shared" si="2"/>
        <v>0.005000000000000001</v>
      </c>
      <c r="N22" s="3"/>
      <c r="O22">
        <v>0.019</v>
      </c>
      <c r="P22" s="66">
        <f t="shared" si="3"/>
        <v>0.0019</v>
      </c>
      <c r="Q22" s="14">
        <f t="shared" si="5"/>
        <v>0.019</v>
      </c>
      <c r="R22" s="66">
        <f t="shared" si="3"/>
        <v>0.0019</v>
      </c>
    </row>
    <row r="23" spans="2:18" ht="12.75">
      <c r="B23" s="4" t="s">
        <v>44</v>
      </c>
      <c r="C23" s="5">
        <v>0</v>
      </c>
      <c r="D23" s="3"/>
      <c r="E23">
        <v>0.072</v>
      </c>
      <c r="F23" s="66">
        <f t="shared" si="0"/>
        <v>0</v>
      </c>
      <c r="G23" s="14">
        <f t="shared" si="1"/>
        <v>0.072</v>
      </c>
      <c r="H23" s="66">
        <f t="shared" si="0"/>
        <v>0</v>
      </c>
      <c r="I23" s="3"/>
      <c r="J23">
        <v>0.33</v>
      </c>
      <c r="K23" s="66">
        <f t="shared" si="2"/>
        <v>0</v>
      </c>
      <c r="L23" s="14">
        <f t="shared" si="4"/>
        <v>0.33</v>
      </c>
      <c r="M23" s="66">
        <f t="shared" si="2"/>
        <v>0</v>
      </c>
      <c r="N23" s="3"/>
      <c r="O23">
        <v>0.14</v>
      </c>
      <c r="P23" s="66">
        <f t="shared" si="3"/>
        <v>0</v>
      </c>
      <c r="Q23" s="14">
        <f t="shared" si="5"/>
        <v>0.14</v>
      </c>
      <c r="R23" s="66">
        <f t="shared" si="3"/>
        <v>0</v>
      </c>
    </row>
    <row r="24" spans="2:18" ht="12.75">
      <c r="B24" s="4" t="s">
        <v>45</v>
      </c>
      <c r="C24" s="5">
        <v>0.05</v>
      </c>
      <c r="D24" s="3" t="s">
        <v>12</v>
      </c>
      <c r="E24">
        <v>0.0017</v>
      </c>
      <c r="F24" s="66">
        <f t="shared" si="0"/>
        <v>8.5E-05</v>
      </c>
      <c r="G24" s="14">
        <f t="shared" si="1"/>
        <v>0.00085</v>
      </c>
      <c r="H24" s="66">
        <f t="shared" si="0"/>
        <v>4.25E-05</v>
      </c>
      <c r="I24" s="3" t="s">
        <v>12</v>
      </c>
      <c r="J24">
        <v>0.0087</v>
      </c>
      <c r="K24" s="66">
        <f t="shared" si="2"/>
        <v>0.000435</v>
      </c>
      <c r="L24" s="14">
        <f t="shared" si="4"/>
        <v>0.00435</v>
      </c>
      <c r="M24" s="66">
        <f t="shared" si="2"/>
        <v>0.0002175</v>
      </c>
      <c r="N24" s="3" t="s">
        <v>12</v>
      </c>
      <c r="O24">
        <v>0.0021</v>
      </c>
      <c r="P24" s="66">
        <f t="shared" si="3"/>
        <v>0.000105</v>
      </c>
      <c r="Q24" s="14">
        <f t="shared" si="5"/>
        <v>0.00105</v>
      </c>
      <c r="R24" s="66">
        <f t="shared" si="3"/>
        <v>5.25E-05</v>
      </c>
    </row>
    <row r="25" spans="2:18" ht="12.75">
      <c r="B25" s="4" t="s">
        <v>46</v>
      </c>
      <c r="C25" s="5">
        <v>0.5</v>
      </c>
      <c r="D25" s="3" t="s">
        <v>12</v>
      </c>
      <c r="E25">
        <v>0.0042</v>
      </c>
      <c r="F25" s="66">
        <f t="shared" si="0"/>
        <v>0.0021</v>
      </c>
      <c r="G25" s="14">
        <f t="shared" si="1"/>
        <v>0.0021</v>
      </c>
      <c r="H25" s="66">
        <f t="shared" si="0"/>
        <v>0.00105</v>
      </c>
      <c r="I25" s="3" t="s">
        <v>12</v>
      </c>
      <c r="J25">
        <v>0.018</v>
      </c>
      <c r="K25" s="66">
        <f t="shared" si="2"/>
        <v>0.009</v>
      </c>
      <c r="L25" s="14">
        <f t="shared" si="4"/>
        <v>0.009</v>
      </c>
      <c r="M25" s="66">
        <f t="shared" si="2"/>
        <v>0.0045</v>
      </c>
      <c r="N25" s="3" t="s">
        <v>12</v>
      </c>
      <c r="O25">
        <v>0.0061</v>
      </c>
      <c r="P25" s="66">
        <f t="shared" si="3"/>
        <v>0.00305</v>
      </c>
      <c r="Q25" s="14">
        <f t="shared" si="5"/>
        <v>0.00305</v>
      </c>
      <c r="R25" s="66">
        <f t="shared" si="3"/>
        <v>0.001525</v>
      </c>
    </row>
    <row r="26" spans="2:18" ht="12.75">
      <c r="B26" s="4" t="s">
        <v>47</v>
      </c>
      <c r="C26" s="5">
        <v>0</v>
      </c>
      <c r="D26" s="3"/>
      <c r="E26">
        <v>0.019</v>
      </c>
      <c r="F26" s="66">
        <f t="shared" si="0"/>
        <v>0</v>
      </c>
      <c r="G26" s="14">
        <f t="shared" si="1"/>
        <v>0.019</v>
      </c>
      <c r="H26" s="66">
        <f t="shared" si="0"/>
        <v>0</v>
      </c>
      <c r="I26" s="3"/>
      <c r="J26">
        <v>0.14</v>
      </c>
      <c r="K26" s="66">
        <f t="shared" si="2"/>
        <v>0</v>
      </c>
      <c r="L26" s="14">
        <f t="shared" si="4"/>
        <v>0.14</v>
      </c>
      <c r="M26" s="66">
        <f t="shared" si="2"/>
        <v>0</v>
      </c>
      <c r="N26" s="3"/>
      <c r="O26">
        <v>0.032</v>
      </c>
      <c r="P26" s="66">
        <f t="shared" si="3"/>
        <v>0</v>
      </c>
      <c r="Q26" s="14">
        <f t="shared" si="5"/>
        <v>0.032</v>
      </c>
      <c r="R26" s="66">
        <f t="shared" si="3"/>
        <v>0</v>
      </c>
    </row>
    <row r="27" spans="2:18" ht="12.75">
      <c r="B27" s="4" t="s">
        <v>48</v>
      </c>
      <c r="C27" s="5">
        <v>0.1</v>
      </c>
      <c r="D27" s="3"/>
      <c r="E27">
        <v>0.0031</v>
      </c>
      <c r="F27" s="66">
        <f t="shared" si="0"/>
        <v>0.00031</v>
      </c>
      <c r="G27" s="14">
        <f t="shared" si="1"/>
        <v>0.0031</v>
      </c>
      <c r="H27" s="66">
        <f t="shared" si="0"/>
        <v>0.00031</v>
      </c>
      <c r="I27" s="3"/>
      <c r="J27">
        <v>0.019</v>
      </c>
      <c r="K27" s="66">
        <f t="shared" si="2"/>
        <v>0.0019</v>
      </c>
      <c r="L27" s="14">
        <f t="shared" si="4"/>
        <v>0.019</v>
      </c>
      <c r="M27" s="66">
        <f t="shared" si="2"/>
        <v>0.0019</v>
      </c>
      <c r="N27" s="3"/>
      <c r="O27">
        <v>0.003</v>
      </c>
      <c r="P27" s="66">
        <f t="shared" si="3"/>
        <v>0.00030000000000000003</v>
      </c>
      <c r="Q27" s="14">
        <f t="shared" si="5"/>
        <v>0.003</v>
      </c>
      <c r="R27" s="66">
        <f t="shared" si="3"/>
        <v>0.00030000000000000003</v>
      </c>
    </row>
    <row r="28" spans="2:18" ht="12.75">
      <c r="B28" s="4" t="s">
        <v>49</v>
      </c>
      <c r="C28" s="5">
        <v>0.1</v>
      </c>
      <c r="D28" s="3" t="s">
        <v>12</v>
      </c>
      <c r="E28">
        <v>0.0016</v>
      </c>
      <c r="F28" s="66">
        <f t="shared" si="0"/>
        <v>0.00016</v>
      </c>
      <c r="G28" s="14">
        <f t="shared" si="1"/>
        <v>0.0008</v>
      </c>
      <c r="H28" s="66">
        <f t="shared" si="0"/>
        <v>8E-05</v>
      </c>
      <c r="I28" s="3"/>
      <c r="J28">
        <v>0.0086</v>
      </c>
      <c r="K28" s="66">
        <f t="shared" si="2"/>
        <v>0.0008600000000000001</v>
      </c>
      <c r="L28" s="14">
        <f t="shared" si="4"/>
        <v>0.0086</v>
      </c>
      <c r="M28" s="66">
        <f t="shared" si="2"/>
        <v>0.0008600000000000001</v>
      </c>
      <c r="N28" s="3"/>
      <c r="O28">
        <v>0.015</v>
      </c>
      <c r="P28" s="66">
        <f t="shared" si="3"/>
        <v>0.0015</v>
      </c>
      <c r="Q28" s="14">
        <f t="shared" si="5"/>
        <v>0.015</v>
      </c>
      <c r="R28" s="66">
        <f t="shared" si="3"/>
        <v>0.0015</v>
      </c>
    </row>
    <row r="29" spans="2:18" ht="12.75">
      <c r="B29" s="4" t="s">
        <v>50</v>
      </c>
      <c r="C29" s="5">
        <v>0.1</v>
      </c>
      <c r="D29" s="3" t="s">
        <v>12</v>
      </c>
      <c r="E29">
        <v>0.0028</v>
      </c>
      <c r="F29" s="66">
        <f t="shared" si="0"/>
        <v>0.00028000000000000003</v>
      </c>
      <c r="G29" s="14">
        <f t="shared" si="1"/>
        <v>0.0014</v>
      </c>
      <c r="H29" s="66">
        <f t="shared" si="0"/>
        <v>0.00014000000000000001</v>
      </c>
      <c r="I29" s="3" t="s">
        <v>12</v>
      </c>
      <c r="J29">
        <v>0.017</v>
      </c>
      <c r="K29" s="66">
        <f t="shared" si="2"/>
        <v>0.0017000000000000001</v>
      </c>
      <c r="L29" s="14">
        <f t="shared" si="4"/>
        <v>0.0085</v>
      </c>
      <c r="M29" s="66">
        <f t="shared" si="2"/>
        <v>0.0008500000000000001</v>
      </c>
      <c r="N29" s="3" t="s">
        <v>12</v>
      </c>
      <c r="O29">
        <v>0.0043</v>
      </c>
      <c r="P29" s="66">
        <f t="shared" si="3"/>
        <v>0.00043000000000000004</v>
      </c>
      <c r="Q29" s="14">
        <f t="shared" si="5"/>
        <v>0.00215</v>
      </c>
      <c r="R29" s="66">
        <f t="shared" si="3"/>
        <v>0.00021500000000000002</v>
      </c>
    </row>
    <row r="30" spans="2:18" ht="12.75">
      <c r="B30" s="4" t="s">
        <v>51</v>
      </c>
      <c r="C30" s="5">
        <v>0.1</v>
      </c>
      <c r="D30" s="3" t="s">
        <v>12</v>
      </c>
      <c r="E30">
        <v>0.0024</v>
      </c>
      <c r="F30" s="66">
        <f t="shared" si="0"/>
        <v>0.00023999999999999998</v>
      </c>
      <c r="G30" s="14">
        <f t="shared" si="1"/>
        <v>0.0012</v>
      </c>
      <c r="H30" s="66">
        <f t="shared" si="0"/>
        <v>0.00011999999999999999</v>
      </c>
      <c r="I30" s="3" t="s">
        <v>12</v>
      </c>
      <c r="J30">
        <v>0.0041</v>
      </c>
      <c r="K30" s="66">
        <f t="shared" si="2"/>
        <v>0.00041000000000000005</v>
      </c>
      <c r="L30" s="14">
        <f t="shared" si="4"/>
        <v>0.00205</v>
      </c>
      <c r="M30" s="66">
        <f t="shared" si="2"/>
        <v>0.00020500000000000002</v>
      </c>
      <c r="N30" s="3" t="s">
        <v>12</v>
      </c>
      <c r="O30">
        <v>0.002</v>
      </c>
      <c r="P30" s="66">
        <f t="shared" si="3"/>
        <v>0.0002</v>
      </c>
      <c r="Q30" s="14">
        <f t="shared" si="5"/>
        <v>0.001</v>
      </c>
      <c r="R30" s="66">
        <f t="shared" si="3"/>
        <v>0.0001</v>
      </c>
    </row>
    <row r="31" spans="2:18" ht="12.75">
      <c r="B31" s="4" t="s">
        <v>52</v>
      </c>
      <c r="C31" s="5">
        <v>0</v>
      </c>
      <c r="D31" s="3"/>
      <c r="E31">
        <v>0.0062</v>
      </c>
      <c r="F31" s="66">
        <f t="shared" si="0"/>
        <v>0</v>
      </c>
      <c r="G31" s="14">
        <f t="shared" si="1"/>
        <v>0.0062</v>
      </c>
      <c r="H31" s="66">
        <f t="shared" si="0"/>
        <v>0</v>
      </c>
      <c r="I31" s="3"/>
      <c r="J31">
        <v>0.067</v>
      </c>
      <c r="K31" s="66">
        <f t="shared" si="2"/>
        <v>0</v>
      </c>
      <c r="L31" s="14">
        <f t="shared" si="4"/>
        <v>0.067</v>
      </c>
      <c r="M31" s="66">
        <f t="shared" si="2"/>
        <v>0</v>
      </c>
      <c r="N31" s="3"/>
      <c r="O31">
        <v>0.086</v>
      </c>
      <c r="P31" s="66">
        <f t="shared" si="3"/>
        <v>0</v>
      </c>
      <c r="Q31" s="14">
        <f t="shared" si="5"/>
        <v>0.086</v>
      </c>
      <c r="R31" s="66">
        <f t="shared" si="3"/>
        <v>0</v>
      </c>
    </row>
    <row r="32" spans="2:18" ht="12.75">
      <c r="B32" s="4" t="s">
        <v>53</v>
      </c>
      <c r="C32" s="5">
        <v>0.01</v>
      </c>
      <c r="D32" s="3"/>
      <c r="E32">
        <v>0.0057</v>
      </c>
      <c r="F32" s="66">
        <f t="shared" si="0"/>
        <v>5.7E-05</v>
      </c>
      <c r="G32" s="14">
        <f t="shared" si="1"/>
        <v>0.0057</v>
      </c>
      <c r="H32" s="66">
        <f t="shared" si="0"/>
        <v>5.7E-05</v>
      </c>
      <c r="I32" s="3"/>
      <c r="J32">
        <v>0.029</v>
      </c>
      <c r="K32" s="66">
        <f t="shared" si="2"/>
        <v>0.00029</v>
      </c>
      <c r="L32" s="14">
        <f t="shared" si="4"/>
        <v>0.029</v>
      </c>
      <c r="M32" s="66">
        <f t="shared" si="2"/>
        <v>0.00029</v>
      </c>
      <c r="N32" s="3"/>
      <c r="O32">
        <v>0.0053</v>
      </c>
      <c r="P32" s="66">
        <f t="shared" si="3"/>
        <v>5.3E-05</v>
      </c>
      <c r="Q32" s="14">
        <f t="shared" si="5"/>
        <v>0.0053</v>
      </c>
      <c r="R32" s="66">
        <f t="shared" si="3"/>
        <v>5.3E-05</v>
      </c>
    </row>
    <row r="33" spans="2:18" ht="12.75">
      <c r="B33" s="4" t="s">
        <v>54</v>
      </c>
      <c r="C33" s="5">
        <v>0.01</v>
      </c>
      <c r="D33" s="3" t="s">
        <v>12</v>
      </c>
      <c r="E33">
        <v>0.0026</v>
      </c>
      <c r="F33" s="66">
        <f t="shared" si="0"/>
        <v>2.6E-05</v>
      </c>
      <c r="G33" s="14">
        <f t="shared" si="1"/>
        <v>0.0013</v>
      </c>
      <c r="H33" s="66">
        <f t="shared" si="0"/>
        <v>1.3E-05</v>
      </c>
      <c r="I33" s="3"/>
      <c r="J33">
        <v>0.0061</v>
      </c>
      <c r="K33" s="66">
        <f t="shared" si="2"/>
        <v>6.1000000000000005E-05</v>
      </c>
      <c r="L33" s="14">
        <f t="shared" si="4"/>
        <v>0.0061</v>
      </c>
      <c r="M33" s="66">
        <f t="shared" si="2"/>
        <v>6.1000000000000005E-05</v>
      </c>
      <c r="N33" s="3" t="s">
        <v>12</v>
      </c>
      <c r="O33">
        <v>0.025</v>
      </c>
      <c r="P33" s="66">
        <f t="shared" si="3"/>
        <v>0.00025</v>
      </c>
      <c r="Q33" s="14">
        <f t="shared" si="5"/>
        <v>0.0125</v>
      </c>
      <c r="R33" s="66">
        <f t="shared" si="3"/>
        <v>0.000125</v>
      </c>
    </row>
    <row r="34" spans="2:18" ht="12.75">
      <c r="B34" s="4" t="s">
        <v>55</v>
      </c>
      <c r="C34" s="5">
        <v>0</v>
      </c>
      <c r="D34" s="3"/>
      <c r="E34">
        <v>0.0089</v>
      </c>
      <c r="F34" s="66">
        <f t="shared" si="0"/>
        <v>0</v>
      </c>
      <c r="G34" s="14">
        <f t="shared" si="1"/>
        <v>0.0089</v>
      </c>
      <c r="H34" s="66">
        <f t="shared" si="0"/>
        <v>0</v>
      </c>
      <c r="I34" s="3"/>
      <c r="J34">
        <v>0.058</v>
      </c>
      <c r="K34" s="66">
        <f t="shared" si="2"/>
        <v>0</v>
      </c>
      <c r="L34" s="14">
        <f t="shared" si="4"/>
        <v>0.058</v>
      </c>
      <c r="M34" s="66">
        <f t="shared" si="2"/>
        <v>0</v>
      </c>
      <c r="N34" s="3"/>
      <c r="O34">
        <v>0.058</v>
      </c>
      <c r="P34" s="66">
        <f t="shared" si="3"/>
        <v>0</v>
      </c>
      <c r="Q34" s="14">
        <f t="shared" si="5"/>
        <v>0.058</v>
      </c>
      <c r="R34" s="66">
        <f t="shared" si="3"/>
        <v>0</v>
      </c>
    </row>
    <row r="35" spans="2:18" ht="12.75">
      <c r="B35" s="4" t="s">
        <v>56</v>
      </c>
      <c r="C35" s="5">
        <v>0.001</v>
      </c>
      <c r="D35" s="3" t="s">
        <v>12</v>
      </c>
      <c r="E35">
        <v>0.0064</v>
      </c>
      <c r="F35" s="66">
        <f t="shared" si="0"/>
        <v>6.4000000000000006E-06</v>
      </c>
      <c r="G35" s="14">
        <f t="shared" si="1"/>
        <v>0.0032</v>
      </c>
      <c r="H35" s="66">
        <f t="shared" si="0"/>
        <v>3.2000000000000003E-06</v>
      </c>
      <c r="I35" s="3" t="s">
        <v>12</v>
      </c>
      <c r="J35">
        <v>0.018</v>
      </c>
      <c r="K35" s="66">
        <f t="shared" si="2"/>
        <v>1.8E-05</v>
      </c>
      <c r="L35" s="14">
        <f t="shared" si="4"/>
        <v>0.009</v>
      </c>
      <c r="M35" s="66">
        <f t="shared" si="2"/>
        <v>9E-06</v>
      </c>
      <c r="N35" s="3" t="s">
        <v>12</v>
      </c>
      <c r="O35">
        <v>0.005</v>
      </c>
      <c r="P35" s="66">
        <f t="shared" si="3"/>
        <v>5E-06</v>
      </c>
      <c r="Q35" s="14">
        <f t="shared" si="5"/>
        <v>0.0025</v>
      </c>
      <c r="R35" s="66">
        <f t="shared" si="3"/>
        <v>2.5E-06</v>
      </c>
    </row>
    <row r="36" spans="5:17" ht="9" customHeight="1">
      <c r="E36" s="17"/>
      <c r="G36" s="17"/>
      <c r="I36" s="18"/>
      <c r="J36" s="16"/>
      <c r="K36" s="14"/>
      <c r="L36" s="14"/>
      <c r="M36" s="14"/>
      <c r="N36" s="18"/>
      <c r="O36" s="16"/>
      <c r="Q36" s="17"/>
    </row>
    <row r="37" spans="2:18" ht="12.75">
      <c r="B37" s="4" t="s">
        <v>57</v>
      </c>
      <c r="E37"/>
      <c r="F37">
        <v>121.363</v>
      </c>
      <c r="G37">
        <v>121.363</v>
      </c>
      <c r="H37">
        <v>121.363</v>
      </c>
      <c r="I37"/>
      <c r="J37"/>
      <c r="K37">
        <v>116.367</v>
      </c>
      <c r="L37">
        <v>116.367</v>
      </c>
      <c r="M37">
        <v>116.367</v>
      </c>
      <c r="N37"/>
      <c r="O37"/>
      <c r="P37">
        <v>118.469</v>
      </c>
      <c r="Q37">
        <v>118.469</v>
      </c>
      <c r="R37">
        <v>118.469</v>
      </c>
    </row>
    <row r="38" spans="2:18" ht="12.75">
      <c r="B38" s="4" t="s">
        <v>58</v>
      </c>
      <c r="E38"/>
      <c r="F38">
        <v>13</v>
      </c>
      <c r="G38">
        <v>13</v>
      </c>
      <c r="H38">
        <v>13</v>
      </c>
      <c r="I38"/>
      <c r="J38"/>
      <c r="K38">
        <v>12.7</v>
      </c>
      <c r="L38">
        <v>12.7</v>
      </c>
      <c r="M38">
        <v>12.7</v>
      </c>
      <c r="N38"/>
      <c r="O38"/>
      <c r="P38">
        <v>12.7</v>
      </c>
      <c r="Q38">
        <v>12.7</v>
      </c>
      <c r="R38">
        <v>12.7</v>
      </c>
    </row>
    <row r="39" spans="5:18" ht="9.75" customHeight="1">
      <c r="E39" s="17"/>
      <c r="F39" s="19"/>
      <c r="G39" s="17"/>
      <c r="H39" s="19"/>
      <c r="I39" s="20"/>
      <c r="J39" s="17"/>
      <c r="K39" s="21"/>
      <c r="L39" s="14"/>
      <c r="M39" s="21"/>
      <c r="N39" s="18"/>
      <c r="O39" s="17"/>
      <c r="P39" s="17"/>
      <c r="Q39" s="17"/>
      <c r="R39" s="17"/>
    </row>
    <row r="40" spans="2:18" ht="12" customHeight="1">
      <c r="B40" s="4" t="s">
        <v>161</v>
      </c>
      <c r="C40" s="7"/>
      <c r="D40" s="11"/>
      <c r="E40" s="14"/>
      <c r="F40" s="15">
        <f>SUM(F11:F35)</f>
        <v>0.015580400000000001</v>
      </c>
      <c r="G40" s="15">
        <f>SUM(G35,G34,G31,G26,G23,G21,G20,G18,G14,G12)</f>
        <v>1.8213000000000001</v>
      </c>
      <c r="H40" s="15">
        <f>SUM(H11:H35)</f>
        <v>0.012081700000000003</v>
      </c>
      <c r="I40" s="11"/>
      <c r="J40" s="14"/>
      <c r="K40" s="15">
        <f>SUM(K11:K35)</f>
        <v>0.08693700000000001</v>
      </c>
      <c r="L40" s="15">
        <f>SUM(L35,L34,L31,L26,L23,L21,L20,L18,L14,L12)</f>
        <v>13.367</v>
      </c>
      <c r="M40" s="15">
        <f>SUM(M11:M35)</f>
        <v>0.0811555</v>
      </c>
      <c r="N40" s="11"/>
      <c r="O40" s="17"/>
      <c r="P40" s="15">
        <f>SUM(P11:P35)</f>
        <v>0.016263</v>
      </c>
      <c r="Q40" s="15">
        <f>SUM(Q35,Q34,Q31,Q26,Q23,Q21,Q20,Q18,Q14,Q12)</f>
        <v>3.8185000000000002</v>
      </c>
      <c r="R40" s="15">
        <f>SUM(R11:R35)</f>
        <v>0.012317999999999999</v>
      </c>
    </row>
    <row r="41" spans="2:18" ht="12" customHeight="1">
      <c r="B41" s="4" t="s">
        <v>59</v>
      </c>
      <c r="C41" s="7"/>
      <c r="D41" s="14">
        <f>(F41-H41)*2/F41*100</f>
        <v>44.91155554414523</v>
      </c>
      <c r="E41" s="14"/>
      <c r="F41" s="47">
        <f>F40/F37/0.0283*(21-7)/(21-F38)</f>
        <v>0.007938599876566897</v>
      </c>
      <c r="G41" s="15">
        <f>G40/G37/0.0283*(21-7)/(21-G38)</f>
        <v>0.9279974811424151</v>
      </c>
      <c r="H41" s="47">
        <f>H40/H37/0.0283*(21-7)/(21-H38)</f>
        <v>0.006155925530071003</v>
      </c>
      <c r="I41" s="14">
        <f>(K41-M41)*2/K41*100</f>
        <v>13.300435947870323</v>
      </c>
      <c r="J41" s="14"/>
      <c r="K41" s="15">
        <f>K40/K37/0.0283*(21-7)/(21-K38)</f>
        <v>0.04452852600451771</v>
      </c>
      <c r="L41" s="15">
        <f>L40/L37/0.0283*(21-7)/(21-L38)</f>
        <v>6.846484317406722</v>
      </c>
      <c r="M41" s="15">
        <f>M40/M37/0.0283*(21-7)/(21-M38)</f>
        <v>0.04156728196463688</v>
      </c>
      <c r="N41" s="14">
        <f>(P41-R41)*2/P41*100</f>
        <v>48.51503412654492</v>
      </c>
      <c r="O41" s="17"/>
      <c r="P41" s="47">
        <f>P40/P37/0.0283*(21-7)/(21-P38)</f>
        <v>0.008181999473154728</v>
      </c>
      <c r="Q41" s="15">
        <f>Q40/Q37/0.0283*(21-7)/(21-Q38)</f>
        <v>1.9211071135855213</v>
      </c>
      <c r="R41" s="47">
        <f>R40/R37/0.0283*(21-7)/(21-R38)</f>
        <v>0.006197249554837357</v>
      </c>
    </row>
    <row r="42" spans="3:18" ht="12" customHeight="1">
      <c r="C42" s="7"/>
      <c r="D42" s="11"/>
      <c r="E42" s="14"/>
      <c r="F42" s="15"/>
      <c r="G42" s="15"/>
      <c r="H42" s="15"/>
      <c r="I42" s="11"/>
      <c r="J42" s="14"/>
      <c r="K42" s="15"/>
      <c r="L42" s="15"/>
      <c r="M42" s="15"/>
      <c r="N42" s="11"/>
      <c r="O42" s="17"/>
      <c r="P42" s="15"/>
      <c r="Q42" s="15"/>
      <c r="R42" s="15"/>
    </row>
    <row r="43" spans="2:31" s="17" customFormat="1" ht="12.75">
      <c r="B43" s="17" t="s">
        <v>70</v>
      </c>
      <c r="C43" s="15">
        <f>AVERAGE(H41,M41,R41)</f>
        <v>0.017973485683181748</v>
      </c>
      <c r="D43" s="18"/>
      <c r="F43" s="7"/>
      <c r="H43" s="7"/>
      <c r="I43" s="18"/>
      <c r="N43" s="18"/>
      <c r="P43" s="6"/>
      <c r="R43" s="6"/>
      <c r="S43"/>
      <c r="T43"/>
      <c r="U43"/>
      <c r="V43"/>
      <c r="W43"/>
      <c r="X43"/>
      <c r="Y43"/>
      <c r="Z43"/>
      <c r="AA43"/>
      <c r="AB43"/>
      <c r="AC43"/>
      <c r="AD43"/>
      <c r="AE43"/>
    </row>
    <row r="44" spans="2:3" ht="12.75">
      <c r="B44" s="4" t="s">
        <v>71</v>
      </c>
      <c r="C44" s="15">
        <f>AVERAGE(G41,L41,Q41)</f>
        <v>3.231862970711553</v>
      </c>
    </row>
    <row r="45" spans="5:18" ht="12.75">
      <c r="E45" s="4"/>
      <c r="G45" s="4"/>
      <c r="I45" s="5"/>
      <c r="J45" s="4"/>
      <c r="K45" s="4"/>
      <c r="L45" s="4"/>
      <c r="M45" s="4"/>
      <c r="N45" s="5"/>
      <c r="O45" s="4"/>
      <c r="P45" s="4"/>
      <c r="Q45" s="4"/>
      <c r="R45" s="4"/>
    </row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spans="5:17" ht="12.75">
      <c r="E82" s="17"/>
      <c r="G82" s="17"/>
      <c r="I82" s="18"/>
      <c r="J82" s="17"/>
      <c r="K82" s="14"/>
      <c r="L82" s="14"/>
      <c r="M82" s="14"/>
      <c r="N82" s="18"/>
      <c r="O82" s="16"/>
      <c r="Q82" s="17"/>
    </row>
    <row r="83" spans="5:18" ht="12.75">
      <c r="E83" s="17"/>
      <c r="G83" s="17"/>
      <c r="I83" s="18"/>
      <c r="J83" s="17"/>
      <c r="K83" s="14"/>
      <c r="L83" s="14"/>
      <c r="M83" s="14"/>
      <c r="N83" s="18"/>
      <c r="O83" s="17"/>
      <c r="P83" s="17"/>
      <c r="Q83" s="17"/>
      <c r="R83" s="17"/>
    </row>
    <row r="84" spans="5:18" ht="12.75">
      <c r="E84" s="17"/>
      <c r="G84" s="17"/>
      <c r="I84" s="18"/>
      <c r="J84" s="17"/>
      <c r="K84" s="14"/>
      <c r="L84" s="14"/>
      <c r="M84" s="14"/>
      <c r="N84" s="18"/>
      <c r="O84" s="17"/>
      <c r="P84" s="17"/>
      <c r="Q84" s="17"/>
      <c r="R84" s="17"/>
    </row>
    <row r="85" spans="5:18" ht="12.75">
      <c r="E85" s="17"/>
      <c r="F85" s="19"/>
      <c r="G85" s="17"/>
      <c r="H85" s="19"/>
      <c r="I85" s="20"/>
      <c r="J85" s="17"/>
      <c r="K85" s="21"/>
      <c r="L85" s="14"/>
      <c r="M85" s="21"/>
      <c r="N85" s="18"/>
      <c r="O85" s="17"/>
      <c r="P85" s="17"/>
      <c r="Q85" s="17"/>
      <c r="R85" s="17"/>
    </row>
    <row r="86" spans="3:18" ht="12.75">
      <c r="C86" s="7"/>
      <c r="D86" s="11"/>
      <c r="E86" s="14"/>
      <c r="G86" s="14"/>
      <c r="I86" s="11"/>
      <c r="J86" s="14"/>
      <c r="K86" s="14"/>
      <c r="L86" s="14"/>
      <c r="M86" s="14"/>
      <c r="N86" s="11"/>
      <c r="O86" s="17"/>
      <c r="P86" s="7"/>
      <c r="Q86" s="7"/>
      <c r="R86" s="7"/>
    </row>
    <row r="87" spans="3:18" ht="12.75">
      <c r="C87" s="7"/>
      <c r="D87" s="11"/>
      <c r="E87" s="17"/>
      <c r="G87" s="15"/>
      <c r="I87" s="11"/>
      <c r="J87" s="17"/>
      <c r="K87" s="7"/>
      <c r="L87" s="14"/>
      <c r="M87" s="7"/>
      <c r="N87" s="11"/>
      <c r="O87" s="17"/>
      <c r="P87" s="15"/>
      <c r="Q87" s="15"/>
      <c r="R87" s="15"/>
    </row>
    <row r="104" ht="12.75"/>
    <row r="105" spans="3:18" ht="12.75">
      <c r="C105" s="5"/>
      <c r="E105" s="8"/>
      <c r="F105" s="11"/>
      <c r="G105" s="8"/>
      <c r="H105" s="11"/>
      <c r="J105" s="8"/>
      <c r="K105" s="8"/>
      <c r="L105" s="8"/>
      <c r="M105" s="8"/>
      <c r="O105" s="8"/>
      <c r="P105" s="8"/>
      <c r="Q105" s="8"/>
      <c r="R105" s="8"/>
    </row>
    <row r="106" spans="3:18" ht="12.75">
      <c r="C106" s="5"/>
      <c r="E106" s="8"/>
      <c r="G106" s="8"/>
      <c r="J106" s="8"/>
      <c r="K106" s="7"/>
      <c r="L106" s="8"/>
      <c r="M106" s="7"/>
      <c r="O106" s="8"/>
      <c r="P106" s="7"/>
      <c r="Q106" s="8"/>
      <c r="R106" s="7"/>
    </row>
    <row r="107" ht="12.75">
      <c r="O107" s="14"/>
    </row>
    <row r="108" spans="3:18" ht="12.75">
      <c r="C108" s="5"/>
      <c r="E108" s="14"/>
      <c r="F108" s="17"/>
      <c r="G108" s="14"/>
      <c r="H108" s="17"/>
      <c r="I108" s="11"/>
      <c r="J108" s="16"/>
      <c r="K108" s="14"/>
      <c r="L108" s="14"/>
      <c r="M108" s="14"/>
      <c r="N108" s="11"/>
      <c r="O108" s="14"/>
      <c r="P108" s="7"/>
      <c r="Q108" s="14"/>
      <c r="R108" s="7"/>
    </row>
    <row r="109" spans="3:18" ht="12.75">
      <c r="C109" s="5"/>
      <c r="E109" s="14"/>
      <c r="F109" s="17"/>
      <c r="G109" s="14"/>
      <c r="H109" s="17"/>
      <c r="I109" s="11"/>
      <c r="J109" s="16"/>
      <c r="K109" s="14"/>
      <c r="L109" s="14"/>
      <c r="M109" s="14"/>
      <c r="N109" s="11"/>
      <c r="O109" s="21"/>
      <c r="P109" s="7"/>
      <c r="Q109" s="14"/>
      <c r="R109" s="7"/>
    </row>
    <row r="110" spans="3:18" ht="12.75">
      <c r="C110" s="5"/>
      <c r="E110" s="14"/>
      <c r="F110" s="17"/>
      <c r="G110" s="14"/>
      <c r="H110" s="17"/>
      <c r="I110" s="11"/>
      <c r="J110" s="16"/>
      <c r="K110" s="14"/>
      <c r="L110" s="14"/>
      <c r="M110" s="14"/>
      <c r="N110" s="11"/>
      <c r="O110" s="21"/>
      <c r="P110" s="7"/>
      <c r="Q110" s="14"/>
      <c r="R110" s="7"/>
    </row>
    <row r="111" spans="3:18" ht="12.75">
      <c r="C111" s="5"/>
      <c r="E111" s="14"/>
      <c r="F111" s="17"/>
      <c r="G111" s="14"/>
      <c r="H111" s="17"/>
      <c r="I111" s="11"/>
      <c r="J111" s="16"/>
      <c r="K111" s="14"/>
      <c r="L111" s="14"/>
      <c r="M111" s="14"/>
      <c r="N111" s="11"/>
      <c r="O111" s="21"/>
      <c r="P111" s="7"/>
      <c r="Q111" s="14"/>
      <c r="R111" s="7"/>
    </row>
    <row r="112" spans="3:18" ht="12.75">
      <c r="C112" s="5"/>
      <c r="E112" s="14"/>
      <c r="F112" s="17"/>
      <c r="G112" s="14"/>
      <c r="H112" s="17"/>
      <c r="I112" s="11"/>
      <c r="J112" s="16"/>
      <c r="K112" s="14"/>
      <c r="L112" s="14"/>
      <c r="M112" s="14"/>
      <c r="N112" s="11"/>
      <c r="O112" s="21"/>
      <c r="P112" s="7"/>
      <c r="Q112" s="14"/>
      <c r="R112" s="7"/>
    </row>
    <row r="113" spans="3:18" ht="12.75">
      <c r="C113" s="5"/>
      <c r="E113" s="14"/>
      <c r="F113" s="17"/>
      <c r="G113" s="14"/>
      <c r="H113" s="17"/>
      <c r="I113" s="11"/>
      <c r="J113" s="16"/>
      <c r="K113" s="14"/>
      <c r="L113" s="14"/>
      <c r="M113" s="14"/>
      <c r="N113" s="11"/>
      <c r="O113" s="21"/>
      <c r="P113" s="7"/>
      <c r="Q113" s="14"/>
      <c r="R113" s="7"/>
    </row>
    <row r="114" spans="3:18" ht="12.75">
      <c r="C114" s="5"/>
      <c r="E114" s="14"/>
      <c r="F114" s="17"/>
      <c r="G114" s="14"/>
      <c r="H114" s="17"/>
      <c r="I114" s="11"/>
      <c r="J114" s="16"/>
      <c r="K114" s="14"/>
      <c r="L114" s="14"/>
      <c r="M114" s="14"/>
      <c r="N114" s="11"/>
      <c r="O114" s="21"/>
      <c r="P114" s="7"/>
      <c r="Q114" s="14"/>
      <c r="R114" s="7"/>
    </row>
    <row r="115" spans="3:18" ht="12.75">
      <c r="C115" s="5"/>
      <c r="E115" s="14"/>
      <c r="F115" s="17"/>
      <c r="G115" s="14"/>
      <c r="H115" s="17"/>
      <c r="I115" s="11"/>
      <c r="J115" s="16"/>
      <c r="K115" s="14"/>
      <c r="L115" s="14"/>
      <c r="M115" s="14"/>
      <c r="N115" s="11"/>
      <c r="O115" s="21"/>
      <c r="P115" s="7"/>
      <c r="Q115" s="14"/>
      <c r="R115" s="7"/>
    </row>
    <row r="116" spans="3:18" ht="12.75">
      <c r="C116" s="5"/>
      <c r="E116" s="14"/>
      <c r="F116" s="17"/>
      <c r="G116" s="14"/>
      <c r="H116" s="17"/>
      <c r="I116" s="11"/>
      <c r="J116" s="16"/>
      <c r="K116" s="14"/>
      <c r="L116" s="14"/>
      <c r="M116" s="14"/>
      <c r="N116" s="11"/>
      <c r="O116" s="21"/>
      <c r="P116" s="7"/>
      <c r="Q116" s="14"/>
      <c r="R116" s="7"/>
    </row>
    <row r="117" spans="3:18" ht="12.75">
      <c r="C117" s="5"/>
      <c r="E117" s="14"/>
      <c r="F117" s="17"/>
      <c r="G117" s="14"/>
      <c r="H117" s="17"/>
      <c r="I117" s="11"/>
      <c r="J117" s="16"/>
      <c r="K117" s="14"/>
      <c r="L117" s="14"/>
      <c r="M117" s="14"/>
      <c r="N117" s="11"/>
      <c r="O117" s="21"/>
      <c r="P117" s="7"/>
      <c r="Q117" s="14"/>
      <c r="R117" s="7"/>
    </row>
    <row r="118" spans="3:18" ht="12.75">
      <c r="C118" s="5"/>
      <c r="E118" s="14"/>
      <c r="F118" s="17"/>
      <c r="G118" s="14"/>
      <c r="H118" s="17"/>
      <c r="I118" s="11"/>
      <c r="J118" s="16"/>
      <c r="K118" s="14"/>
      <c r="L118" s="14"/>
      <c r="M118" s="14"/>
      <c r="N118" s="11"/>
      <c r="O118" s="21"/>
      <c r="P118" s="7"/>
      <c r="Q118" s="14"/>
      <c r="R118" s="7"/>
    </row>
    <row r="119" spans="3:18" ht="12.75">
      <c r="C119" s="5"/>
      <c r="E119" s="14"/>
      <c r="F119" s="17"/>
      <c r="G119" s="14"/>
      <c r="H119" s="17"/>
      <c r="I119" s="11"/>
      <c r="J119" s="16"/>
      <c r="K119" s="14"/>
      <c r="L119" s="14"/>
      <c r="M119" s="14"/>
      <c r="N119" s="11"/>
      <c r="O119" s="21"/>
      <c r="P119" s="7"/>
      <c r="Q119" s="14"/>
      <c r="R119" s="7"/>
    </row>
    <row r="120" spans="3:18" ht="12.75">
      <c r="C120" s="5"/>
      <c r="E120" s="14"/>
      <c r="F120" s="17"/>
      <c r="G120" s="14"/>
      <c r="H120" s="17"/>
      <c r="I120" s="11"/>
      <c r="J120" s="16"/>
      <c r="K120" s="14"/>
      <c r="L120" s="14"/>
      <c r="M120" s="14"/>
      <c r="N120" s="11"/>
      <c r="O120" s="21"/>
      <c r="P120" s="7"/>
      <c r="Q120" s="14"/>
      <c r="R120" s="7"/>
    </row>
    <row r="121" spans="3:18" ht="12.75">
      <c r="C121" s="5"/>
      <c r="E121" s="14"/>
      <c r="F121" s="17"/>
      <c r="G121" s="14"/>
      <c r="H121" s="17"/>
      <c r="I121" s="11"/>
      <c r="J121" s="16"/>
      <c r="K121" s="14"/>
      <c r="L121" s="14"/>
      <c r="M121" s="14"/>
      <c r="N121" s="11"/>
      <c r="O121" s="21"/>
      <c r="P121" s="7"/>
      <c r="Q121" s="14"/>
      <c r="R121" s="7"/>
    </row>
    <row r="122" spans="3:18" ht="12.75">
      <c r="C122" s="5"/>
      <c r="E122" s="14"/>
      <c r="F122" s="17"/>
      <c r="G122" s="14"/>
      <c r="H122" s="17"/>
      <c r="I122" s="11"/>
      <c r="J122" s="16"/>
      <c r="K122" s="14"/>
      <c r="L122" s="14"/>
      <c r="M122" s="14"/>
      <c r="N122" s="11"/>
      <c r="O122" s="21"/>
      <c r="P122" s="7"/>
      <c r="Q122" s="14"/>
      <c r="R122" s="7"/>
    </row>
    <row r="123" spans="3:18" ht="12.75">
      <c r="C123" s="5"/>
      <c r="E123" s="14"/>
      <c r="F123" s="17"/>
      <c r="G123" s="14"/>
      <c r="H123" s="17"/>
      <c r="I123" s="11"/>
      <c r="J123" s="16"/>
      <c r="K123" s="14"/>
      <c r="L123" s="14"/>
      <c r="M123" s="14"/>
      <c r="N123" s="11"/>
      <c r="O123" s="21"/>
      <c r="P123" s="7"/>
      <c r="Q123" s="14"/>
      <c r="R123" s="7"/>
    </row>
    <row r="124" spans="3:18" ht="12.75">
      <c r="C124" s="5"/>
      <c r="E124" s="14"/>
      <c r="F124" s="17"/>
      <c r="G124" s="14"/>
      <c r="H124" s="17"/>
      <c r="I124" s="11"/>
      <c r="J124" s="16"/>
      <c r="K124" s="14"/>
      <c r="L124" s="14"/>
      <c r="M124" s="14"/>
      <c r="N124" s="11"/>
      <c r="O124" s="21"/>
      <c r="P124" s="7"/>
      <c r="Q124" s="14"/>
      <c r="R124" s="7"/>
    </row>
    <row r="125" spans="3:18" ht="12.75">
      <c r="C125" s="5"/>
      <c r="E125" s="14"/>
      <c r="F125" s="17"/>
      <c r="G125" s="14"/>
      <c r="H125" s="17"/>
      <c r="I125" s="11"/>
      <c r="J125" s="16"/>
      <c r="K125" s="14"/>
      <c r="L125" s="14"/>
      <c r="M125" s="14"/>
      <c r="N125" s="11"/>
      <c r="O125" s="21"/>
      <c r="P125" s="7"/>
      <c r="Q125" s="14"/>
      <c r="R125" s="7"/>
    </row>
    <row r="126" spans="3:18" ht="12.75">
      <c r="C126" s="5"/>
      <c r="E126" s="14"/>
      <c r="F126" s="17"/>
      <c r="G126" s="14"/>
      <c r="H126" s="17"/>
      <c r="I126" s="11"/>
      <c r="J126" s="16"/>
      <c r="K126" s="14"/>
      <c r="L126" s="14"/>
      <c r="M126" s="14"/>
      <c r="N126" s="11"/>
      <c r="O126" s="21"/>
      <c r="P126" s="7"/>
      <c r="Q126" s="14"/>
      <c r="R126" s="7"/>
    </row>
    <row r="127" spans="3:18" ht="12.75">
      <c r="C127" s="5"/>
      <c r="E127" s="14"/>
      <c r="F127" s="17"/>
      <c r="G127" s="14"/>
      <c r="H127" s="17"/>
      <c r="I127" s="11"/>
      <c r="J127" s="16"/>
      <c r="K127" s="14"/>
      <c r="L127" s="14"/>
      <c r="M127" s="14"/>
      <c r="N127" s="11"/>
      <c r="O127" s="21"/>
      <c r="P127" s="7"/>
      <c r="Q127" s="14"/>
      <c r="R127" s="7"/>
    </row>
    <row r="128" spans="3:18" ht="12.75">
      <c r="C128" s="5"/>
      <c r="E128" s="14"/>
      <c r="F128" s="17"/>
      <c r="G128" s="14"/>
      <c r="H128" s="17"/>
      <c r="I128" s="11"/>
      <c r="J128" s="16"/>
      <c r="K128" s="14"/>
      <c r="L128" s="14"/>
      <c r="M128" s="14"/>
      <c r="N128" s="11"/>
      <c r="O128" s="21"/>
      <c r="P128" s="7"/>
      <c r="Q128" s="14"/>
      <c r="R128" s="7"/>
    </row>
    <row r="129" spans="3:18" ht="12.75">
      <c r="C129" s="5"/>
      <c r="E129" s="14"/>
      <c r="F129" s="17"/>
      <c r="G129" s="14"/>
      <c r="H129" s="17"/>
      <c r="I129" s="11"/>
      <c r="J129" s="16"/>
      <c r="K129" s="14"/>
      <c r="L129" s="14"/>
      <c r="M129" s="14"/>
      <c r="N129" s="11"/>
      <c r="O129" s="21"/>
      <c r="P129" s="7"/>
      <c r="Q129" s="14"/>
      <c r="R129" s="7"/>
    </row>
    <row r="130" spans="3:18" ht="12.75">
      <c r="C130" s="5"/>
      <c r="E130" s="14"/>
      <c r="F130" s="17"/>
      <c r="G130" s="14"/>
      <c r="H130" s="17"/>
      <c r="I130" s="11"/>
      <c r="J130" s="16"/>
      <c r="K130" s="14"/>
      <c r="L130" s="14"/>
      <c r="M130" s="14"/>
      <c r="N130" s="11"/>
      <c r="O130" s="21"/>
      <c r="P130" s="7"/>
      <c r="Q130" s="14"/>
      <c r="R130" s="7"/>
    </row>
    <row r="131" spans="3:18" ht="12.75">
      <c r="C131" s="5"/>
      <c r="E131" s="14"/>
      <c r="F131" s="17"/>
      <c r="G131" s="14"/>
      <c r="H131" s="17"/>
      <c r="I131" s="11"/>
      <c r="J131" s="16"/>
      <c r="K131" s="14"/>
      <c r="L131" s="14"/>
      <c r="M131" s="14"/>
      <c r="N131" s="11"/>
      <c r="O131" s="21"/>
      <c r="P131" s="7"/>
      <c r="Q131" s="14"/>
      <c r="R131" s="7"/>
    </row>
    <row r="132" spans="3:18" ht="12.75">
      <c r="C132" s="5"/>
      <c r="E132" s="14"/>
      <c r="F132" s="17"/>
      <c r="G132" s="14"/>
      <c r="H132" s="17"/>
      <c r="I132" s="11"/>
      <c r="J132" s="16"/>
      <c r="K132" s="14"/>
      <c r="L132" s="14"/>
      <c r="M132" s="14"/>
      <c r="N132" s="11"/>
      <c r="O132" s="21"/>
      <c r="P132" s="7"/>
      <c r="Q132" s="14"/>
      <c r="R132" s="7"/>
    </row>
    <row r="133" spans="5:17" ht="12.75">
      <c r="E133" s="17"/>
      <c r="G133" s="17"/>
      <c r="I133" s="18"/>
      <c r="J133" s="17"/>
      <c r="K133" s="14"/>
      <c r="L133" s="14"/>
      <c r="M133" s="14"/>
      <c r="N133" s="18"/>
      <c r="O133" s="16"/>
      <c r="Q133" s="17"/>
    </row>
    <row r="134" spans="5:18" ht="12.75">
      <c r="E134" s="17"/>
      <c r="F134" s="17"/>
      <c r="G134" s="17"/>
      <c r="H134" s="17"/>
      <c r="I134" s="18"/>
      <c r="J134" s="17"/>
      <c r="K134" s="14"/>
      <c r="L134" s="14"/>
      <c r="M134" s="14"/>
      <c r="N134" s="18"/>
      <c r="O134" s="17"/>
      <c r="P134" s="17"/>
      <c r="Q134" s="17"/>
      <c r="R134" s="17"/>
    </row>
    <row r="135" spans="5:18" ht="12.75">
      <c r="E135" s="17"/>
      <c r="F135" s="17"/>
      <c r="G135" s="17"/>
      <c r="H135" s="17"/>
      <c r="I135" s="18"/>
      <c r="J135" s="17"/>
      <c r="K135" s="14"/>
      <c r="L135" s="14"/>
      <c r="M135" s="14"/>
      <c r="N135" s="18"/>
      <c r="O135" s="17"/>
      <c r="P135" s="17"/>
      <c r="Q135" s="17"/>
      <c r="R135" s="17"/>
    </row>
    <row r="136" spans="5:18" ht="12.75">
      <c r="E136" s="17"/>
      <c r="F136" s="16"/>
      <c r="G136" s="17"/>
      <c r="H136" s="16"/>
      <c r="I136" s="20"/>
      <c r="J136" s="17"/>
      <c r="K136" s="21"/>
      <c r="L136" s="14"/>
      <c r="M136" s="21"/>
      <c r="N136" s="18"/>
      <c r="O136" s="17"/>
      <c r="P136" s="17"/>
      <c r="Q136" s="17"/>
      <c r="R136" s="17"/>
    </row>
    <row r="137" spans="3:18" ht="12.75">
      <c r="C137" s="7"/>
      <c r="D137" s="11"/>
      <c r="E137" s="14"/>
      <c r="F137" s="17"/>
      <c r="G137" s="14"/>
      <c r="H137" s="17"/>
      <c r="I137" s="11"/>
      <c r="J137" s="14"/>
      <c r="K137" s="14"/>
      <c r="L137" s="14"/>
      <c r="M137" s="14"/>
      <c r="N137" s="11"/>
      <c r="O137" s="17"/>
      <c r="P137" s="7"/>
      <c r="Q137" s="7"/>
      <c r="R137" s="7"/>
    </row>
    <row r="138" spans="3:18" ht="12.75">
      <c r="C138" s="7"/>
      <c r="D138" s="11"/>
      <c r="E138" s="17"/>
      <c r="G138" s="15"/>
      <c r="I138" s="11"/>
      <c r="J138" s="17"/>
      <c r="K138" s="7"/>
      <c r="L138" s="14"/>
      <c r="M138" s="7"/>
      <c r="N138" s="11"/>
      <c r="O138" s="17"/>
      <c r="P138" s="15"/>
      <c r="Q138" s="15"/>
      <c r="R138" s="15"/>
    </row>
  </sheetData>
  <printOptions headings="1" horizontalCentered="1"/>
  <pageMargins left="0.25" right="0.25" top="0.5" bottom="0.5" header="0.5" footer="0.25"/>
  <pageSetup horizontalDpi="300" verticalDpi="300" orientation="landscape" pageOrder="overThenDown" scale="80" r:id="rId1"/>
  <headerFooter alignWithMargins="0">
    <oddFooter>&amp;C&amp;P, &amp;A, 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L39"/>
  <sheetViews>
    <sheetView workbookViewId="0" topLeftCell="C1">
      <selection activeCell="C1" sqref="C1"/>
    </sheetView>
  </sheetViews>
  <sheetFormatPr defaultColWidth="9.140625" defaultRowHeight="12.75"/>
  <cols>
    <col min="1" max="1" width="9.140625" style="0" hidden="1" customWidth="1"/>
    <col min="2" max="2" width="3.00390625" style="0" hidden="1" customWidth="1"/>
    <col min="3" max="3" width="14.140625" style="0" customWidth="1"/>
    <col min="5" max="5" width="4.57421875" style="0" bestFit="1" customWidth="1"/>
    <col min="6" max="8" width="9.140625" style="88" customWidth="1"/>
    <col min="9" max="9" width="5.140625" style="0" customWidth="1"/>
    <col min="10" max="12" width="9.140625" style="88" customWidth="1"/>
    <col min="13" max="13" width="4.57421875" style="0" bestFit="1" customWidth="1"/>
    <col min="14" max="16" width="9.140625" style="88" customWidth="1"/>
  </cols>
  <sheetData>
    <row r="1" spans="3:16" s="64" customFormat="1" ht="12.75">
      <c r="C1" s="65" t="s">
        <v>185</v>
      </c>
      <c r="D1" s="5" t="s">
        <v>24</v>
      </c>
      <c r="F1" s="86" t="s">
        <v>122</v>
      </c>
      <c r="G1" s="86"/>
      <c r="H1" s="86"/>
      <c r="J1" s="86" t="s">
        <v>123</v>
      </c>
      <c r="K1" s="86"/>
      <c r="L1" s="86"/>
      <c r="N1" s="86" t="s">
        <v>124</v>
      </c>
      <c r="O1" s="86"/>
      <c r="P1" s="86"/>
    </row>
    <row r="2" spans="4:16" ht="12.75">
      <c r="D2" s="5" t="s">
        <v>28</v>
      </c>
      <c r="F2" s="87" t="s">
        <v>29</v>
      </c>
      <c r="G2" s="11" t="s">
        <v>29</v>
      </c>
      <c r="H2" s="11" t="s">
        <v>30</v>
      </c>
      <c r="J2" s="87" t="s">
        <v>29</v>
      </c>
      <c r="K2" s="11" t="s">
        <v>29</v>
      </c>
      <c r="L2" s="11" t="s">
        <v>30</v>
      </c>
      <c r="N2" s="87" t="s">
        <v>29</v>
      </c>
      <c r="O2" s="11" t="s">
        <v>29</v>
      </c>
      <c r="P2" s="11" t="s">
        <v>30</v>
      </c>
    </row>
    <row r="3" spans="3:16" ht="12.75">
      <c r="C3" t="s">
        <v>76</v>
      </c>
      <c r="D3" s="5"/>
      <c r="F3" s="87" t="s">
        <v>213</v>
      </c>
      <c r="G3" s="11" t="s">
        <v>69</v>
      </c>
      <c r="H3" s="11" t="s">
        <v>69</v>
      </c>
      <c r="J3" s="87" t="s">
        <v>213</v>
      </c>
      <c r="K3" s="11" t="s">
        <v>69</v>
      </c>
      <c r="L3" s="11" t="s">
        <v>69</v>
      </c>
      <c r="N3" s="87" t="s">
        <v>213</v>
      </c>
      <c r="O3" s="11" t="s">
        <v>69</v>
      </c>
      <c r="P3" s="11" t="s">
        <v>69</v>
      </c>
    </row>
    <row r="4" spans="4:16" ht="12.75">
      <c r="D4" s="4"/>
      <c r="G4" s="7"/>
      <c r="H4" s="7"/>
      <c r="K4" s="7"/>
      <c r="L4" s="7"/>
      <c r="O4" s="7"/>
      <c r="P4" s="7"/>
    </row>
    <row r="5" spans="1:38" s="53" customFormat="1" ht="12.75">
      <c r="A5" s="53" t="s">
        <v>185</v>
      </c>
      <c r="B5" s="53">
        <v>1</v>
      </c>
      <c r="C5" s="53" t="s">
        <v>214</v>
      </c>
      <c r="D5" s="5">
        <v>1</v>
      </c>
      <c r="E5" s="51">
        <v>1</v>
      </c>
      <c r="F5" s="57">
        <v>0.008264444202531645</v>
      </c>
      <c r="G5" s="7">
        <f>IF(F5=0,"",IF(E5=1,F5/2,F5))</f>
        <v>0.004132222101265823</v>
      </c>
      <c r="H5" s="7">
        <f>IF(G5="","",G5*$D5)</f>
        <v>0.004132222101265823</v>
      </c>
      <c r="I5" s="51">
        <v>1</v>
      </c>
      <c r="J5" s="57">
        <v>0.006296588516129032</v>
      </c>
      <c r="K5" s="7">
        <f>IF(J5=0,"",IF(I5=1,J5/2,J5))</f>
        <v>0.003148294258064516</v>
      </c>
      <c r="L5" s="7">
        <f>IF(K5="","",K5*$D5)</f>
        <v>0.003148294258064516</v>
      </c>
      <c r="M5" s="51">
        <v>1</v>
      </c>
      <c r="N5" s="57">
        <v>0.005750867540229886</v>
      </c>
      <c r="O5" s="7">
        <f>IF(N5=0,"",IF(M5=1,N5/2,N5))</f>
        <v>0.002875433770114943</v>
      </c>
      <c r="P5" s="7">
        <f>IF(O5="","",O5*$D5)</f>
        <v>0.002875433770114943</v>
      </c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</row>
    <row r="6" spans="1:38" s="53" customFormat="1" ht="12.75">
      <c r="A6" s="53" t="s">
        <v>185</v>
      </c>
      <c r="B6" s="53">
        <v>2</v>
      </c>
      <c r="C6" s="53" t="s">
        <v>215</v>
      </c>
      <c r="D6" s="5">
        <v>0</v>
      </c>
      <c r="E6" s="51"/>
      <c r="F6" s="57">
        <v>1.1220616013670885</v>
      </c>
      <c r="G6" s="7">
        <f aca="true" t="shared" si="0" ref="G6:G37">IF(F6=0,"",IF(E6=1,F6/2,F6))</f>
        <v>1.1220616013670885</v>
      </c>
      <c r="H6" s="7">
        <f aca="true" t="shared" si="1" ref="H6:H37">IF(G6="","",G6*$D6)</f>
        <v>0</v>
      </c>
      <c r="I6" s="51"/>
      <c r="J6" s="57">
        <v>0.6643745254623655</v>
      </c>
      <c r="K6" s="7">
        <f aca="true" t="shared" si="2" ref="K6:K37">IF(J6=0,"",IF(I6=1,J6/2,J6))</f>
        <v>0.6643745254623655</v>
      </c>
      <c r="L6" s="7">
        <f aca="true" t="shared" si="3" ref="L6:L37">IF(K6="","",K6*$D6)</f>
        <v>0</v>
      </c>
      <c r="M6" s="51"/>
      <c r="N6" s="57">
        <v>0.8530109669425288</v>
      </c>
      <c r="O6" s="7">
        <f aca="true" t="shared" si="4" ref="O6:O37">IF(N6=0,"",IF(M6=1,N6/2,N6))</f>
        <v>0.8530109669425288</v>
      </c>
      <c r="P6" s="7">
        <f aca="true" t="shared" si="5" ref="P6:P37">IF(O6="","",O6*$D6)</f>
        <v>0</v>
      </c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</row>
    <row r="7" spans="1:38" s="53" customFormat="1" ht="12.75">
      <c r="A7" s="53" t="s">
        <v>185</v>
      </c>
      <c r="B7" s="53">
        <v>3</v>
      </c>
      <c r="C7" s="53" t="s">
        <v>216</v>
      </c>
      <c r="D7" s="5">
        <v>0</v>
      </c>
      <c r="E7" s="51"/>
      <c r="F7" s="57">
        <v>1.1303260455696202</v>
      </c>
      <c r="G7" s="7">
        <f t="shared" si="0"/>
        <v>1.1303260455696202</v>
      </c>
      <c r="H7" s="7">
        <f t="shared" si="1"/>
        <v>0</v>
      </c>
      <c r="I7" s="51"/>
      <c r="J7" s="57">
        <v>0.6706711139784945</v>
      </c>
      <c r="K7" s="7">
        <f t="shared" si="2"/>
        <v>0.6706711139784945</v>
      </c>
      <c r="L7" s="7">
        <f t="shared" si="3"/>
        <v>0</v>
      </c>
      <c r="M7" s="51"/>
      <c r="N7" s="57">
        <v>0.8587618344827587</v>
      </c>
      <c r="O7" s="7">
        <f t="shared" si="4"/>
        <v>0.8587618344827587</v>
      </c>
      <c r="P7" s="7">
        <f t="shared" si="5"/>
        <v>0</v>
      </c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</row>
    <row r="8" spans="1:38" s="53" customFormat="1" ht="12.75">
      <c r="A8" s="53" t="s">
        <v>185</v>
      </c>
      <c r="B8" s="53">
        <v>4</v>
      </c>
      <c r="C8" s="53" t="s">
        <v>217</v>
      </c>
      <c r="D8" s="5">
        <v>0.5</v>
      </c>
      <c r="E8" s="51">
        <v>1</v>
      </c>
      <c r="F8" s="57">
        <v>0.004600824607594936</v>
      </c>
      <c r="G8" s="7">
        <f t="shared" si="0"/>
        <v>0.002300412303797468</v>
      </c>
      <c r="H8" s="7">
        <f t="shared" si="1"/>
        <v>0.001150206151898734</v>
      </c>
      <c r="I8" s="51">
        <v>1</v>
      </c>
      <c r="J8" s="57">
        <v>0.002340111440860215</v>
      </c>
      <c r="K8" s="7">
        <f t="shared" si="2"/>
        <v>0.0011700557204301074</v>
      </c>
      <c r="L8" s="7">
        <f t="shared" si="3"/>
        <v>0.0005850278602150537</v>
      </c>
      <c r="M8" s="51">
        <v>1</v>
      </c>
      <c r="N8" s="57">
        <v>0.003120425885057471</v>
      </c>
      <c r="O8" s="7">
        <f t="shared" si="4"/>
        <v>0.0015602129425287355</v>
      </c>
      <c r="P8" s="7">
        <f t="shared" si="5"/>
        <v>0.0007801064712643677</v>
      </c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</row>
    <row r="9" spans="1:38" s="53" customFormat="1" ht="12.75">
      <c r="A9" s="53" t="s">
        <v>185</v>
      </c>
      <c r="B9" s="53">
        <v>5</v>
      </c>
      <c r="C9" s="53" t="s">
        <v>218</v>
      </c>
      <c r="D9" s="5">
        <v>0</v>
      </c>
      <c r="E9" s="51"/>
      <c r="F9" s="57">
        <v>0.48956181843038</v>
      </c>
      <c r="G9" s="7">
        <f t="shared" si="0"/>
        <v>0.48956181843038</v>
      </c>
      <c r="H9" s="7">
        <f t="shared" si="1"/>
        <v>0</v>
      </c>
      <c r="I9" s="51"/>
      <c r="J9" s="57">
        <v>0.3040456132903226</v>
      </c>
      <c r="K9" s="7">
        <f t="shared" si="2"/>
        <v>0.3040456132903226</v>
      </c>
      <c r="L9" s="7">
        <f t="shared" si="3"/>
        <v>0</v>
      </c>
      <c r="M9" s="51"/>
      <c r="N9" s="57">
        <v>0.571966328137931</v>
      </c>
      <c r="O9" s="7">
        <f t="shared" si="4"/>
        <v>0.571966328137931</v>
      </c>
      <c r="P9" s="7">
        <f t="shared" si="5"/>
        <v>0</v>
      </c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</row>
    <row r="10" spans="1:38" s="53" customFormat="1" ht="12.75">
      <c r="A10" s="53" t="s">
        <v>185</v>
      </c>
      <c r="B10" s="53">
        <v>5</v>
      </c>
      <c r="C10" s="53" t="s">
        <v>219</v>
      </c>
      <c r="D10" s="5">
        <v>0</v>
      </c>
      <c r="E10" s="51"/>
      <c r="F10" s="57">
        <v>0.49416264303797464</v>
      </c>
      <c r="G10" s="7">
        <f t="shared" si="0"/>
        <v>0.49416264303797464</v>
      </c>
      <c r="H10" s="7">
        <f t="shared" si="1"/>
        <v>0</v>
      </c>
      <c r="I10" s="51"/>
      <c r="J10" s="57">
        <v>0.3063857247311828</v>
      </c>
      <c r="K10" s="7">
        <f t="shared" si="2"/>
        <v>0.3063857247311828</v>
      </c>
      <c r="L10" s="7">
        <f t="shared" si="3"/>
        <v>0</v>
      </c>
      <c r="M10" s="51"/>
      <c r="N10" s="57">
        <v>0.5750867540229885</v>
      </c>
      <c r="O10" s="7">
        <f t="shared" si="4"/>
        <v>0.5750867540229885</v>
      </c>
      <c r="P10" s="7">
        <f t="shared" si="5"/>
        <v>0</v>
      </c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</row>
    <row r="11" spans="1:38" s="53" customFormat="1" ht="12.75">
      <c r="A11" s="53" t="s">
        <v>185</v>
      </c>
      <c r="B11" s="53">
        <v>7</v>
      </c>
      <c r="C11" s="53" t="s">
        <v>220</v>
      </c>
      <c r="D11" s="5">
        <v>0.1</v>
      </c>
      <c r="E11" s="51"/>
      <c r="F11" s="57">
        <v>0.00468602506329114</v>
      </c>
      <c r="G11" s="7">
        <f t="shared" si="0"/>
        <v>0.00468602506329114</v>
      </c>
      <c r="H11" s="7">
        <f t="shared" si="1"/>
        <v>0.000468602506329114</v>
      </c>
      <c r="I11" s="51">
        <v>1</v>
      </c>
      <c r="J11" s="57">
        <v>0.005403968688172043</v>
      </c>
      <c r="K11" s="7">
        <f t="shared" si="2"/>
        <v>0.0027019843440860216</v>
      </c>
      <c r="L11" s="7">
        <f t="shared" si="3"/>
        <v>0.00027019843440860217</v>
      </c>
      <c r="M11" s="51">
        <v>1</v>
      </c>
      <c r="N11" s="57">
        <v>0.0033525236781609194</v>
      </c>
      <c r="O11" s="7">
        <f t="shared" si="4"/>
        <v>0.0016762618390804597</v>
      </c>
      <c r="P11" s="7">
        <f t="shared" si="5"/>
        <v>0.00016762618390804598</v>
      </c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</row>
    <row r="12" spans="1:38" s="53" customFormat="1" ht="12.75">
      <c r="A12" s="53" t="s">
        <v>185</v>
      </c>
      <c r="B12" s="53">
        <v>8</v>
      </c>
      <c r="C12" s="53" t="s">
        <v>221</v>
      </c>
      <c r="D12" s="5">
        <v>0.1</v>
      </c>
      <c r="E12" s="51"/>
      <c r="F12" s="57">
        <v>0.01170086258227848</v>
      </c>
      <c r="G12" s="7">
        <f t="shared" si="0"/>
        <v>0.01170086258227848</v>
      </c>
      <c r="H12" s="7">
        <f t="shared" si="1"/>
        <v>0.001170086258227848</v>
      </c>
      <c r="I12" s="51"/>
      <c r="J12" s="57">
        <v>0.011121560559139784</v>
      </c>
      <c r="K12" s="7">
        <f t="shared" si="2"/>
        <v>0.011121560559139784</v>
      </c>
      <c r="L12" s="7">
        <f t="shared" si="3"/>
        <v>0.0011121560559139785</v>
      </c>
      <c r="M12" s="51"/>
      <c r="N12" s="57">
        <v>0.024267113701149423</v>
      </c>
      <c r="O12" s="7">
        <f t="shared" si="4"/>
        <v>0.024267113701149423</v>
      </c>
      <c r="P12" s="7">
        <f t="shared" si="5"/>
        <v>0.0024267113701149424</v>
      </c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</row>
    <row r="13" spans="1:38" s="53" customFormat="1" ht="12.75">
      <c r="A13" s="53" t="s">
        <v>185</v>
      </c>
      <c r="B13" s="53">
        <v>9</v>
      </c>
      <c r="C13" s="53" t="s">
        <v>222</v>
      </c>
      <c r="D13" s="5">
        <v>0.1</v>
      </c>
      <c r="E13" s="51"/>
      <c r="F13" s="57">
        <v>0.005680030379746834</v>
      </c>
      <c r="G13" s="7">
        <f t="shared" si="0"/>
        <v>0.005680030379746834</v>
      </c>
      <c r="H13" s="7">
        <f t="shared" si="1"/>
        <v>0.0005680030379746834</v>
      </c>
      <c r="I13" s="51"/>
      <c r="J13" s="57">
        <v>0.007189208344086022</v>
      </c>
      <c r="K13" s="7">
        <f t="shared" si="2"/>
        <v>0.007189208344086022</v>
      </c>
      <c r="L13" s="7">
        <f t="shared" si="3"/>
        <v>0.0007189208344086022</v>
      </c>
      <c r="M13" s="51">
        <v>1</v>
      </c>
      <c r="N13" s="57">
        <v>0.012455914896551724</v>
      </c>
      <c r="O13" s="7">
        <f t="shared" si="4"/>
        <v>0.006227957448275862</v>
      </c>
      <c r="P13" s="7">
        <f t="shared" si="5"/>
        <v>0.0006227957448275862</v>
      </c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</row>
    <row r="14" spans="1:38" s="53" customFormat="1" ht="12.75">
      <c r="A14" s="53" t="s">
        <v>185</v>
      </c>
      <c r="B14" s="53">
        <v>10</v>
      </c>
      <c r="C14" s="53" t="s">
        <v>223</v>
      </c>
      <c r="D14" s="5">
        <v>0</v>
      </c>
      <c r="E14" s="51"/>
      <c r="F14" s="57">
        <v>0.3528150870379747</v>
      </c>
      <c r="G14" s="7">
        <f t="shared" si="0"/>
        <v>0.3528150870379747</v>
      </c>
      <c r="H14" s="7">
        <f t="shared" si="1"/>
        <v>0</v>
      </c>
      <c r="I14" s="51"/>
      <c r="J14" s="57">
        <v>0.3067958473548387</v>
      </c>
      <c r="K14" s="7">
        <f t="shared" si="2"/>
        <v>0.3067958473548387</v>
      </c>
      <c r="L14" s="7">
        <f t="shared" si="3"/>
        <v>0</v>
      </c>
      <c r="M14" s="51"/>
      <c r="N14" s="57">
        <v>0.720689436229885</v>
      </c>
      <c r="O14" s="7">
        <f t="shared" si="4"/>
        <v>0.720689436229885</v>
      </c>
      <c r="P14" s="7">
        <f t="shared" si="5"/>
        <v>0</v>
      </c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</row>
    <row r="15" spans="1:38" s="53" customFormat="1" ht="12.75">
      <c r="A15" s="53" t="s">
        <v>185</v>
      </c>
      <c r="B15" s="53">
        <v>11</v>
      </c>
      <c r="C15" s="53" t="s">
        <v>224</v>
      </c>
      <c r="D15" s="5">
        <v>0</v>
      </c>
      <c r="E15" s="51"/>
      <c r="F15" s="57">
        <v>0.37488200506329117</v>
      </c>
      <c r="G15" s="7">
        <f t="shared" si="0"/>
        <v>0.37488200506329117</v>
      </c>
      <c r="H15" s="7">
        <f t="shared" si="1"/>
        <v>0</v>
      </c>
      <c r="I15" s="51"/>
      <c r="J15" s="57">
        <v>0.3305105849462366</v>
      </c>
      <c r="K15" s="7">
        <f t="shared" si="2"/>
        <v>0.3305105849462366</v>
      </c>
      <c r="L15" s="7">
        <f t="shared" si="3"/>
        <v>0</v>
      </c>
      <c r="M15" s="51"/>
      <c r="N15" s="57">
        <v>0.7607649885057471</v>
      </c>
      <c r="O15" s="7">
        <f t="shared" si="4"/>
        <v>0.7607649885057471</v>
      </c>
      <c r="P15" s="7">
        <f t="shared" si="5"/>
        <v>0</v>
      </c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</row>
    <row r="16" spans="1:38" s="53" customFormat="1" ht="12.75">
      <c r="A16" s="53" t="s">
        <v>185</v>
      </c>
      <c r="B16" s="53">
        <v>12</v>
      </c>
      <c r="C16" s="53" t="s">
        <v>225</v>
      </c>
      <c r="D16" s="5">
        <v>0.01</v>
      </c>
      <c r="E16" s="51"/>
      <c r="F16" s="57">
        <v>0.041180220253164555</v>
      </c>
      <c r="G16" s="7">
        <f t="shared" si="0"/>
        <v>0.041180220253164555</v>
      </c>
      <c r="H16" s="7">
        <f t="shared" si="1"/>
        <v>0.00041180220253164555</v>
      </c>
      <c r="I16" s="51"/>
      <c r="J16" s="57">
        <v>0.054039686881720436</v>
      </c>
      <c r="K16" s="7">
        <f t="shared" si="2"/>
        <v>0.054039686881720436</v>
      </c>
      <c r="L16" s="7">
        <f t="shared" si="3"/>
        <v>0.0005403968688172043</v>
      </c>
      <c r="M16" s="51"/>
      <c r="N16" s="57">
        <v>0.1292011048275862</v>
      </c>
      <c r="O16" s="7">
        <f t="shared" si="4"/>
        <v>0.1292011048275862</v>
      </c>
      <c r="P16" s="7">
        <f t="shared" si="5"/>
        <v>0.001292011048275862</v>
      </c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</row>
    <row r="17" spans="1:38" s="53" customFormat="1" ht="12.75">
      <c r="A17" s="53" t="s">
        <v>185</v>
      </c>
      <c r="B17" s="53">
        <v>13</v>
      </c>
      <c r="C17" s="53" t="s">
        <v>226</v>
      </c>
      <c r="D17" s="5">
        <v>0</v>
      </c>
      <c r="E17" s="51"/>
      <c r="F17" s="57">
        <v>0.04146422177215189</v>
      </c>
      <c r="G17" s="7">
        <f t="shared" si="0"/>
        <v>0.04146422177215189</v>
      </c>
      <c r="H17" s="7">
        <f t="shared" si="1"/>
        <v>0</v>
      </c>
      <c r="I17" s="51"/>
      <c r="J17" s="57">
        <v>0.049455963440860215</v>
      </c>
      <c r="K17" s="7">
        <f t="shared" si="2"/>
        <v>0.049455963440860215</v>
      </c>
      <c r="L17" s="7">
        <f t="shared" si="3"/>
        <v>0</v>
      </c>
      <c r="M17" s="51"/>
      <c r="N17" s="57">
        <v>0.11501735080459771</v>
      </c>
      <c r="O17" s="7">
        <f t="shared" si="4"/>
        <v>0.11501735080459771</v>
      </c>
      <c r="P17" s="7">
        <f t="shared" si="5"/>
        <v>0</v>
      </c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</row>
    <row r="18" spans="1:38" s="53" customFormat="1" ht="12.75">
      <c r="A18" s="53" t="s">
        <v>185</v>
      </c>
      <c r="B18" s="53">
        <v>14</v>
      </c>
      <c r="C18" s="53" t="s">
        <v>227</v>
      </c>
      <c r="D18" s="5">
        <v>0</v>
      </c>
      <c r="E18" s="51"/>
      <c r="F18" s="57">
        <v>0.08264444202531644</v>
      </c>
      <c r="G18" s="7">
        <f t="shared" si="0"/>
        <v>0.08264444202531644</v>
      </c>
      <c r="H18" s="7">
        <f t="shared" si="1"/>
        <v>0</v>
      </c>
      <c r="I18" s="51"/>
      <c r="J18" s="57">
        <v>0.10349565032258</v>
      </c>
      <c r="K18" s="7">
        <f t="shared" si="2"/>
        <v>0.10349565032258</v>
      </c>
      <c r="L18" s="7">
        <f t="shared" si="3"/>
        <v>0</v>
      </c>
      <c r="M18" s="51"/>
      <c r="N18" s="57">
        <v>0.24421845563218392</v>
      </c>
      <c r="O18" s="7">
        <f t="shared" si="4"/>
        <v>0.24421845563218392</v>
      </c>
      <c r="P18" s="7">
        <f t="shared" si="5"/>
        <v>0</v>
      </c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</row>
    <row r="19" spans="1:38" s="53" customFormat="1" ht="12.75">
      <c r="A19" s="53" t="s">
        <v>185</v>
      </c>
      <c r="B19" s="53">
        <v>15</v>
      </c>
      <c r="C19" s="53" t="s">
        <v>228</v>
      </c>
      <c r="D19" s="5">
        <v>0.001</v>
      </c>
      <c r="E19" s="51">
        <v>1</v>
      </c>
      <c r="F19" s="57">
        <v>0.4487224</v>
      </c>
      <c r="G19" s="7">
        <f t="shared" si="0"/>
        <v>0.2243612</v>
      </c>
      <c r="H19" s="7">
        <f t="shared" si="1"/>
        <v>0.0002243612</v>
      </c>
      <c r="I19" s="51">
        <v>1</v>
      </c>
      <c r="J19" s="57">
        <v>0.42218505376344</v>
      </c>
      <c r="K19" s="7">
        <f t="shared" si="2"/>
        <v>0.21109252688172</v>
      </c>
      <c r="L19" s="7">
        <f t="shared" si="3"/>
        <v>0.00021109252688172002</v>
      </c>
      <c r="M19" s="51"/>
      <c r="N19" s="57">
        <v>0.047966877241379303</v>
      </c>
      <c r="O19" s="7">
        <f t="shared" si="4"/>
        <v>0.047966877241379303</v>
      </c>
      <c r="P19" s="7">
        <f t="shared" si="5"/>
        <v>4.7966877241379304E-05</v>
      </c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</row>
    <row r="20" spans="1:38" s="53" customFormat="1" ht="12.75">
      <c r="A20" s="53" t="s">
        <v>185</v>
      </c>
      <c r="B20" s="53">
        <v>16</v>
      </c>
      <c r="C20" s="53" t="s">
        <v>229</v>
      </c>
      <c r="D20" s="5">
        <v>0.1</v>
      </c>
      <c r="E20" s="51"/>
      <c r="F20" s="57">
        <v>0.0030388162531645568</v>
      </c>
      <c r="G20" s="7">
        <f t="shared" si="0"/>
        <v>0.0030388162531645568</v>
      </c>
      <c r="H20" s="7">
        <f t="shared" si="1"/>
        <v>0.0003038816253164557</v>
      </c>
      <c r="I20" s="51"/>
      <c r="J20" s="57">
        <v>0.002159174989247312</v>
      </c>
      <c r="K20" s="7">
        <f t="shared" si="2"/>
        <v>0.002159174989247312</v>
      </c>
      <c r="L20" s="7">
        <f t="shared" si="3"/>
        <v>0.00021591749892473121</v>
      </c>
      <c r="M20" s="51">
        <v>1</v>
      </c>
      <c r="N20" s="57">
        <v>0.002862539448275862</v>
      </c>
      <c r="O20" s="7">
        <f t="shared" si="4"/>
        <v>0.001431269724137931</v>
      </c>
      <c r="P20" s="7">
        <f t="shared" si="5"/>
        <v>0.0001431269724137931</v>
      </c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</row>
    <row r="21" spans="1:38" s="53" customFormat="1" ht="12.75">
      <c r="A21" s="53" t="s">
        <v>185</v>
      </c>
      <c r="B21" s="53">
        <v>17</v>
      </c>
      <c r="C21" s="53" t="s">
        <v>230</v>
      </c>
      <c r="D21" s="5">
        <v>0</v>
      </c>
      <c r="E21" s="51"/>
      <c r="F21" s="57">
        <v>0.07818561817721517</v>
      </c>
      <c r="G21" s="7">
        <f t="shared" si="0"/>
        <v>0.07818561817721517</v>
      </c>
      <c r="H21" s="7">
        <f t="shared" si="1"/>
        <v>0</v>
      </c>
      <c r="I21" s="51"/>
      <c r="J21" s="57">
        <v>0.059600467161290326</v>
      </c>
      <c r="K21" s="7">
        <f t="shared" si="2"/>
        <v>0.059600467161290326</v>
      </c>
      <c r="L21" s="7">
        <f t="shared" si="3"/>
        <v>0</v>
      </c>
      <c r="M21" s="51"/>
      <c r="N21" s="57">
        <v>0.0628985019310345</v>
      </c>
      <c r="O21" s="7">
        <f t="shared" si="4"/>
        <v>0.0628985019310345</v>
      </c>
      <c r="P21" s="7">
        <f t="shared" si="5"/>
        <v>0</v>
      </c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</row>
    <row r="22" spans="1:38" s="53" customFormat="1" ht="12.75">
      <c r="A22" s="53" t="s">
        <v>185</v>
      </c>
      <c r="B22" s="53">
        <v>18</v>
      </c>
      <c r="C22" s="53" t="s">
        <v>231</v>
      </c>
      <c r="D22" s="5">
        <v>0</v>
      </c>
      <c r="E22" s="51"/>
      <c r="F22" s="57">
        <v>0.08122443443037973</v>
      </c>
      <c r="G22" s="7">
        <f t="shared" si="0"/>
        <v>0.08122443443037973</v>
      </c>
      <c r="H22" s="7">
        <f t="shared" si="1"/>
        <v>0</v>
      </c>
      <c r="I22" s="51"/>
      <c r="J22" s="57">
        <v>0.061759642150537634</v>
      </c>
      <c r="K22" s="7">
        <f t="shared" si="2"/>
        <v>0.061759642150537634</v>
      </c>
      <c r="L22" s="7">
        <f t="shared" si="3"/>
        <v>0</v>
      </c>
      <c r="M22" s="51"/>
      <c r="N22" s="57">
        <v>0.06576104137931035</v>
      </c>
      <c r="O22" s="7">
        <f t="shared" si="4"/>
        <v>0.06576104137931035</v>
      </c>
      <c r="P22" s="7">
        <f t="shared" si="5"/>
        <v>0</v>
      </c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</row>
    <row r="23" spans="1:38" s="53" customFormat="1" ht="12.75">
      <c r="A23" s="53" t="s">
        <v>185</v>
      </c>
      <c r="B23" s="53">
        <v>19</v>
      </c>
      <c r="C23" s="53" t="s">
        <v>232</v>
      </c>
      <c r="D23" s="5">
        <v>0.05</v>
      </c>
      <c r="E23" s="51"/>
      <c r="F23" s="57">
        <v>0.002632694081012658</v>
      </c>
      <c r="G23" s="7">
        <f t="shared" si="0"/>
        <v>0.002632694081012658</v>
      </c>
      <c r="H23" s="7">
        <f t="shared" si="1"/>
        <v>0.00013163470405063292</v>
      </c>
      <c r="I23" s="51"/>
      <c r="J23" s="57">
        <v>0.0044148494193548375</v>
      </c>
      <c r="K23" s="7">
        <f t="shared" si="2"/>
        <v>0.0044148494193548375</v>
      </c>
      <c r="L23" s="7">
        <f t="shared" si="3"/>
        <v>0.0002207424709677419</v>
      </c>
      <c r="M23" s="51">
        <v>1</v>
      </c>
      <c r="N23" s="57">
        <v>0.0008613406988505746</v>
      </c>
      <c r="O23" s="7">
        <f t="shared" si="4"/>
        <v>0.0004306703494252873</v>
      </c>
      <c r="P23" s="7">
        <f t="shared" si="5"/>
        <v>2.1533517471264364E-05</v>
      </c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</row>
    <row r="24" spans="1:38" s="53" customFormat="1" ht="12.75">
      <c r="A24" s="53" t="s">
        <v>185</v>
      </c>
      <c r="B24" s="53">
        <v>20</v>
      </c>
      <c r="C24" s="53" t="s">
        <v>233</v>
      </c>
      <c r="D24" s="5">
        <v>0.5</v>
      </c>
      <c r="E24" s="51"/>
      <c r="F24" s="57">
        <v>0.0021158113164557</v>
      </c>
      <c r="G24" s="7">
        <f t="shared" si="0"/>
        <v>0.0021158113164557</v>
      </c>
      <c r="H24" s="7">
        <f t="shared" si="1"/>
        <v>0.00105790565822785</v>
      </c>
      <c r="I24" s="51"/>
      <c r="J24" s="57">
        <v>0.005862341032258065</v>
      </c>
      <c r="K24" s="7">
        <f t="shared" si="2"/>
        <v>0.005862341032258065</v>
      </c>
      <c r="L24" s="7">
        <f t="shared" si="3"/>
        <v>0.0029311705161290326</v>
      </c>
      <c r="M24" s="51"/>
      <c r="N24" s="57">
        <v>0.0043582807816092</v>
      </c>
      <c r="O24" s="7">
        <f t="shared" si="4"/>
        <v>0.0043582807816092</v>
      </c>
      <c r="P24" s="7">
        <f t="shared" si="5"/>
        <v>0.0021791403908046</v>
      </c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</row>
    <row r="25" spans="1:38" s="53" customFormat="1" ht="12.75">
      <c r="A25" s="53" t="s">
        <v>185</v>
      </c>
      <c r="B25" s="53">
        <v>21</v>
      </c>
      <c r="C25" s="53" t="s">
        <v>234</v>
      </c>
      <c r="D25" s="5">
        <v>0</v>
      </c>
      <c r="E25" s="51"/>
      <c r="F25" s="57">
        <v>0.0276276677670886</v>
      </c>
      <c r="G25" s="7">
        <f t="shared" si="0"/>
        <v>0.0276276677670886</v>
      </c>
      <c r="H25" s="7">
        <f t="shared" si="1"/>
        <v>0</v>
      </c>
      <c r="I25" s="51"/>
      <c r="J25" s="57">
        <v>0.03483629815053764</v>
      </c>
      <c r="K25" s="7">
        <f t="shared" si="2"/>
        <v>0.03483629815053764</v>
      </c>
      <c r="L25" s="7">
        <f t="shared" si="3"/>
        <v>0</v>
      </c>
      <c r="M25" s="51"/>
      <c r="N25" s="57">
        <v>0.022632113691954</v>
      </c>
      <c r="O25" s="7">
        <f t="shared" si="4"/>
        <v>0.022632113691954</v>
      </c>
      <c r="P25" s="7">
        <f t="shared" si="5"/>
        <v>0</v>
      </c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</row>
    <row r="26" spans="1:38" s="53" customFormat="1" ht="12.75">
      <c r="A26" s="53" t="s">
        <v>185</v>
      </c>
      <c r="B26" s="53">
        <v>22</v>
      </c>
      <c r="C26" s="53" t="s">
        <v>235</v>
      </c>
      <c r="D26" s="5">
        <v>0</v>
      </c>
      <c r="E26" s="51"/>
      <c r="F26" s="57">
        <v>0.032376173164557</v>
      </c>
      <c r="G26" s="7">
        <f t="shared" si="0"/>
        <v>0.032376173164557</v>
      </c>
      <c r="H26" s="7">
        <f t="shared" si="1"/>
        <v>0</v>
      </c>
      <c r="I26" s="51"/>
      <c r="J26" s="57">
        <v>0.04511348860215054</v>
      </c>
      <c r="K26" s="7">
        <f t="shared" si="2"/>
        <v>0.04511348860215054</v>
      </c>
      <c r="L26" s="7">
        <f t="shared" si="3"/>
        <v>0</v>
      </c>
      <c r="M26" s="51"/>
      <c r="N26" s="57">
        <v>0.027851735172413794</v>
      </c>
      <c r="O26" s="7">
        <f t="shared" si="4"/>
        <v>0.027851735172413794</v>
      </c>
      <c r="P26" s="7">
        <f t="shared" si="5"/>
        <v>0</v>
      </c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</row>
    <row r="27" spans="1:38" s="53" customFormat="1" ht="12.75">
      <c r="A27" s="53" t="s">
        <v>185</v>
      </c>
      <c r="B27" s="53">
        <v>23</v>
      </c>
      <c r="C27" s="53" t="s">
        <v>236</v>
      </c>
      <c r="D27" s="5">
        <v>0.1</v>
      </c>
      <c r="E27" s="51">
        <v>1</v>
      </c>
      <c r="F27" s="57">
        <v>0.0035216188354430375</v>
      </c>
      <c r="G27" s="7">
        <f t="shared" si="0"/>
        <v>0.0017608094177215187</v>
      </c>
      <c r="H27" s="7">
        <f t="shared" si="1"/>
        <v>0.0001760809417721519</v>
      </c>
      <c r="I27" s="51">
        <v>1</v>
      </c>
      <c r="J27" s="57">
        <v>0.005862341032258065</v>
      </c>
      <c r="K27" s="7">
        <f t="shared" si="2"/>
        <v>0.0029311705161290326</v>
      </c>
      <c r="L27" s="7">
        <f t="shared" si="3"/>
        <v>0.00029311705161290326</v>
      </c>
      <c r="M27" s="51">
        <v>1</v>
      </c>
      <c r="N27" s="57">
        <v>0.001005757103448276</v>
      </c>
      <c r="O27" s="7">
        <f t="shared" si="4"/>
        <v>0.000502878551724138</v>
      </c>
      <c r="P27" s="7">
        <f t="shared" si="5"/>
        <v>5.02878551724138E-05</v>
      </c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</row>
    <row r="28" spans="1:38" s="53" customFormat="1" ht="12.75">
      <c r="A28" s="53" t="s">
        <v>185</v>
      </c>
      <c r="B28" s="53">
        <v>24</v>
      </c>
      <c r="C28" s="53" t="s">
        <v>237</v>
      </c>
      <c r="D28" s="5">
        <v>0.1</v>
      </c>
      <c r="E28" s="51">
        <v>1</v>
      </c>
      <c r="F28" s="57">
        <v>0.0018573699341772152</v>
      </c>
      <c r="G28" s="7">
        <f t="shared" si="0"/>
        <v>0.0009286849670886076</v>
      </c>
      <c r="H28" s="7">
        <f t="shared" si="1"/>
        <v>9.286849670886076E-05</v>
      </c>
      <c r="I28" s="51">
        <v>1</v>
      </c>
      <c r="J28" s="57">
        <v>0.0044630991397849465</v>
      </c>
      <c r="K28" s="7">
        <f t="shared" si="2"/>
        <v>0.0022315495698924733</v>
      </c>
      <c r="L28" s="7">
        <f t="shared" si="3"/>
        <v>0.00022315495698924733</v>
      </c>
      <c r="M28" s="51">
        <v>1</v>
      </c>
      <c r="N28" s="57">
        <v>0.00091033912183908</v>
      </c>
      <c r="O28" s="7">
        <f t="shared" si="4"/>
        <v>0.00045516956091954</v>
      </c>
      <c r="P28" s="7">
        <f t="shared" si="5"/>
        <v>4.5516956091954E-05</v>
      </c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</row>
    <row r="29" spans="1:38" s="53" customFormat="1" ht="12.75">
      <c r="A29" s="53" t="s">
        <v>185</v>
      </c>
      <c r="B29" s="53">
        <v>25</v>
      </c>
      <c r="C29" s="53" t="s">
        <v>238</v>
      </c>
      <c r="D29" s="5">
        <v>0.1</v>
      </c>
      <c r="E29" s="51">
        <v>1</v>
      </c>
      <c r="F29" s="57">
        <v>0.0018062496607595</v>
      </c>
      <c r="G29" s="7">
        <f t="shared" si="0"/>
        <v>0.00090312483037975</v>
      </c>
      <c r="H29" s="7">
        <f t="shared" si="1"/>
        <v>9.031248303797501E-05</v>
      </c>
      <c r="I29" s="51">
        <v>1</v>
      </c>
      <c r="J29" s="57">
        <v>0.004511348860215054</v>
      </c>
      <c r="K29" s="7">
        <f t="shared" si="2"/>
        <v>0.002255674430107527</v>
      </c>
      <c r="L29" s="7">
        <f t="shared" si="3"/>
        <v>0.0002255674430107527</v>
      </c>
      <c r="M29" s="51">
        <v>1</v>
      </c>
      <c r="N29" s="57">
        <v>0.001005757103448276</v>
      </c>
      <c r="O29" s="7">
        <f t="shared" si="4"/>
        <v>0.000502878551724138</v>
      </c>
      <c r="P29" s="7">
        <f t="shared" si="5"/>
        <v>5.02878551724138E-05</v>
      </c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</row>
    <row r="30" spans="1:38" s="53" customFormat="1" ht="12.75">
      <c r="A30" s="53" t="s">
        <v>185</v>
      </c>
      <c r="B30" s="53">
        <v>26</v>
      </c>
      <c r="C30" s="53" t="s">
        <v>239</v>
      </c>
      <c r="D30" s="5">
        <v>0.1</v>
      </c>
      <c r="E30" s="51">
        <v>1</v>
      </c>
      <c r="F30" s="57">
        <v>0.002013570769620253</v>
      </c>
      <c r="G30" s="7">
        <f t="shared" si="0"/>
        <v>0.0010067853848101265</v>
      </c>
      <c r="H30" s="7">
        <f t="shared" si="1"/>
        <v>0.00010067853848101266</v>
      </c>
      <c r="I30" s="51">
        <v>1</v>
      </c>
      <c r="J30" s="57">
        <v>0.0008105953032258066</v>
      </c>
      <c r="K30" s="7">
        <f t="shared" si="2"/>
        <v>0.0004052976516129033</v>
      </c>
      <c r="L30" s="7">
        <f t="shared" si="3"/>
        <v>4.052976516129033E-05</v>
      </c>
      <c r="M30" s="51">
        <v>1</v>
      </c>
      <c r="N30" s="57">
        <v>0.00033525236781609195</v>
      </c>
      <c r="O30" s="7">
        <f t="shared" si="4"/>
        <v>0.00016762618390804598</v>
      </c>
      <c r="P30" s="7">
        <f t="shared" si="5"/>
        <v>1.6762618390804597E-05</v>
      </c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</row>
    <row r="31" spans="1:38" s="53" customFormat="1" ht="12.75">
      <c r="A31" s="53" t="s">
        <v>185</v>
      </c>
      <c r="B31" s="53">
        <v>27</v>
      </c>
      <c r="C31" s="53" t="s">
        <v>240</v>
      </c>
      <c r="D31" s="5">
        <v>0</v>
      </c>
      <c r="E31" s="51"/>
      <c r="F31" s="57">
        <v>-0.005023986870886076</v>
      </c>
      <c r="G31" s="7">
        <f t="shared" si="0"/>
        <v>-0.005023986870886076</v>
      </c>
      <c r="H31" s="7">
        <f t="shared" si="1"/>
        <v>0</v>
      </c>
      <c r="I31" s="51"/>
      <c r="J31" s="57">
        <v>0.004207375621505373</v>
      </c>
      <c r="K31" s="7">
        <f t="shared" si="2"/>
        <v>0.004207375621505373</v>
      </c>
      <c r="L31" s="7">
        <f t="shared" si="3"/>
        <v>0</v>
      </c>
      <c r="M31" s="51"/>
      <c r="N31" s="57">
        <v>0.007806222441379313</v>
      </c>
      <c r="O31" s="7">
        <f t="shared" si="4"/>
        <v>0.007806222441379313</v>
      </c>
      <c r="P31" s="7">
        <f t="shared" si="5"/>
        <v>0</v>
      </c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</row>
    <row r="32" spans="1:38" s="53" customFormat="1" ht="12.75">
      <c r="A32" s="53" t="s">
        <v>185</v>
      </c>
      <c r="B32" s="53">
        <v>28</v>
      </c>
      <c r="C32" s="53" t="s">
        <v>241</v>
      </c>
      <c r="D32" s="5">
        <v>0</v>
      </c>
      <c r="E32" s="51"/>
      <c r="F32" s="57">
        <v>0.0041748223291139235</v>
      </c>
      <c r="G32" s="7">
        <f t="shared" si="0"/>
        <v>0.0041748223291139235</v>
      </c>
      <c r="H32" s="7">
        <f t="shared" si="1"/>
        <v>0</v>
      </c>
      <c r="I32" s="51"/>
      <c r="J32" s="57">
        <v>0.019854759956989244</v>
      </c>
      <c r="K32" s="7">
        <f t="shared" si="2"/>
        <v>0.019854759956989244</v>
      </c>
      <c r="L32" s="7">
        <f t="shared" si="3"/>
        <v>0</v>
      </c>
      <c r="M32" s="51"/>
      <c r="N32" s="57">
        <v>0.011063328137931</v>
      </c>
      <c r="O32" s="7">
        <f t="shared" si="4"/>
        <v>0.011063328137931</v>
      </c>
      <c r="P32" s="7">
        <f t="shared" si="5"/>
        <v>0</v>
      </c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</row>
    <row r="33" spans="1:38" s="53" customFormat="1" ht="12.75">
      <c r="A33" s="53" t="s">
        <v>185</v>
      </c>
      <c r="B33" s="53">
        <v>29</v>
      </c>
      <c r="C33" s="53" t="s">
        <v>242</v>
      </c>
      <c r="D33" s="5">
        <v>0.01</v>
      </c>
      <c r="E33" s="51"/>
      <c r="F33" s="57">
        <v>0.007213638582278481</v>
      </c>
      <c r="G33" s="7">
        <f t="shared" si="0"/>
        <v>0.007213638582278481</v>
      </c>
      <c r="H33" s="7">
        <f t="shared" si="1"/>
        <v>7.213638582278481E-05</v>
      </c>
      <c r="I33" s="51"/>
      <c r="J33" s="57">
        <v>0.013051549376344</v>
      </c>
      <c r="K33" s="7">
        <f t="shared" si="2"/>
        <v>0.013051549376344</v>
      </c>
      <c r="L33" s="7">
        <f t="shared" si="3"/>
        <v>0.00013051549376344</v>
      </c>
      <c r="M33" s="51"/>
      <c r="N33" s="57">
        <v>0.007169242942528735</v>
      </c>
      <c r="O33" s="7">
        <f t="shared" si="4"/>
        <v>0.007169242942528735</v>
      </c>
      <c r="P33" s="7">
        <f t="shared" si="5"/>
        <v>7.169242942528735E-05</v>
      </c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</row>
    <row r="34" spans="1:38" s="53" customFormat="1" ht="12.75">
      <c r="A34" s="53" t="s">
        <v>185</v>
      </c>
      <c r="B34" s="53">
        <v>30</v>
      </c>
      <c r="C34" s="53" t="s">
        <v>243</v>
      </c>
      <c r="D34" s="5">
        <v>0.01</v>
      </c>
      <c r="E34" s="51">
        <v>1</v>
      </c>
      <c r="F34" s="57">
        <v>0.0034648185316455706</v>
      </c>
      <c r="G34" s="7">
        <f t="shared" si="0"/>
        <v>0.0017324092658227853</v>
      </c>
      <c r="H34" s="7">
        <f t="shared" si="1"/>
        <v>1.7324092658227854E-05</v>
      </c>
      <c r="I34" s="51">
        <v>1</v>
      </c>
      <c r="J34" s="57">
        <v>0.0037393533333333344</v>
      </c>
      <c r="K34" s="7">
        <f t="shared" si="2"/>
        <v>0.0018696766666666672</v>
      </c>
      <c r="L34" s="7">
        <f t="shared" si="3"/>
        <v>1.8696766666666674E-05</v>
      </c>
      <c r="M34" s="51">
        <v>1</v>
      </c>
      <c r="N34" s="57">
        <v>0.002914116735632184</v>
      </c>
      <c r="O34" s="7">
        <f t="shared" si="4"/>
        <v>0.001457058367816092</v>
      </c>
      <c r="P34" s="7">
        <f t="shared" si="5"/>
        <v>1.4570583678160921E-05</v>
      </c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</row>
    <row r="35" spans="1:38" s="53" customFormat="1" ht="12.75">
      <c r="A35" s="53" t="s">
        <v>185</v>
      </c>
      <c r="B35" s="53">
        <v>31</v>
      </c>
      <c r="C35" s="53" t="s">
        <v>244</v>
      </c>
      <c r="D35" s="5">
        <v>0</v>
      </c>
      <c r="E35" s="51"/>
      <c r="F35" s="57">
        <v>-0.004799625670886078</v>
      </c>
      <c r="G35" s="7">
        <f t="shared" si="0"/>
        <v>-0.004799625670886078</v>
      </c>
      <c r="H35" s="7">
        <f t="shared" si="1"/>
        <v>0</v>
      </c>
      <c r="I35" s="51"/>
      <c r="J35" s="57">
        <v>-0.0031121069677419334</v>
      </c>
      <c r="K35" s="7">
        <f t="shared" si="2"/>
        <v>-0.0031121069677419334</v>
      </c>
      <c r="L35" s="7">
        <f t="shared" si="3"/>
        <v>0</v>
      </c>
      <c r="M35" s="51"/>
      <c r="N35" s="57">
        <v>-0.00030946372413793</v>
      </c>
      <c r="O35" s="7">
        <f t="shared" si="4"/>
        <v>-0.00030946372413793</v>
      </c>
      <c r="P35" s="7">
        <f t="shared" si="5"/>
        <v>0</v>
      </c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</row>
    <row r="36" spans="1:38" s="53" customFormat="1" ht="12.75">
      <c r="A36" s="53" t="s">
        <v>185</v>
      </c>
      <c r="B36" s="53">
        <v>32</v>
      </c>
      <c r="C36" s="53" t="s">
        <v>245</v>
      </c>
      <c r="D36" s="5">
        <v>0</v>
      </c>
      <c r="E36" s="51"/>
      <c r="F36" s="57">
        <v>0.0058788314430379745</v>
      </c>
      <c r="G36" s="7">
        <f t="shared" si="0"/>
        <v>0.0058788314430379745</v>
      </c>
      <c r="H36" s="7">
        <f t="shared" si="1"/>
        <v>0</v>
      </c>
      <c r="I36" s="51"/>
      <c r="J36" s="57">
        <v>0.013678795741935488</v>
      </c>
      <c r="K36" s="7">
        <f t="shared" si="2"/>
        <v>0.013678795741935488</v>
      </c>
      <c r="L36" s="7">
        <f t="shared" si="3"/>
        <v>0</v>
      </c>
      <c r="M36" s="51"/>
      <c r="N36" s="57">
        <v>0.009773895954022989</v>
      </c>
      <c r="O36" s="7">
        <f t="shared" si="4"/>
        <v>0.009773895954022989</v>
      </c>
      <c r="P36" s="7">
        <f t="shared" si="5"/>
        <v>0</v>
      </c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</row>
    <row r="37" spans="1:38" s="53" customFormat="1" ht="12.75">
      <c r="A37" s="53" t="s">
        <v>185</v>
      </c>
      <c r="B37" s="53">
        <v>33</v>
      </c>
      <c r="C37" s="53" t="s">
        <v>246</v>
      </c>
      <c r="D37" s="5">
        <v>0.001</v>
      </c>
      <c r="E37" s="51"/>
      <c r="F37" s="57">
        <v>0.007213638582278481</v>
      </c>
      <c r="G37" s="7">
        <f t="shared" si="0"/>
        <v>0.007213638582278481</v>
      </c>
      <c r="H37" s="7">
        <f t="shared" si="1"/>
        <v>7.213638582278481E-06</v>
      </c>
      <c r="I37" s="51"/>
      <c r="J37" s="57">
        <v>0.005862341032258065</v>
      </c>
      <c r="K37" s="7">
        <f t="shared" si="2"/>
        <v>0.005862341032258065</v>
      </c>
      <c r="L37" s="7">
        <f t="shared" si="3"/>
        <v>5.862341032258065E-06</v>
      </c>
      <c r="M37" s="51"/>
      <c r="N37" s="57">
        <v>0.004306703494252873</v>
      </c>
      <c r="O37" s="7">
        <f t="shared" si="4"/>
        <v>0.004306703494252873</v>
      </c>
      <c r="P37" s="7">
        <f t="shared" si="5"/>
        <v>4.306703494252873E-06</v>
      </c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</row>
    <row r="38" spans="1:38" s="53" customFormat="1" ht="12.75">
      <c r="A38" s="53" t="s">
        <v>185</v>
      </c>
      <c r="B38" s="53">
        <v>34</v>
      </c>
      <c r="C38" s="53" t="s">
        <v>247</v>
      </c>
      <c r="D38" s="51"/>
      <c r="E38" s="51"/>
      <c r="F38" s="57">
        <v>2.66160543564557</v>
      </c>
      <c r="G38" s="57">
        <f>G37+G36+G32+G26+G22+G19+G18+G15+G10+G7</f>
        <v>2.4372442356455695</v>
      </c>
      <c r="H38" s="57"/>
      <c r="I38" s="51"/>
      <c r="J38" s="57">
        <v>1.9795171552258</v>
      </c>
      <c r="K38" s="57">
        <f>K37+K36+K32+K26+K22+K19+K18+K15+K10+K7</f>
        <v>1.7684246283440848</v>
      </c>
      <c r="L38" s="57"/>
      <c r="M38" s="51"/>
      <c r="N38" s="57">
        <v>2.6055556140229883</v>
      </c>
      <c r="O38" s="57">
        <f>O37+O36+O32+O26+O22+O19+O18+O15+O10+O7</f>
        <v>2.6055556140229883</v>
      </c>
      <c r="P38" s="57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</row>
    <row r="39" spans="1:38" s="53" customFormat="1" ht="12.75">
      <c r="A39" s="53" t="s">
        <v>185</v>
      </c>
      <c r="B39" s="53">
        <v>35</v>
      </c>
      <c r="C39" s="53" t="s">
        <v>31</v>
      </c>
      <c r="D39" s="51"/>
      <c r="E39" s="67">
        <f>(F39-H39)*2/F39*100</f>
        <v>74.06294322034344</v>
      </c>
      <c r="F39" s="57">
        <v>0.016159374028708862</v>
      </c>
      <c r="G39" s="57"/>
      <c r="H39" s="57">
        <f>SUM(H5:H37)</f>
        <v>0.010175320022886078</v>
      </c>
      <c r="I39" s="67">
        <f>(J39-L39)*2/J39*100</f>
        <v>63.062379903027654</v>
      </c>
      <c r="J39" s="57">
        <v>0.0159070402059785</v>
      </c>
      <c r="K39" s="57"/>
      <c r="L39" s="57">
        <f>SUM(L5:L37)</f>
        <v>0.010891361142967742</v>
      </c>
      <c r="M39" s="67">
        <f>(N39-P39)*2/N39*100</f>
        <v>61.39340020534456</v>
      </c>
      <c r="N39" s="57">
        <v>0.015597925876367817</v>
      </c>
      <c r="O39" s="57"/>
      <c r="P39" s="57">
        <f>SUM(P5:P37)</f>
        <v>0.010809877347862071</v>
      </c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</row>
  </sheetData>
  <printOptions headings="1" horizontalCentered="1"/>
  <pageMargins left="0.25" right="0.25" top="0.5" bottom="0.5" header="0.5" footer="0.25"/>
  <pageSetup horizontalDpi="300" verticalDpi="300" orientation="landscape" pageOrder="overThenDown" scale="80" r:id="rId1"/>
  <headerFooter alignWithMargins="0">
    <oddFooter>&amp;C&amp;P, &amp;A, 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L39"/>
  <sheetViews>
    <sheetView workbookViewId="0" topLeftCell="C1">
      <selection activeCell="C1" sqref="C1"/>
    </sheetView>
  </sheetViews>
  <sheetFormatPr defaultColWidth="9.140625" defaultRowHeight="12.75"/>
  <cols>
    <col min="1" max="1" width="9.140625" style="0" hidden="1" customWidth="1"/>
    <col min="2" max="2" width="4.28125" style="0" hidden="1" customWidth="1"/>
    <col min="3" max="3" width="17.28125" style="0" customWidth="1"/>
    <col min="5" max="5" width="3.8515625" style="0" customWidth="1"/>
    <col min="6" max="8" width="9.140625" style="88" customWidth="1"/>
    <col min="9" max="9" width="4.140625" style="0" customWidth="1"/>
    <col min="10" max="12" width="9.140625" style="88" customWidth="1"/>
    <col min="13" max="13" width="3.7109375" style="0" customWidth="1"/>
    <col min="14" max="16" width="9.140625" style="88" customWidth="1"/>
  </cols>
  <sheetData>
    <row r="1" spans="3:16" ht="12.75">
      <c r="C1" s="2" t="s">
        <v>192</v>
      </c>
      <c r="D1" s="5" t="s">
        <v>24</v>
      </c>
      <c r="F1" s="86" t="s">
        <v>122</v>
      </c>
      <c r="G1" s="86"/>
      <c r="H1" s="86"/>
      <c r="J1" s="86" t="s">
        <v>123</v>
      </c>
      <c r="K1" s="86"/>
      <c r="L1" s="86"/>
      <c r="N1" s="86" t="s">
        <v>124</v>
      </c>
      <c r="O1" s="86"/>
      <c r="P1" s="86"/>
    </row>
    <row r="2" spans="4:16" ht="12.75">
      <c r="D2" s="5" t="s">
        <v>28</v>
      </c>
      <c r="F2" s="87" t="s">
        <v>29</v>
      </c>
      <c r="G2" s="11" t="s">
        <v>29</v>
      </c>
      <c r="H2" s="11" t="s">
        <v>30</v>
      </c>
      <c r="J2" s="87" t="s">
        <v>29</v>
      </c>
      <c r="K2" s="11" t="s">
        <v>29</v>
      </c>
      <c r="L2" s="11" t="s">
        <v>30</v>
      </c>
      <c r="N2" s="87" t="s">
        <v>29</v>
      </c>
      <c r="O2" s="11" t="s">
        <v>29</v>
      </c>
      <c r="P2" s="11" t="s">
        <v>30</v>
      </c>
    </row>
    <row r="3" spans="3:16" ht="12.75">
      <c r="C3" t="s">
        <v>76</v>
      </c>
      <c r="D3" s="5"/>
      <c r="F3" s="87" t="s">
        <v>213</v>
      </c>
      <c r="G3" s="11" t="s">
        <v>69</v>
      </c>
      <c r="H3" s="11" t="s">
        <v>69</v>
      </c>
      <c r="J3" s="87" t="s">
        <v>213</v>
      </c>
      <c r="K3" s="11" t="s">
        <v>69</v>
      </c>
      <c r="L3" s="11" t="s">
        <v>69</v>
      </c>
      <c r="N3" s="87" t="s">
        <v>213</v>
      </c>
      <c r="O3" s="11" t="s">
        <v>69</v>
      </c>
      <c r="P3" s="11" t="s">
        <v>69</v>
      </c>
    </row>
    <row r="4" spans="4:16" ht="12.75">
      <c r="D4" s="4"/>
      <c r="G4" s="7"/>
      <c r="H4" s="7"/>
      <c r="K4" s="7"/>
      <c r="L4" s="7"/>
      <c r="O4" s="7"/>
      <c r="P4" s="7"/>
    </row>
    <row r="5" spans="1:38" s="53" customFormat="1" ht="12.75">
      <c r="A5" s="53" t="s">
        <v>192</v>
      </c>
      <c r="B5" s="53">
        <v>1</v>
      </c>
      <c r="C5" s="53" t="s">
        <v>214</v>
      </c>
      <c r="D5" s="5">
        <v>1</v>
      </c>
      <c r="E5" s="51"/>
      <c r="F5" s="57">
        <v>0.012242279214135844</v>
      </c>
      <c r="G5" s="7">
        <f>IF(F5=0,"",IF(E5=1,F5/2,F5))</f>
        <v>0.012242279214135844</v>
      </c>
      <c r="H5" s="7">
        <f>IF(G5="","",G5*$D5)</f>
        <v>0.012242279214135844</v>
      </c>
      <c r="I5" s="51"/>
      <c r="J5" s="57">
        <v>0.004336183176100629</v>
      </c>
      <c r="K5" s="7">
        <f>IF(J5=0,"",IF(I5=1,J5/2,J5))</f>
        <v>0.004336183176100629</v>
      </c>
      <c r="L5" s="7">
        <f>IF(K5="","",K5*$D5)</f>
        <v>0.004336183176100629</v>
      </c>
      <c r="M5" s="51"/>
      <c r="N5" s="57">
        <v>0.0036243481095176</v>
      </c>
      <c r="O5" s="7">
        <f>IF(N5=0,"",IF(M5=1,N5/2,N5))</f>
        <v>0.0036243481095176</v>
      </c>
      <c r="P5" s="7">
        <f>IF(O5="","",O5*$D5)</f>
        <v>0.0036243481095176</v>
      </c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</row>
    <row r="6" spans="1:38" s="53" customFormat="1" ht="12.75">
      <c r="A6" s="53" t="s">
        <v>192</v>
      </c>
      <c r="B6" s="53">
        <v>2</v>
      </c>
      <c r="C6" s="53" t="s">
        <v>215</v>
      </c>
      <c r="D6" s="5">
        <v>0</v>
      </c>
      <c r="E6" s="51"/>
      <c r="F6" s="57">
        <v>0.232603305068581</v>
      </c>
      <c r="G6" s="7">
        <f aca="true" t="shared" si="0" ref="G6:G37">IF(F6=0,"",IF(E6=1,F6/2,F6))</f>
        <v>0.232603305068581</v>
      </c>
      <c r="H6" s="7">
        <f aca="true" t="shared" si="1" ref="H6:H37">IF(G6="","",G6*$D6)</f>
        <v>0</v>
      </c>
      <c r="I6" s="51"/>
      <c r="J6" s="57">
        <v>0.0303532822327044</v>
      </c>
      <c r="K6" s="7">
        <f aca="true" t="shared" si="2" ref="K6:K37">IF(J6=0,"",IF(I6=1,J6/2,J6))</f>
        <v>0.0303532822327044</v>
      </c>
      <c r="L6" s="7">
        <f aca="true" t="shared" si="3" ref="L6:L37">IF(K6="","",K6*$D6)</f>
        <v>0</v>
      </c>
      <c r="M6" s="51"/>
      <c r="N6" s="57">
        <v>0.080943774445893</v>
      </c>
      <c r="O6" s="7">
        <f aca="true" t="shared" si="4" ref="O6:O37">IF(N6=0,"",IF(M6=1,N6/2,N6))</f>
        <v>0.080943774445893</v>
      </c>
      <c r="P6" s="7">
        <f aca="true" t="shared" si="5" ref="P6:P37">IF(O6="","",O6*$D6)</f>
        <v>0</v>
      </c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</row>
    <row r="7" spans="1:38" s="53" customFormat="1" ht="12.75">
      <c r="A7" s="53" t="s">
        <v>192</v>
      </c>
      <c r="B7" s="53">
        <v>3</v>
      </c>
      <c r="C7" s="53" t="s">
        <v>216</v>
      </c>
      <c r="D7" s="5">
        <v>0</v>
      </c>
      <c r="E7" s="51"/>
      <c r="F7" s="57">
        <v>0.24484558428271685</v>
      </c>
      <c r="G7" s="7">
        <f t="shared" si="0"/>
        <v>0.24484558428271685</v>
      </c>
      <c r="H7" s="7">
        <f t="shared" si="1"/>
        <v>0</v>
      </c>
      <c r="I7" s="51"/>
      <c r="J7" s="57">
        <v>0.034689465408805</v>
      </c>
      <c r="K7" s="7">
        <f t="shared" si="2"/>
        <v>0.034689465408805</v>
      </c>
      <c r="L7" s="7">
        <f t="shared" si="3"/>
        <v>0</v>
      </c>
      <c r="M7" s="51"/>
      <c r="N7" s="57">
        <v>0.08456812255541067</v>
      </c>
      <c r="O7" s="7">
        <f t="shared" si="4"/>
        <v>0.08456812255541067</v>
      </c>
      <c r="P7" s="7">
        <f t="shared" si="5"/>
        <v>0</v>
      </c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</row>
    <row r="8" spans="1:38" s="53" customFormat="1" ht="12.75">
      <c r="A8" s="53" t="s">
        <v>192</v>
      </c>
      <c r="B8" s="53">
        <v>4</v>
      </c>
      <c r="C8" s="53" t="s">
        <v>217</v>
      </c>
      <c r="D8" s="5">
        <v>0.5</v>
      </c>
      <c r="E8" s="51"/>
      <c r="F8" s="57">
        <v>0.02448455842827169</v>
      </c>
      <c r="G8" s="7">
        <f t="shared" si="0"/>
        <v>0.02448455842827169</v>
      </c>
      <c r="H8" s="7">
        <f t="shared" si="1"/>
        <v>0.012242279214135844</v>
      </c>
      <c r="I8" s="51"/>
      <c r="J8" s="57">
        <v>0.008672366352201259</v>
      </c>
      <c r="K8" s="7">
        <f t="shared" si="2"/>
        <v>0.008672366352201259</v>
      </c>
      <c r="L8" s="7">
        <f t="shared" si="3"/>
        <v>0.004336183176100629</v>
      </c>
      <c r="M8" s="51"/>
      <c r="N8" s="57">
        <v>0.008054106910039112</v>
      </c>
      <c r="O8" s="7">
        <f t="shared" si="4"/>
        <v>0.008054106910039112</v>
      </c>
      <c r="P8" s="7">
        <f t="shared" si="5"/>
        <v>0.004027053455019556</v>
      </c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</row>
    <row r="9" spans="1:38" s="53" customFormat="1" ht="12.75">
      <c r="A9" s="53" t="s">
        <v>192</v>
      </c>
      <c r="B9" s="53">
        <v>5</v>
      </c>
      <c r="C9" s="53" t="s">
        <v>218</v>
      </c>
      <c r="D9" s="5">
        <v>0</v>
      </c>
      <c r="E9" s="51"/>
      <c r="F9" s="57">
        <v>0.159149629783766</v>
      </c>
      <c r="G9" s="7">
        <f t="shared" si="0"/>
        <v>0.159149629783766</v>
      </c>
      <c r="H9" s="7">
        <f t="shared" si="1"/>
        <v>0</v>
      </c>
      <c r="I9" s="51"/>
      <c r="J9" s="57">
        <v>0.01734473270440252</v>
      </c>
      <c r="K9" s="7">
        <f t="shared" si="2"/>
        <v>0.01734473270440252</v>
      </c>
      <c r="L9" s="7">
        <f t="shared" si="3"/>
        <v>0</v>
      </c>
      <c r="M9" s="51"/>
      <c r="N9" s="57">
        <v>0.08859517601043024</v>
      </c>
      <c r="O9" s="7">
        <f t="shared" si="4"/>
        <v>0.08859517601043024</v>
      </c>
      <c r="P9" s="7">
        <f t="shared" si="5"/>
        <v>0</v>
      </c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</row>
    <row r="10" spans="1:38" s="53" customFormat="1" ht="12.75">
      <c r="A10" s="53" t="s">
        <v>192</v>
      </c>
      <c r="B10" s="53">
        <v>5</v>
      </c>
      <c r="C10" s="53" t="s">
        <v>219</v>
      </c>
      <c r="D10" s="5">
        <v>0</v>
      </c>
      <c r="E10" s="51"/>
      <c r="F10" s="57">
        <v>0.18363418821203764</v>
      </c>
      <c r="G10" s="7">
        <f t="shared" si="0"/>
        <v>0.18363418821203764</v>
      </c>
      <c r="H10" s="7">
        <f t="shared" si="1"/>
        <v>0</v>
      </c>
      <c r="I10" s="51"/>
      <c r="J10" s="57">
        <v>0.02601709905660378</v>
      </c>
      <c r="K10" s="7">
        <f t="shared" si="2"/>
        <v>0.02601709905660378</v>
      </c>
      <c r="L10" s="7">
        <f t="shared" si="3"/>
        <v>0</v>
      </c>
      <c r="M10" s="51"/>
      <c r="N10" s="57">
        <v>0.09664928292046936</v>
      </c>
      <c r="O10" s="7">
        <f t="shared" si="4"/>
        <v>0.09664928292046936</v>
      </c>
      <c r="P10" s="7">
        <f t="shared" si="5"/>
        <v>0</v>
      </c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</row>
    <row r="11" spans="1:38" s="53" customFormat="1" ht="12.75">
      <c r="A11" s="53" t="s">
        <v>192</v>
      </c>
      <c r="B11" s="53">
        <v>7</v>
      </c>
      <c r="C11" s="53" t="s">
        <v>220</v>
      </c>
      <c r="D11" s="5">
        <v>0.1</v>
      </c>
      <c r="E11" s="51"/>
      <c r="F11" s="57">
        <v>0.012242279214135844</v>
      </c>
      <c r="G11" s="7">
        <f t="shared" si="0"/>
        <v>0.012242279214135844</v>
      </c>
      <c r="H11" s="7">
        <f t="shared" si="1"/>
        <v>0.0012242279214135846</v>
      </c>
      <c r="I11" s="51"/>
      <c r="J11" s="57">
        <v>0.008672366352201259</v>
      </c>
      <c r="K11" s="7">
        <f t="shared" si="2"/>
        <v>0.008672366352201259</v>
      </c>
      <c r="L11" s="7">
        <f t="shared" si="3"/>
        <v>0.0008672366352201259</v>
      </c>
      <c r="M11" s="51"/>
      <c r="N11" s="57">
        <v>0.004027053455019556</v>
      </c>
      <c r="O11" s="7">
        <f t="shared" si="4"/>
        <v>0.004027053455019556</v>
      </c>
      <c r="P11" s="7">
        <f t="shared" si="5"/>
        <v>0.0004027053455019556</v>
      </c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</row>
    <row r="12" spans="1:38" s="53" customFormat="1" ht="12.75">
      <c r="A12" s="53" t="s">
        <v>192</v>
      </c>
      <c r="B12" s="53">
        <v>8</v>
      </c>
      <c r="C12" s="53" t="s">
        <v>221</v>
      </c>
      <c r="D12" s="5">
        <v>0.1</v>
      </c>
      <c r="E12" s="51"/>
      <c r="F12" s="57">
        <v>0.012242279214135844</v>
      </c>
      <c r="G12" s="7">
        <f t="shared" si="0"/>
        <v>0.012242279214135844</v>
      </c>
      <c r="H12" s="7">
        <f t="shared" si="1"/>
        <v>0.0012242279214135846</v>
      </c>
      <c r="I12" s="51"/>
      <c r="J12" s="57">
        <v>0.008672366352201259</v>
      </c>
      <c r="K12" s="7">
        <f t="shared" si="2"/>
        <v>0.008672366352201259</v>
      </c>
      <c r="L12" s="7">
        <f t="shared" si="3"/>
        <v>0.0008672366352201259</v>
      </c>
      <c r="M12" s="51"/>
      <c r="N12" s="57">
        <v>0.004027053455019556</v>
      </c>
      <c r="O12" s="7">
        <f t="shared" si="4"/>
        <v>0.004027053455019556</v>
      </c>
      <c r="P12" s="7">
        <f t="shared" si="5"/>
        <v>0.0004027053455019556</v>
      </c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</row>
    <row r="13" spans="1:38" s="53" customFormat="1" ht="12.75">
      <c r="A13" s="53" t="s">
        <v>192</v>
      </c>
      <c r="B13" s="53">
        <v>9</v>
      </c>
      <c r="C13" s="53" t="s">
        <v>222</v>
      </c>
      <c r="D13" s="5">
        <v>0.1</v>
      </c>
      <c r="E13" s="51"/>
      <c r="F13" s="57">
        <v>0.028565318166317</v>
      </c>
      <c r="G13" s="7">
        <f t="shared" si="0"/>
        <v>0.028565318166317</v>
      </c>
      <c r="H13" s="7">
        <f t="shared" si="1"/>
        <v>0.0028565318166317005</v>
      </c>
      <c r="I13" s="51"/>
      <c r="J13" s="57">
        <v>0.01300854952830189</v>
      </c>
      <c r="K13" s="7">
        <f t="shared" si="2"/>
        <v>0.01300854952830189</v>
      </c>
      <c r="L13" s="7">
        <f t="shared" si="3"/>
        <v>0.001300854952830189</v>
      </c>
      <c r="M13" s="51"/>
      <c r="N13" s="57">
        <v>0.008054106910039112</v>
      </c>
      <c r="O13" s="7">
        <f t="shared" si="4"/>
        <v>0.008054106910039112</v>
      </c>
      <c r="P13" s="7">
        <f t="shared" si="5"/>
        <v>0.0008054106910039112</v>
      </c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</row>
    <row r="14" spans="1:38" s="53" customFormat="1" ht="12.75">
      <c r="A14" s="53" t="s">
        <v>192</v>
      </c>
      <c r="B14" s="53">
        <v>10</v>
      </c>
      <c r="C14" s="53" t="s">
        <v>223</v>
      </c>
      <c r="D14" s="5">
        <v>0</v>
      </c>
      <c r="E14" s="51"/>
      <c r="F14" s="57">
        <v>0.1713919089979018</v>
      </c>
      <c r="G14" s="7">
        <f t="shared" si="0"/>
        <v>0.1713919089979018</v>
      </c>
      <c r="H14" s="7">
        <f t="shared" si="1"/>
        <v>0</v>
      </c>
      <c r="I14" s="51"/>
      <c r="J14" s="57">
        <v>0.04336183176100629</v>
      </c>
      <c r="K14" s="7">
        <f t="shared" si="2"/>
        <v>0.04336183176100629</v>
      </c>
      <c r="L14" s="7">
        <f t="shared" si="3"/>
        <v>0</v>
      </c>
      <c r="M14" s="51"/>
      <c r="N14" s="57">
        <v>0.08859517601043024</v>
      </c>
      <c r="O14" s="7">
        <f t="shared" si="4"/>
        <v>0.08859517601043024</v>
      </c>
      <c r="P14" s="7">
        <f t="shared" si="5"/>
        <v>0</v>
      </c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</row>
    <row r="15" spans="1:38" s="53" customFormat="1" ht="12.75">
      <c r="A15" s="53" t="s">
        <v>192</v>
      </c>
      <c r="B15" s="53">
        <v>11</v>
      </c>
      <c r="C15" s="53" t="s">
        <v>224</v>
      </c>
      <c r="D15" s="5">
        <v>0</v>
      </c>
      <c r="E15" s="51"/>
      <c r="F15" s="57">
        <v>0.22444178559249</v>
      </c>
      <c r="G15" s="7">
        <f t="shared" si="0"/>
        <v>0.22444178559249</v>
      </c>
      <c r="H15" s="7">
        <f t="shared" si="1"/>
        <v>0</v>
      </c>
      <c r="I15" s="51"/>
      <c r="J15" s="57">
        <v>0.0737151139937107</v>
      </c>
      <c r="K15" s="7">
        <f t="shared" si="2"/>
        <v>0.0737151139937107</v>
      </c>
      <c r="L15" s="7">
        <f t="shared" si="3"/>
        <v>0</v>
      </c>
      <c r="M15" s="51"/>
      <c r="N15" s="57">
        <v>0.10470338983050845</v>
      </c>
      <c r="O15" s="7">
        <f t="shared" si="4"/>
        <v>0.10470338983050845</v>
      </c>
      <c r="P15" s="7">
        <f t="shared" si="5"/>
        <v>0</v>
      </c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</row>
    <row r="16" spans="1:38" s="53" customFormat="1" ht="12.75">
      <c r="A16" s="53" t="s">
        <v>192</v>
      </c>
      <c r="B16" s="53">
        <v>12</v>
      </c>
      <c r="C16" s="53" t="s">
        <v>225</v>
      </c>
      <c r="D16" s="5">
        <v>0.01</v>
      </c>
      <c r="E16" s="51"/>
      <c r="F16" s="57">
        <v>0.0652921558087245</v>
      </c>
      <c r="G16" s="7">
        <f t="shared" si="0"/>
        <v>0.0652921558087245</v>
      </c>
      <c r="H16" s="7">
        <f t="shared" si="1"/>
        <v>0.0006529215580872449</v>
      </c>
      <c r="I16" s="51"/>
      <c r="J16" s="57">
        <v>0.034689465408805</v>
      </c>
      <c r="K16" s="7">
        <f t="shared" si="2"/>
        <v>0.034689465408805</v>
      </c>
      <c r="L16" s="7">
        <f t="shared" si="3"/>
        <v>0.00034689465408805</v>
      </c>
      <c r="M16" s="51"/>
      <c r="N16" s="57">
        <v>0.020135267275097783</v>
      </c>
      <c r="O16" s="7">
        <f t="shared" si="4"/>
        <v>0.020135267275097783</v>
      </c>
      <c r="P16" s="7">
        <f t="shared" si="5"/>
        <v>0.00020135267275097783</v>
      </c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</row>
    <row r="17" spans="1:38" s="53" customFormat="1" ht="12.75">
      <c r="A17" s="53" t="s">
        <v>192</v>
      </c>
      <c r="B17" s="53">
        <v>13</v>
      </c>
      <c r="C17" s="53" t="s">
        <v>226</v>
      </c>
      <c r="D17" s="5">
        <v>0</v>
      </c>
      <c r="E17" s="51"/>
      <c r="F17" s="57">
        <v>0.073453675284815</v>
      </c>
      <c r="G17" s="7">
        <f t="shared" si="0"/>
        <v>0.073453675284815</v>
      </c>
      <c r="H17" s="7">
        <f t="shared" si="1"/>
        <v>0</v>
      </c>
      <c r="I17" s="51"/>
      <c r="J17" s="57">
        <v>0.013008549528301883</v>
      </c>
      <c r="K17" s="7">
        <f t="shared" si="2"/>
        <v>0.013008549528301883</v>
      </c>
      <c r="L17" s="7">
        <f t="shared" si="3"/>
        <v>0</v>
      </c>
      <c r="M17" s="51"/>
      <c r="N17" s="57">
        <v>0.03221642764015644</v>
      </c>
      <c r="O17" s="7">
        <f t="shared" si="4"/>
        <v>0.03221642764015644</v>
      </c>
      <c r="P17" s="7">
        <f t="shared" si="5"/>
        <v>0</v>
      </c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</row>
    <row r="18" spans="1:38" s="53" customFormat="1" ht="12.75">
      <c r="A18" s="53" t="s">
        <v>192</v>
      </c>
      <c r="B18" s="53">
        <v>14</v>
      </c>
      <c r="C18" s="53" t="s">
        <v>227</v>
      </c>
      <c r="D18" s="5">
        <v>0</v>
      </c>
      <c r="E18" s="51"/>
      <c r="F18" s="57">
        <v>0.13874583109354</v>
      </c>
      <c r="G18" s="7">
        <f t="shared" si="0"/>
        <v>0.13874583109354</v>
      </c>
      <c r="H18" s="7">
        <f t="shared" si="1"/>
        <v>0</v>
      </c>
      <c r="I18" s="51"/>
      <c r="J18" s="57">
        <v>0.047698014937107</v>
      </c>
      <c r="K18" s="7">
        <f t="shared" si="2"/>
        <v>0.047698014937107</v>
      </c>
      <c r="L18" s="7">
        <f t="shared" si="3"/>
        <v>0</v>
      </c>
      <c r="M18" s="51"/>
      <c r="N18" s="57">
        <v>0.052351694915254224</v>
      </c>
      <c r="O18" s="7">
        <f t="shared" si="4"/>
        <v>0.052351694915254224</v>
      </c>
      <c r="P18" s="7">
        <f t="shared" si="5"/>
        <v>0</v>
      </c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</row>
    <row r="19" spans="1:38" s="53" customFormat="1" ht="12.75">
      <c r="A19" s="53" t="s">
        <v>192</v>
      </c>
      <c r="B19" s="53">
        <v>15</v>
      </c>
      <c r="C19" s="53" t="s">
        <v>228</v>
      </c>
      <c r="D19" s="5">
        <v>0.001</v>
      </c>
      <c r="E19" s="51"/>
      <c r="F19" s="57">
        <v>0.11834203240331315</v>
      </c>
      <c r="G19" s="7">
        <f t="shared" si="0"/>
        <v>0.11834203240331315</v>
      </c>
      <c r="H19" s="7">
        <f t="shared" si="1"/>
        <v>0.00011834203240331315</v>
      </c>
      <c r="I19" s="51"/>
      <c r="J19" s="57">
        <v>0.082387480345912</v>
      </c>
      <c r="K19" s="7">
        <f t="shared" si="2"/>
        <v>0.082387480345912</v>
      </c>
      <c r="L19" s="7">
        <f t="shared" si="3"/>
        <v>8.238748034591201E-05</v>
      </c>
      <c r="M19" s="51"/>
      <c r="N19" s="57">
        <v>0.08456812255541067</v>
      </c>
      <c r="O19" s="7">
        <f t="shared" si="4"/>
        <v>0.08456812255541067</v>
      </c>
      <c r="P19" s="7">
        <f t="shared" si="5"/>
        <v>8.456812255541068E-05</v>
      </c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</row>
    <row r="20" spans="1:38" s="53" customFormat="1" ht="12.75">
      <c r="A20" s="53" t="s">
        <v>192</v>
      </c>
      <c r="B20" s="53">
        <v>16</v>
      </c>
      <c r="C20" s="53" t="s">
        <v>229</v>
      </c>
      <c r="D20" s="5">
        <v>0.1</v>
      </c>
      <c r="E20" s="51"/>
      <c r="F20" s="57">
        <v>0.028565318166317</v>
      </c>
      <c r="G20" s="7">
        <f t="shared" si="0"/>
        <v>0.028565318166317</v>
      </c>
      <c r="H20" s="7">
        <f t="shared" si="1"/>
        <v>0.0028565318166317005</v>
      </c>
      <c r="I20" s="51"/>
      <c r="J20" s="57">
        <v>0.0026017099056603776</v>
      </c>
      <c r="K20" s="7">
        <f t="shared" si="2"/>
        <v>0.0026017099056603776</v>
      </c>
      <c r="L20" s="7">
        <f t="shared" si="3"/>
        <v>0.0002601709905660378</v>
      </c>
      <c r="M20" s="51"/>
      <c r="N20" s="57">
        <v>0.02416232073011734</v>
      </c>
      <c r="O20" s="7">
        <f t="shared" si="4"/>
        <v>0.02416232073011734</v>
      </c>
      <c r="P20" s="7">
        <f t="shared" si="5"/>
        <v>0.002416232073011734</v>
      </c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</row>
    <row r="21" spans="1:38" s="53" customFormat="1" ht="12.75">
      <c r="A21" s="53" t="s">
        <v>192</v>
      </c>
      <c r="B21" s="53">
        <v>17</v>
      </c>
      <c r="C21" s="53" t="s">
        <v>230</v>
      </c>
      <c r="D21" s="5">
        <v>0</v>
      </c>
      <c r="E21" s="51"/>
      <c r="F21" s="57">
        <v>0.66516383730138</v>
      </c>
      <c r="G21" s="7">
        <f t="shared" si="0"/>
        <v>0.66516383730138</v>
      </c>
      <c r="H21" s="7">
        <f t="shared" si="1"/>
        <v>0</v>
      </c>
      <c r="I21" s="51"/>
      <c r="J21" s="57">
        <v>0.07111340408805032</v>
      </c>
      <c r="K21" s="7">
        <f t="shared" si="2"/>
        <v>0.07111340408805032</v>
      </c>
      <c r="L21" s="7">
        <f t="shared" si="3"/>
        <v>0</v>
      </c>
      <c r="M21" s="51"/>
      <c r="N21" s="57">
        <v>0.45908409387223</v>
      </c>
      <c r="O21" s="7">
        <f t="shared" si="4"/>
        <v>0.45908409387223</v>
      </c>
      <c r="P21" s="7">
        <f t="shared" si="5"/>
        <v>0</v>
      </c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</row>
    <row r="22" spans="1:38" s="53" customFormat="1" ht="12.75">
      <c r="A22" s="53" t="s">
        <v>192</v>
      </c>
      <c r="B22" s="53">
        <v>18</v>
      </c>
      <c r="C22" s="53" t="s">
        <v>231</v>
      </c>
      <c r="D22" s="5">
        <v>0</v>
      </c>
      <c r="E22" s="51"/>
      <c r="F22" s="57">
        <v>0.6937291554676979</v>
      </c>
      <c r="G22" s="7">
        <f t="shared" si="0"/>
        <v>0.6937291554676979</v>
      </c>
      <c r="H22" s="7">
        <f t="shared" si="1"/>
        <v>0</v>
      </c>
      <c r="I22" s="51"/>
      <c r="J22" s="57">
        <v>0.0737151139937107</v>
      </c>
      <c r="K22" s="7">
        <f t="shared" si="2"/>
        <v>0.0737151139937107</v>
      </c>
      <c r="L22" s="7">
        <f t="shared" si="3"/>
        <v>0</v>
      </c>
      <c r="M22" s="51"/>
      <c r="N22" s="57">
        <v>0.48324641460234674</v>
      </c>
      <c r="O22" s="7">
        <f t="shared" si="4"/>
        <v>0.48324641460234674</v>
      </c>
      <c r="P22" s="7">
        <f t="shared" si="5"/>
        <v>0</v>
      </c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</row>
    <row r="23" spans="1:38" s="53" customFormat="1" ht="12.75">
      <c r="A23" s="53" t="s">
        <v>192</v>
      </c>
      <c r="B23" s="53">
        <v>19</v>
      </c>
      <c r="C23" s="53" t="s">
        <v>232</v>
      </c>
      <c r="D23" s="5">
        <v>0.05</v>
      </c>
      <c r="E23" s="51"/>
      <c r="F23" s="57">
        <v>0.012242279214135844</v>
      </c>
      <c r="G23" s="7">
        <f t="shared" si="0"/>
        <v>0.012242279214135844</v>
      </c>
      <c r="H23" s="7">
        <f t="shared" si="1"/>
        <v>0.0006121139607067923</v>
      </c>
      <c r="I23" s="51"/>
      <c r="J23" s="57">
        <v>0.0034689465408805</v>
      </c>
      <c r="K23" s="7">
        <f t="shared" si="2"/>
        <v>0.0034689465408805</v>
      </c>
      <c r="L23" s="7">
        <f t="shared" si="3"/>
        <v>0.00017344732704402502</v>
      </c>
      <c r="M23" s="51"/>
      <c r="N23" s="57">
        <v>0.008054106910039112</v>
      </c>
      <c r="O23" s="7">
        <f t="shared" si="4"/>
        <v>0.008054106910039112</v>
      </c>
      <c r="P23" s="7">
        <f t="shared" si="5"/>
        <v>0.0004027053455019556</v>
      </c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</row>
    <row r="24" spans="1:38" s="53" customFormat="1" ht="12.75">
      <c r="A24" s="53" t="s">
        <v>192</v>
      </c>
      <c r="B24" s="53">
        <v>20</v>
      </c>
      <c r="C24" s="53" t="s">
        <v>233</v>
      </c>
      <c r="D24" s="5">
        <v>0.5</v>
      </c>
      <c r="E24" s="51"/>
      <c r="F24" s="57">
        <v>0.02448455842827169</v>
      </c>
      <c r="G24" s="7">
        <f t="shared" si="0"/>
        <v>0.02448455842827169</v>
      </c>
      <c r="H24" s="7">
        <f t="shared" si="1"/>
        <v>0.012242279214135844</v>
      </c>
      <c r="I24" s="51"/>
      <c r="J24" s="57">
        <v>0.004336183176100629</v>
      </c>
      <c r="K24" s="7">
        <f t="shared" si="2"/>
        <v>0.004336183176100629</v>
      </c>
      <c r="L24" s="7">
        <f t="shared" si="3"/>
        <v>0.0021680915880503146</v>
      </c>
      <c r="M24" s="51"/>
      <c r="N24" s="57">
        <v>0.020135267275097783</v>
      </c>
      <c r="O24" s="7">
        <f t="shared" si="4"/>
        <v>0.020135267275097783</v>
      </c>
      <c r="P24" s="7">
        <f t="shared" si="5"/>
        <v>0.010067633637548892</v>
      </c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</row>
    <row r="25" spans="1:38" s="53" customFormat="1" ht="12.75">
      <c r="A25" s="53" t="s">
        <v>192</v>
      </c>
      <c r="B25" s="53">
        <v>21</v>
      </c>
      <c r="C25" s="53" t="s">
        <v>234</v>
      </c>
      <c r="D25" s="5">
        <v>0</v>
      </c>
      <c r="E25" s="51"/>
      <c r="F25" s="57">
        <v>0.17955342847399242</v>
      </c>
      <c r="G25" s="7">
        <f t="shared" si="0"/>
        <v>0.17955342847399242</v>
      </c>
      <c r="H25" s="7">
        <f t="shared" si="1"/>
        <v>0</v>
      </c>
      <c r="I25" s="51"/>
      <c r="J25" s="57">
        <v>0.0268843356918239</v>
      </c>
      <c r="K25" s="7">
        <f t="shared" si="2"/>
        <v>0.0268843356918239</v>
      </c>
      <c r="L25" s="7">
        <f t="shared" si="3"/>
        <v>0</v>
      </c>
      <c r="M25" s="51"/>
      <c r="N25" s="57">
        <v>0.08456812255541071</v>
      </c>
      <c r="O25" s="7">
        <f t="shared" si="4"/>
        <v>0.08456812255541071</v>
      </c>
      <c r="P25" s="7">
        <f t="shared" si="5"/>
        <v>0</v>
      </c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</row>
    <row r="26" spans="1:38" s="53" customFormat="1" ht="12.75">
      <c r="A26" s="53" t="s">
        <v>192</v>
      </c>
      <c r="B26" s="53">
        <v>22</v>
      </c>
      <c r="C26" s="53" t="s">
        <v>235</v>
      </c>
      <c r="D26" s="5">
        <v>0</v>
      </c>
      <c r="E26" s="51"/>
      <c r="F26" s="57">
        <v>0.2162802661164</v>
      </c>
      <c r="G26" s="7">
        <f t="shared" si="0"/>
        <v>0.2162802661164</v>
      </c>
      <c r="H26" s="7">
        <f t="shared" si="1"/>
        <v>0</v>
      </c>
      <c r="I26" s="51"/>
      <c r="J26" s="57">
        <v>0.034689465408805</v>
      </c>
      <c r="K26" s="7">
        <f t="shared" si="2"/>
        <v>0.034689465408805</v>
      </c>
      <c r="L26" s="7">
        <f t="shared" si="3"/>
        <v>0</v>
      </c>
      <c r="M26" s="51"/>
      <c r="N26" s="57">
        <v>0.1127574967405476</v>
      </c>
      <c r="O26" s="7">
        <f t="shared" si="4"/>
        <v>0.1127574967405476</v>
      </c>
      <c r="P26" s="7">
        <f t="shared" si="5"/>
        <v>0</v>
      </c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</row>
    <row r="27" spans="1:38" s="53" customFormat="1" ht="12.75">
      <c r="A27" s="53" t="s">
        <v>192</v>
      </c>
      <c r="B27" s="53">
        <v>23</v>
      </c>
      <c r="C27" s="53" t="s">
        <v>236</v>
      </c>
      <c r="D27" s="5">
        <v>0.1</v>
      </c>
      <c r="E27" s="51"/>
      <c r="F27" s="57">
        <v>0.02448455842827169</v>
      </c>
      <c r="G27" s="7">
        <f t="shared" si="0"/>
        <v>0.02448455842827169</v>
      </c>
      <c r="H27" s="7">
        <f t="shared" si="1"/>
        <v>0.002448455842827169</v>
      </c>
      <c r="I27" s="51"/>
      <c r="J27" s="57">
        <v>0.01300854952830189</v>
      </c>
      <c r="K27" s="7">
        <f t="shared" si="2"/>
        <v>0.01300854952830189</v>
      </c>
      <c r="L27" s="7">
        <f t="shared" si="3"/>
        <v>0.001300854952830189</v>
      </c>
      <c r="M27" s="51"/>
      <c r="N27" s="57">
        <v>0.020135267275097783</v>
      </c>
      <c r="O27" s="7">
        <f t="shared" si="4"/>
        <v>0.020135267275097783</v>
      </c>
      <c r="P27" s="7">
        <f t="shared" si="5"/>
        <v>0.0020135267275097784</v>
      </c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</row>
    <row r="28" spans="1:38" s="53" customFormat="1" ht="12.75">
      <c r="A28" s="53" t="s">
        <v>192</v>
      </c>
      <c r="B28" s="53">
        <v>24</v>
      </c>
      <c r="C28" s="53" t="s">
        <v>237</v>
      </c>
      <c r="D28" s="5">
        <v>0.1</v>
      </c>
      <c r="E28" s="51"/>
      <c r="F28" s="57">
        <v>0.012242279214135844</v>
      </c>
      <c r="G28" s="7">
        <f t="shared" si="0"/>
        <v>0.012242279214135844</v>
      </c>
      <c r="H28" s="7">
        <f t="shared" si="1"/>
        <v>0.0012242279214135846</v>
      </c>
      <c r="I28" s="51"/>
      <c r="J28" s="57">
        <v>0.004336183176100629</v>
      </c>
      <c r="K28" s="7">
        <f t="shared" si="2"/>
        <v>0.004336183176100629</v>
      </c>
      <c r="L28" s="7">
        <f t="shared" si="3"/>
        <v>0.00043361831761006296</v>
      </c>
      <c r="M28" s="51"/>
      <c r="N28" s="57">
        <v>0.008054106910039112</v>
      </c>
      <c r="O28" s="7">
        <f t="shared" si="4"/>
        <v>0.008054106910039112</v>
      </c>
      <c r="P28" s="7">
        <f t="shared" si="5"/>
        <v>0.0008054106910039112</v>
      </c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</row>
    <row r="29" spans="1:38" s="53" customFormat="1" ht="12.75">
      <c r="A29" s="53" t="s">
        <v>192</v>
      </c>
      <c r="B29" s="53">
        <v>25</v>
      </c>
      <c r="C29" s="53" t="s">
        <v>238</v>
      </c>
      <c r="D29" s="5">
        <v>0.1</v>
      </c>
      <c r="E29" s="51"/>
      <c r="F29" s="57">
        <v>0.0012242279214135844</v>
      </c>
      <c r="G29" s="7">
        <f t="shared" si="0"/>
        <v>0.0012242279214135844</v>
      </c>
      <c r="H29" s="7">
        <f t="shared" si="1"/>
        <v>0.00012242279214135844</v>
      </c>
      <c r="I29" s="51">
        <v>1</v>
      </c>
      <c r="J29" s="57">
        <v>0.0030353282232704402</v>
      </c>
      <c r="K29" s="7">
        <f t="shared" si="2"/>
        <v>0.0015176641116352201</v>
      </c>
      <c r="L29" s="7">
        <f t="shared" si="3"/>
        <v>0.00015176641116352202</v>
      </c>
      <c r="M29" s="51">
        <v>1</v>
      </c>
      <c r="N29" s="57">
        <v>0.0016108213820078224</v>
      </c>
      <c r="O29" s="7">
        <f t="shared" si="4"/>
        <v>0.0008054106910039112</v>
      </c>
      <c r="P29" s="7">
        <f t="shared" si="5"/>
        <v>8.054106910039113E-05</v>
      </c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</row>
    <row r="30" spans="1:38" s="53" customFormat="1" ht="12.75">
      <c r="A30" s="53" t="s">
        <v>192</v>
      </c>
      <c r="B30" s="53">
        <v>26</v>
      </c>
      <c r="C30" s="53" t="s">
        <v>239</v>
      </c>
      <c r="D30" s="5">
        <v>0.1</v>
      </c>
      <c r="E30" s="51"/>
      <c r="F30" s="57">
        <v>0.016323038952181124</v>
      </c>
      <c r="G30" s="7">
        <f t="shared" si="0"/>
        <v>0.016323038952181124</v>
      </c>
      <c r="H30" s="7">
        <f t="shared" si="1"/>
        <v>0.0016323038952181124</v>
      </c>
      <c r="I30" s="51"/>
      <c r="J30" s="57">
        <v>0.008672366352201259</v>
      </c>
      <c r="K30" s="7">
        <f t="shared" si="2"/>
        <v>0.008672366352201259</v>
      </c>
      <c r="L30" s="7">
        <f t="shared" si="3"/>
        <v>0.0008672366352201259</v>
      </c>
      <c r="M30" s="51"/>
      <c r="N30" s="57">
        <v>0.008054106910039112</v>
      </c>
      <c r="O30" s="7">
        <f t="shared" si="4"/>
        <v>0.008054106910039112</v>
      </c>
      <c r="P30" s="7">
        <f t="shared" si="5"/>
        <v>0.0008054106910039112</v>
      </c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</row>
    <row r="31" spans="1:38" s="53" customFormat="1" ht="12.75">
      <c r="A31" s="53" t="s">
        <v>192</v>
      </c>
      <c r="B31" s="53">
        <v>27</v>
      </c>
      <c r="C31" s="53" t="s">
        <v>240</v>
      </c>
      <c r="D31" s="5">
        <v>0</v>
      </c>
      <c r="E31" s="51"/>
      <c r="F31" s="57">
        <v>0.051825648673175</v>
      </c>
      <c r="G31" s="7">
        <f t="shared" si="0"/>
        <v>0.051825648673175</v>
      </c>
      <c r="H31" s="7">
        <f t="shared" si="1"/>
        <v>0</v>
      </c>
      <c r="I31" s="51"/>
      <c r="J31" s="57">
        <v>0.014309404481132</v>
      </c>
      <c r="K31" s="7">
        <f t="shared" si="2"/>
        <v>0.014309404481132</v>
      </c>
      <c r="L31" s="7">
        <f t="shared" si="3"/>
        <v>0</v>
      </c>
      <c r="M31" s="51"/>
      <c r="N31" s="57">
        <v>0.034632659713168173</v>
      </c>
      <c r="O31" s="7">
        <f t="shared" si="4"/>
        <v>0.034632659713168173</v>
      </c>
      <c r="P31" s="7">
        <f t="shared" si="5"/>
        <v>0</v>
      </c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</row>
    <row r="32" spans="1:38" s="53" customFormat="1" ht="12.75">
      <c r="A32" s="53" t="s">
        <v>192</v>
      </c>
      <c r="B32" s="53">
        <v>28</v>
      </c>
      <c r="C32" s="53" t="s">
        <v>241</v>
      </c>
      <c r="D32" s="5">
        <v>0</v>
      </c>
      <c r="E32" s="51"/>
      <c r="F32" s="57">
        <v>0.10609975318917732</v>
      </c>
      <c r="G32" s="7">
        <f t="shared" si="0"/>
        <v>0.10609975318917732</v>
      </c>
      <c r="H32" s="7">
        <f t="shared" si="1"/>
        <v>0</v>
      </c>
      <c r="I32" s="51"/>
      <c r="J32" s="57">
        <v>0.04336183176100629</v>
      </c>
      <c r="K32" s="7">
        <f t="shared" si="2"/>
        <v>0.04336183176100629</v>
      </c>
      <c r="L32" s="7">
        <f t="shared" si="3"/>
        <v>0</v>
      </c>
      <c r="M32" s="51"/>
      <c r="N32" s="57">
        <v>0.072486962190352</v>
      </c>
      <c r="O32" s="7">
        <f t="shared" si="4"/>
        <v>0.072486962190352</v>
      </c>
      <c r="P32" s="7">
        <f t="shared" si="5"/>
        <v>0</v>
      </c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</row>
    <row r="33" spans="1:38" s="53" customFormat="1" ht="12.75">
      <c r="A33" s="53" t="s">
        <v>192</v>
      </c>
      <c r="B33" s="53">
        <v>29</v>
      </c>
      <c r="C33" s="53" t="s">
        <v>242</v>
      </c>
      <c r="D33" s="5">
        <v>0.01</v>
      </c>
      <c r="E33" s="51"/>
      <c r="F33" s="57">
        <v>0.020403798690226405</v>
      </c>
      <c r="G33" s="7">
        <f t="shared" si="0"/>
        <v>0.020403798690226405</v>
      </c>
      <c r="H33" s="7">
        <f t="shared" si="1"/>
        <v>0.00020403798690226405</v>
      </c>
      <c r="I33" s="51"/>
      <c r="J33" s="57">
        <v>0.01300854952830189</v>
      </c>
      <c r="K33" s="7">
        <f t="shared" si="2"/>
        <v>0.01300854952830189</v>
      </c>
      <c r="L33" s="7">
        <f t="shared" si="3"/>
        <v>0.0001300854952830189</v>
      </c>
      <c r="M33" s="51"/>
      <c r="N33" s="57">
        <v>0.008054106910039112</v>
      </c>
      <c r="O33" s="7">
        <f t="shared" si="4"/>
        <v>0.008054106910039112</v>
      </c>
      <c r="P33" s="7">
        <f t="shared" si="5"/>
        <v>8.054106910039113E-05</v>
      </c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</row>
    <row r="34" spans="1:38" s="53" customFormat="1" ht="12.75">
      <c r="A34" s="53" t="s">
        <v>192</v>
      </c>
      <c r="B34" s="53">
        <v>30</v>
      </c>
      <c r="C34" s="53" t="s">
        <v>243</v>
      </c>
      <c r="D34" s="5">
        <v>0.01</v>
      </c>
      <c r="E34" s="51"/>
      <c r="F34" s="57">
        <v>0.0036726837642407535</v>
      </c>
      <c r="G34" s="7">
        <f t="shared" si="0"/>
        <v>0.0036726837642407535</v>
      </c>
      <c r="H34" s="7">
        <f t="shared" si="1"/>
        <v>3.672683764240754E-05</v>
      </c>
      <c r="I34" s="51"/>
      <c r="J34" s="57">
        <v>0.0034689465408805</v>
      </c>
      <c r="K34" s="7">
        <f t="shared" si="2"/>
        <v>0.0034689465408805</v>
      </c>
      <c r="L34" s="7">
        <f t="shared" si="3"/>
        <v>3.4689465408805E-05</v>
      </c>
      <c r="M34" s="51"/>
      <c r="N34" s="57">
        <v>0.0016108213820078224</v>
      </c>
      <c r="O34" s="7">
        <f t="shared" si="4"/>
        <v>0.0016108213820078224</v>
      </c>
      <c r="P34" s="7">
        <f t="shared" si="5"/>
        <v>1.6108213820078226E-05</v>
      </c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</row>
    <row r="35" spans="1:38" s="53" customFormat="1" ht="12.75">
      <c r="A35" s="53" t="s">
        <v>192</v>
      </c>
      <c r="B35" s="53">
        <v>31</v>
      </c>
      <c r="C35" s="53" t="s">
        <v>244</v>
      </c>
      <c r="D35" s="5">
        <v>0</v>
      </c>
      <c r="E35" s="51"/>
      <c r="F35" s="57">
        <v>0.00856959544989509</v>
      </c>
      <c r="G35" s="7">
        <f t="shared" si="0"/>
        <v>0.00856959544989509</v>
      </c>
      <c r="H35" s="7">
        <f t="shared" si="1"/>
        <v>0</v>
      </c>
      <c r="I35" s="51"/>
      <c r="J35" s="57">
        <v>0.0008672366352201234</v>
      </c>
      <c r="K35" s="7">
        <f t="shared" si="2"/>
        <v>0.0008672366352201234</v>
      </c>
      <c r="L35" s="7">
        <f t="shared" si="3"/>
        <v>0</v>
      </c>
      <c r="M35" s="51"/>
      <c r="N35" s="57">
        <v>0.0024162320730117346</v>
      </c>
      <c r="O35" s="7">
        <f t="shared" si="4"/>
        <v>0.0024162320730117346</v>
      </c>
      <c r="P35" s="7">
        <f t="shared" si="5"/>
        <v>0</v>
      </c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</row>
    <row r="36" spans="1:38" s="53" customFormat="1" ht="12.75">
      <c r="A36" s="53" t="s">
        <v>192</v>
      </c>
      <c r="B36" s="53">
        <v>32</v>
      </c>
      <c r="C36" s="53" t="s">
        <v>245</v>
      </c>
      <c r="D36" s="5">
        <v>0</v>
      </c>
      <c r="E36" s="51"/>
      <c r="F36" s="57">
        <v>0.03264607790436225</v>
      </c>
      <c r="G36" s="7">
        <f t="shared" si="0"/>
        <v>0.03264607790436225</v>
      </c>
      <c r="H36" s="7">
        <f t="shared" si="1"/>
        <v>0</v>
      </c>
      <c r="I36" s="51"/>
      <c r="J36" s="57">
        <v>0.017344732704402517</v>
      </c>
      <c r="K36" s="7">
        <f t="shared" si="2"/>
        <v>0.017344732704402517</v>
      </c>
      <c r="L36" s="7">
        <f t="shared" si="3"/>
        <v>0</v>
      </c>
      <c r="M36" s="51"/>
      <c r="N36" s="57">
        <v>0.01208116036505867</v>
      </c>
      <c r="O36" s="7">
        <f t="shared" si="4"/>
        <v>0.01208116036505867</v>
      </c>
      <c r="P36" s="7">
        <f t="shared" si="5"/>
        <v>0</v>
      </c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</row>
    <row r="37" spans="1:38" s="53" customFormat="1" ht="12.75">
      <c r="A37" s="53" t="s">
        <v>192</v>
      </c>
      <c r="B37" s="53">
        <v>33</v>
      </c>
      <c r="C37" s="53" t="s">
        <v>246</v>
      </c>
      <c r="D37" s="5">
        <v>0.001</v>
      </c>
      <c r="E37" s="51"/>
      <c r="F37" s="57">
        <v>0.012242279214135844</v>
      </c>
      <c r="G37" s="7">
        <f t="shared" si="0"/>
        <v>0.012242279214135844</v>
      </c>
      <c r="H37" s="7">
        <f t="shared" si="1"/>
        <v>1.2242279214135845E-05</v>
      </c>
      <c r="I37" s="51"/>
      <c r="J37" s="57">
        <v>0.01300854952830189</v>
      </c>
      <c r="K37" s="7">
        <f t="shared" si="2"/>
        <v>0.01300854952830189</v>
      </c>
      <c r="L37" s="7">
        <f t="shared" si="3"/>
        <v>1.300854952830189E-05</v>
      </c>
      <c r="M37" s="51"/>
      <c r="N37" s="57">
        <v>0.004027053455019556</v>
      </c>
      <c r="O37" s="7">
        <f t="shared" si="4"/>
        <v>0.004027053455019556</v>
      </c>
      <c r="P37" s="7">
        <f t="shared" si="5"/>
        <v>4.027053455019556E-06</v>
      </c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</row>
    <row r="38" spans="1:38" s="53" customFormat="1" ht="12.75">
      <c r="A38" s="53" t="s">
        <v>192</v>
      </c>
      <c r="B38" s="53">
        <v>34</v>
      </c>
      <c r="C38" s="53" t="s">
        <v>247</v>
      </c>
      <c r="D38" s="51"/>
      <c r="E38" s="51"/>
      <c r="F38" s="57">
        <v>1.97100695347587</v>
      </c>
      <c r="G38" s="57">
        <f>G37+G36+G32+G26+G22+G19+G18+G15+G10+G7</f>
        <v>1.9710069534758707</v>
      </c>
      <c r="H38" s="57"/>
      <c r="I38" s="51"/>
      <c r="J38" s="57">
        <v>0.4466268671383648</v>
      </c>
      <c r="K38" s="57">
        <f>K37+K36+K32+K26+K22+K19+K18+K15+K10+K7</f>
        <v>0.44662686713836486</v>
      </c>
      <c r="L38" s="57"/>
      <c r="M38" s="51"/>
      <c r="N38" s="57">
        <v>1.107439700130378</v>
      </c>
      <c r="O38" s="57">
        <f>O37+O36+O32+O26+O22+O19+O18+O15+O10+O7</f>
        <v>1.107439700130378</v>
      </c>
      <c r="P38" s="57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</row>
    <row r="39" spans="1:38" s="53" customFormat="1" ht="12.75">
      <c r="A39" s="53" t="s">
        <v>192</v>
      </c>
      <c r="B39" s="53">
        <v>35</v>
      </c>
      <c r="C39" s="53" t="s">
        <v>31</v>
      </c>
      <c r="D39" s="51"/>
      <c r="E39" s="67">
        <f>(F39-H39)*2/F39*100</f>
        <v>0</v>
      </c>
      <c r="F39" s="57">
        <v>0.051952152225054476</v>
      </c>
      <c r="G39" s="57"/>
      <c r="H39" s="57">
        <f>SUM(H5:H37)</f>
        <v>0.051952152225054476</v>
      </c>
      <c r="I39" s="67">
        <f>(J39-L39)*2/J39*100</f>
        <v>1.70316301703158</v>
      </c>
      <c r="J39" s="57">
        <v>0.017821712853773583</v>
      </c>
      <c r="K39" s="57"/>
      <c r="L39" s="57">
        <f>SUM(L5:L37)</f>
        <v>0.017669946442610066</v>
      </c>
      <c r="M39" s="67">
        <f>(N39-P39)*2/N39*100</f>
        <v>0.6119951040391745</v>
      </c>
      <c r="N39" s="57">
        <v>0.02632082138200782</v>
      </c>
      <c r="O39" s="57"/>
      <c r="P39" s="57">
        <f>SUM(P5:P37)</f>
        <v>0.026240280312907427</v>
      </c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</row>
  </sheetData>
  <printOptions headings="1" horizontalCentered="1"/>
  <pageMargins left="0.25" right="0.25" top="0.5" bottom="0.5" header="0.5" footer="0.25"/>
  <pageSetup horizontalDpi="300" verticalDpi="300" orientation="landscape" pageOrder="overThenDown" scale="80" r:id="rId1"/>
  <headerFooter alignWithMargins="0">
    <oddFooter>&amp;C&amp;P, &amp;A,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C30"/>
  <sheetViews>
    <sheetView workbookViewId="0" topLeftCell="B1">
      <selection activeCell="C1" sqref="C1"/>
    </sheetView>
  </sheetViews>
  <sheetFormatPr defaultColWidth="9.140625" defaultRowHeight="12.75"/>
  <cols>
    <col min="1" max="1" width="3.57421875" style="16" hidden="1" customWidth="1"/>
    <col min="2" max="2" width="32.7109375" style="16" customWidth="1"/>
    <col min="3" max="3" width="55.28125" style="16" customWidth="1"/>
    <col min="4" max="16384" width="8.8515625" style="16" customWidth="1"/>
  </cols>
  <sheetData>
    <row r="1" ht="12.75">
      <c r="B1" s="2" t="s">
        <v>86</v>
      </c>
    </row>
    <row r="3" spans="2:3" ht="12.75">
      <c r="B3" s="16" t="s">
        <v>110</v>
      </c>
      <c r="C3" s="25">
        <v>207</v>
      </c>
    </row>
    <row r="4" spans="2:3" ht="12.75">
      <c r="B4" s="16" t="s">
        <v>0</v>
      </c>
      <c r="C4" s="16" t="s">
        <v>177</v>
      </c>
    </row>
    <row r="5" spans="2:3" ht="12.75">
      <c r="B5" s="16" t="s">
        <v>1</v>
      </c>
      <c r="C5" s="16" t="s">
        <v>139</v>
      </c>
    </row>
    <row r="6" ht="12.75">
      <c r="B6" s="16" t="s">
        <v>2</v>
      </c>
    </row>
    <row r="7" spans="2:3" ht="12.75">
      <c r="B7" s="16" t="s">
        <v>3</v>
      </c>
      <c r="C7" s="16" t="s">
        <v>140</v>
      </c>
    </row>
    <row r="8" spans="2:3" ht="12.75">
      <c r="B8" s="16" t="s">
        <v>4</v>
      </c>
      <c r="C8" s="16" t="s">
        <v>141</v>
      </c>
    </row>
    <row r="9" spans="2:3" ht="12.75">
      <c r="B9" s="16" t="s">
        <v>5</v>
      </c>
      <c r="C9" s="16" t="s">
        <v>142</v>
      </c>
    </row>
    <row r="10" ht="12.75">
      <c r="B10" s="16" t="s">
        <v>6</v>
      </c>
    </row>
    <row r="11" spans="2:3" ht="12.75">
      <c r="B11" s="16" t="s">
        <v>269</v>
      </c>
      <c r="C11" s="25">
        <v>0</v>
      </c>
    </row>
    <row r="12" spans="2:3" ht="12.75">
      <c r="B12" s="16" t="s">
        <v>249</v>
      </c>
      <c r="C12" s="16" t="s">
        <v>284</v>
      </c>
    </row>
    <row r="13" spans="2:3" ht="12.75">
      <c r="B13" s="16" t="s">
        <v>248</v>
      </c>
      <c r="C13" s="16" t="s">
        <v>111</v>
      </c>
    </row>
    <row r="14" ht="12.75">
      <c r="B14" s="16" t="s">
        <v>61</v>
      </c>
    </row>
    <row r="15" spans="2:3" ht="12.75">
      <c r="B15" s="16" t="s">
        <v>79</v>
      </c>
      <c r="C15" s="25"/>
    </row>
    <row r="16" spans="2:3" ht="12.75">
      <c r="B16" s="16" t="s">
        <v>270</v>
      </c>
      <c r="C16" s="16" t="s">
        <v>112</v>
      </c>
    </row>
    <row r="17" spans="2:3" ht="12.75">
      <c r="B17" s="16" t="s">
        <v>271</v>
      </c>
      <c r="C17" s="16" t="s">
        <v>112</v>
      </c>
    </row>
    <row r="18" spans="2:3" ht="12.75">
      <c r="B18" s="16" t="s">
        <v>7</v>
      </c>
      <c r="C18" s="16" t="s">
        <v>254</v>
      </c>
    </row>
    <row r="19" spans="2:3" ht="12.75">
      <c r="B19" s="16" t="s">
        <v>87</v>
      </c>
      <c r="C19" s="16" t="s">
        <v>147</v>
      </c>
    </row>
    <row r="20" s="39" customFormat="1" ht="12.75">
      <c r="B20" s="39" t="s">
        <v>82</v>
      </c>
    </row>
    <row r="21" spans="2:3" ht="12.75">
      <c r="B21" s="16" t="s">
        <v>81</v>
      </c>
      <c r="C21" s="16" t="s">
        <v>121</v>
      </c>
    </row>
    <row r="22" ht="12.75" customHeight="1"/>
    <row r="23" ht="12.75">
      <c r="B23" s="16" t="s">
        <v>8</v>
      </c>
    </row>
    <row r="24" spans="2:3" ht="12.75">
      <c r="B24" s="16" t="s">
        <v>9</v>
      </c>
      <c r="C24" s="26">
        <v>7.832951085334646</v>
      </c>
    </row>
    <row r="25" spans="2:3" ht="12.75">
      <c r="B25" s="16" t="s">
        <v>10</v>
      </c>
      <c r="C25" s="26">
        <v>169.99170440485565</v>
      </c>
    </row>
    <row r="26" spans="2:3" ht="12.75">
      <c r="B26" s="16" t="s">
        <v>83</v>
      </c>
      <c r="C26" s="26">
        <v>9.09006703273827</v>
      </c>
    </row>
    <row r="27" spans="2:3" ht="12.75">
      <c r="B27" s="16" t="s">
        <v>84</v>
      </c>
      <c r="C27" s="26">
        <v>312.9166666666667</v>
      </c>
    </row>
    <row r="28" ht="12.75" customHeight="1"/>
    <row r="29" spans="2:3" ht="12.75">
      <c r="B29" s="16" t="s">
        <v>11</v>
      </c>
      <c r="C29" s="16" t="s">
        <v>144</v>
      </c>
    </row>
    <row r="30" spans="2:3" ht="12.75">
      <c r="B30" s="16" t="s">
        <v>109</v>
      </c>
      <c r="C30" s="16" t="s">
        <v>113</v>
      </c>
    </row>
    <row r="31" ht="12.75" customHeight="1"/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63"/>
  <sheetViews>
    <sheetView workbookViewId="0" topLeftCell="B1">
      <selection activeCell="C1" sqref="C1"/>
    </sheetView>
  </sheetViews>
  <sheetFormatPr defaultColWidth="9.140625" defaultRowHeight="12.75"/>
  <cols>
    <col min="1" max="1" width="3.00390625" style="0" hidden="1" customWidth="1"/>
    <col min="2" max="2" width="18.8515625" style="0" customWidth="1"/>
    <col min="3" max="3" width="66.7109375" style="22" customWidth="1"/>
  </cols>
  <sheetData>
    <row r="1" ht="12.75">
      <c r="B1" s="2" t="s">
        <v>260</v>
      </c>
    </row>
    <row r="3" spans="1:3" s="16" customFormat="1" ht="12.75">
      <c r="A3" s="16">
        <v>10</v>
      </c>
      <c r="B3" s="2" t="s">
        <v>145</v>
      </c>
      <c r="C3"/>
    </row>
    <row r="4" s="16" customFormat="1" ht="12.75">
      <c r="C4"/>
    </row>
    <row r="5" spans="2:3" s="39" customFormat="1" ht="25.5">
      <c r="B5" s="39" t="s">
        <v>179</v>
      </c>
      <c r="C5" s="45" t="s">
        <v>178</v>
      </c>
    </row>
    <row r="6" spans="2:3" s="16" customFormat="1" ht="12.75">
      <c r="B6" s="16" t="s">
        <v>180</v>
      </c>
      <c r="C6" t="s">
        <v>143</v>
      </c>
    </row>
    <row r="7" spans="2:3" s="16" customFormat="1" ht="12.75">
      <c r="B7" s="16" t="s">
        <v>181</v>
      </c>
      <c r="C7" t="s">
        <v>143</v>
      </c>
    </row>
    <row r="8" spans="2:3" s="16" customFormat="1" ht="12.75">
      <c r="B8" s="16" t="s">
        <v>182</v>
      </c>
      <c r="C8" s="46">
        <v>36063</v>
      </c>
    </row>
    <row r="9" spans="2:3" s="16" customFormat="1" ht="12.75">
      <c r="B9" s="16" t="s">
        <v>267</v>
      </c>
      <c r="C9" s="60">
        <v>36039</v>
      </c>
    </row>
    <row r="10" spans="2:3" s="16" customFormat="1" ht="12.75">
      <c r="B10" s="16" t="s">
        <v>183</v>
      </c>
      <c r="C10" t="s">
        <v>148</v>
      </c>
    </row>
    <row r="11" spans="2:3" s="16" customFormat="1" ht="12.75">
      <c r="B11" s="16" t="s">
        <v>184</v>
      </c>
      <c r="C11" t="s">
        <v>299</v>
      </c>
    </row>
    <row r="12" s="16" customFormat="1" ht="12.75">
      <c r="C12"/>
    </row>
    <row r="13" spans="1:3" s="16" customFormat="1" ht="12.75">
      <c r="A13" s="16">
        <v>11</v>
      </c>
      <c r="B13" s="2" t="s">
        <v>146</v>
      </c>
      <c r="C13"/>
    </row>
    <row r="14" s="16" customFormat="1" ht="12.75">
      <c r="C14"/>
    </row>
    <row r="15" spans="2:3" s="16" customFormat="1" ht="25.5">
      <c r="B15" s="39" t="s">
        <v>179</v>
      </c>
      <c r="C15" s="45" t="s">
        <v>155</v>
      </c>
    </row>
    <row r="16" spans="2:3" s="16" customFormat="1" ht="12.75">
      <c r="B16" s="16" t="s">
        <v>180</v>
      </c>
      <c r="C16" t="s">
        <v>156</v>
      </c>
    </row>
    <row r="17" spans="2:3" s="16" customFormat="1" ht="12.75">
      <c r="B17" s="16" t="s">
        <v>181</v>
      </c>
      <c r="C17" t="s">
        <v>156</v>
      </c>
    </row>
    <row r="18" spans="2:3" s="16" customFormat="1" ht="12.75">
      <c r="B18" s="16" t="s">
        <v>182</v>
      </c>
      <c r="C18" t="s">
        <v>268</v>
      </c>
    </row>
    <row r="19" spans="2:3" s="16" customFormat="1" ht="12.75">
      <c r="B19" s="16" t="s">
        <v>267</v>
      </c>
      <c r="C19" s="60">
        <v>36495</v>
      </c>
    </row>
    <row r="20" spans="2:3" s="16" customFormat="1" ht="12.75">
      <c r="B20" s="16" t="s">
        <v>183</v>
      </c>
      <c r="C20" t="s">
        <v>174</v>
      </c>
    </row>
    <row r="21" spans="2:3" s="16" customFormat="1" ht="12.75">
      <c r="B21" s="16" t="s">
        <v>184</v>
      </c>
      <c r="C21" t="s">
        <v>157</v>
      </c>
    </row>
    <row r="22" s="16" customFormat="1" ht="12.75">
      <c r="C22"/>
    </row>
    <row r="23" spans="1:3" s="16" customFormat="1" ht="12.75">
      <c r="A23" s="16">
        <v>12</v>
      </c>
      <c r="B23" s="2" t="s">
        <v>170</v>
      </c>
      <c r="C23"/>
    </row>
    <row r="24" s="16" customFormat="1" ht="12.75">
      <c r="C24"/>
    </row>
    <row r="25" spans="2:3" s="16" customFormat="1" ht="25.5">
      <c r="B25" s="39" t="s">
        <v>179</v>
      </c>
      <c r="C25" s="45" t="s">
        <v>165</v>
      </c>
    </row>
    <row r="26" spans="2:3" s="16" customFormat="1" ht="12.75">
      <c r="B26" s="16" t="s">
        <v>180</v>
      </c>
      <c r="C26" t="s">
        <v>156</v>
      </c>
    </row>
    <row r="27" spans="2:3" s="16" customFormat="1" ht="12.75">
      <c r="B27" s="16" t="s">
        <v>181</v>
      </c>
      <c r="C27" t="s">
        <v>156</v>
      </c>
    </row>
    <row r="28" spans="2:3" s="16" customFormat="1" ht="12.75">
      <c r="B28" s="16" t="s">
        <v>182</v>
      </c>
      <c r="C28" s="46">
        <v>36768</v>
      </c>
    </row>
    <row r="29" spans="2:3" s="16" customFormat="1" ht="12.75">
      <c r="B29" s="16" t="s">
        <v>267</v>
      </c>
      <c r="C29" s="60">
        <v>36739</v>
      </c>
    </row>
    <row r="30" spans="2:3" s="16" customFormat="1" ht="12.75">
      <c r="B30" s="16" t="s">
        <v>183</v>
      </c>
      <c r="C30" t="s">
        <v>166</v>
      </c>
    </row>
    <row r="31" spans="2:3" s="16" customFormat="1" ht="12.75">
      <c r="B31" s="16" t="s">
        <v>184</v>
      </c>
      <c r="C31" t="s">
        <v>167</v>
      </c>
    </row>
    <row r="32" s="16" customFormat="1" ht="12.75"/>
    <row r="33" s="16" customFormat="1" ht="12.75">
      <c r="B33" s="16" t="s">
        <v>90</v>
      </c>
    </row>
    <row r="34" s="16" customFormat="1" ht="12.75">
      <c r="B34" s="16" t="s">
        <v>114</v>
      </c>
    </row>
    <row r="35" s="16" customFormat="1" ht="12.75">
      <c r="B35" s="16" t="s">
        <v>149</v>
      </c>
    </row>
    <row r="36" s="16" customFormat="1" ht="12.75">
      <c r="B36" s="16" t="s">
        <v>150</v>
      </c>
    </row>
    <row r="38" ht="12.75">
      <c r="B38" s="2" t="s">
        <v>185</v>
      </c>
    </row>
    <row r="40" spans="2:3" ht="25.5">
      <c r="B40" s="48" t="s">
        <v>179</v>
      </c>
      <c r="C40" s="49" t="s">
        <v>186</v>
      </c>
    </row>
    <row r="41" spans="2:3" ht="12.75">
      <c r="B41" t="s">
        <v>180</v>
      </c>
      <c r="C41" s="22" t="s">
        <v>187</v>
      </c>
    </row>
    <row r="42" spans="2:3" ht="12.75">
      <c r="B42" t="s">
        <v>181</v>
      </c>
      <c r="C42" s="22" t="s">
        <v>187</v>
      </c>
    </row>
    <row r="43" spans="1:3" ht="12.75">
      <c r="A43" t="s">
        <v>185</v>
      </c>
      <c r="B43" t="s">
        <v>188</v>
      </c>
      <c r="C43" s="22" t="s">
        <v>189</v>
      </c>
    </row>
    <row r="44" ht="12.75">
      <c r="B44" s="16" t="s">
        <v>182</v>
      </c>
    </row>
    <row r="45" spans="2:3" ht="12.75">
      <c r="B45" s="16" t="s">
        <v>267</v>
      </c>
      <c r="C45" s="60">
        <v>33970</v>
      </c>
    </row>
    <row r="47" ht="12.75">
      <c r="B47" s="2" t="s">
        <v>190</v>
      </c>
    </row>
    <row r="49" spans="2:3" ht="25.5">
      <c r="B49" s="48" t="s">
        <v>179</v>
      </c>
      <c r="C49" s="49" t="s">
        <v>186</v>
      </c>
    </row>
    <row r="50" spans="2:3" ht="12.75">
      <c r="B50" t="s">
        <v>180</v>
      </c>
      <c r="C50" s="22" t="s">
        <v>187</v>
      </c>
    </row>
    <row r="51" spans="2:3" ht="12.75">
      <c r="B51" t="s">
        <v>181</v>
      </c>
      <c r="C51" s="22" t="s">
        <v>187</v>
      </c>
    </row>
    <row r="52" spans="1:3" ht="12.75">
      <c r="A52" t="s">
        <v>190</v>
      </c>
      <c r="B52" t="s">
        <v>188</v>
      </c>
      <c r="C52" s="22" t="s">
        <v>191</v>
      </c>
    </row>
    <row r="53" ht="12.75">
      <c r="B53" s="16" t="s">
        <v>182</v>
      </c>
    </row>
    <row r="54" spans="2:3" ht="12.75">
      <c r="B54" s="16" t="s">
        <v>267</v>
      </c>
      <c r="C54" s="60">
        <v>33970</v>
      </c>
    </row>
    <row r="56" ht="12.75">
      <c r="B56" s="2" t="s">
        <v>192</v>
      </c>
    </row>
    <row r="58" spans="2:3" ht="38.25">
      <c r="B58" s="48" t="s">
        <v>179</v>
      </c>
      <c r="C58" s="49" t="s">
        <v>193</v>
      </c>
    </row>
    <row r="59" spans="2:3" ht="12.75">
      <c r="B59" t="s">
        <v>180</v>
      </c>
      <c r="C59" s="22" t="s">
        <v>187</v>
      </c>
    </row>
    <row r="60" spans="2:3" ht="12.75">
      <c r="B60" t="s">
        <v>181</v>
      </c>
      <c r="C60" s="22" t="s">
        <v>187</v>
      </c>
    </row>
    <row r="61" spans="1:3" ht="12.75">
      <c r="A61" t="s">
        <v>192</v>
      </c>
      <c r="B61" t="s">
        <v>188</v>
      </c>
      <c r="C61" s="22" t="s">
        <v>194</v>
      </c>
    </row>
    <row r="62" spans="1:3" ht="12.75">
      <c r="A62" t="s">
        <v>192</v>
      </c>
      <c r="B62" s="16" t="s">
        <v>182</v>
      </c>
      <c r="C62" s="22" t="s">
        <v>195</v>
      </c>
    </row>
    <row r="63" spans="2:3" ht="12.75">
      <c r="B63" s="16" t="s">
        <v>267</v>
      </c>
      <c r="C63" s="60">
        <v>33970</v>
      </c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39"/>
  <sheetViews>
    <sheetView workbookViewId="0" topLeftCell="B32">
      <selection activeCell="M56" sqref="M56"/>
    </sheetView>
  </sheetViews>
  <sheetFormatPr defaultColWidth="9.140625" defaultRowHeight="12.75"/>
  <cols>
    <col min="1" max="1" width="4.421875" style="30" hidden="1" customWidth="1"/>
    <col min="2" max="2" width="20.7109375" style="30" customWidth="1"/>
    <col min="3" max="3" width="7.140625" style="30" customWidth="1"/>
    <col min="4" max="4" width="8.8515625" style="28" customWidth="1"/>
    <col min="5" max="5" width="5.421875" style="28" customWidth="1"/>
    <col min="6" max="6" width="3.28125" style="29" customWidth="1"/>
    <col min="7" max="7" width="9.28125" style="30" customWidth="1"/>
    <col min="8" max="8" width="3.00390625" style="29" customWidth="1"/>
    <col min="9" max="9" width="10.7109375" style="30" customWidth="1"/>
    <col min="10" max="10" width="3.28125" style="33" customWidth="1"/>
    <col min="11" max="11" width="12.140625" style="30" customWidth="1"/>
    <col min="12" max="12" width="3.8515625" style="29" customWidth="1"/>
    <col min="13" max="13" width="12.8515625" style="30" customWidth="1"/>
    <col min="14" max="16384" width="8.8515625" style="30" customWidth="1"/>
  </cols>
  <sheetData>
    <row r="1" spans="2:3" ht="12.75">
      <c r="B1" s="27" t="s">
        <v>250</v>
      </c>
      <c r="C1" s="27"/>
    </row>
    <row r="2" spans="2:11" ht="12.75">
      <c r="B2" s="16"/>
      <c r="C2" s="16"/>
      <c r="G2" s="29"/>
      <c r="I2" s="29"/>
      <c r="K2" s="29"/>
    </row>
    <row r="3" spans="2:11" ht="12.75">
      <c r="B3" s="16"/>
      <c r="C3" s="16"/>
      <c r="G3" s="29"/>
      <c r="I3" s="29"/>
      <c r="K3" s="29"/>
    </row>
    <row r="4" spans="1:13" ht="12.75">
      <c r="A4" s="30">
        <v>10</v>
      </c>
      <c r="B4" s="31" t="s">
        <v>145</v>
      </c>
      <c r="C4" s="28" t="s">
        <v>115</v>
      </c>
      <c r="G4" s="29" t="s">
        <v>122</v>
      </c>
      <c r="I4" s="29" t="s">
        <v>123</v>
      </c>
      <c r="K4" s="29" t="s">
        <v>124</v>
      </c>
      <c r="M4" s="29" t="s">
        <v>66</v>
      </c>
    </row>
    <row r="5" spans="2:11" ht="12.75">
      <c r="B5" s="31"/>
      <c r="C5" s="28"/>
      <c r="G5" s="32"/>
      <c r="I5" s="32"/>
      <c r="K5" s="32"/>
    </row>
    <row r="6" spans="2:13" ht="12.75">
      <c r="B6" s="28" t="s">
        <v>17</v>
      </c>
      <c r="C6" s="28" t="s">
        <v>261</v>
      </c>
      <c r="D6" s="28" t="s">
        <v>18</v>
      </c>
      <c r="E6" s="28" t="s">
        <v>14</v>
      </c>
      <c r="F6" s="3"/>
      <c r="G6">
        <v>0.0268</v>
      </c>
      <c r="H6" s="3"/>
      <c r="I6">
        <v>0.026</v>
      </c>
      <c r="J6" s="64"/>
      <c r="K6">
        <v>0.0299</v>
      </c>
      <c r="M6" s="34">
        <f>AVERAGE(K6,I6,G6)</f>
        <v>0.027566666666666666</v>
      </c>
    </row>
    <row r="7" spans="2:11" ht="12.75">
      <c r="B7" s="28"/>
      <c r="C7" s="28"/>
      <c r="F7" s="3"/>
      <c r="G7"/>
      <c r="H7" s="3"/>
      <c r="I7"/>
      <c r="J7" s="64"/>
      <c r="K7"/>
    </row>
    <row r="8" spans="2:13" ht="12.75">
      <c r="B8" s="28" t="s">
        <v>117</v>
      </c>
      <c r="C8" s="28" t="s">
        <v>261</v>
      </c>
      <c r="D8" s="28" t="s">
        <v>62</v>
      </c>
      <c r="E8" s="28" t="s">
        <v>14</v>
      </c>
      <c r="F8" s="3"/>
      <c r="G8">
        <v>27</v>
      </c>
      <c r="H8" s="3"/>
      <c r="I8">
        <v>28</v>
      </c>
      <c r="J8" s="64"/>
      <c r="K8">
        <v>28</v>
      </c>
      <c r="M8" s="36">
        <f>AVERAGE(K8,I8,G8)</f>
        <v>27.666666666666668</v>
      </c>
    </row>
    <row r="9" spans="2:11" ht="12.75">
      <c r="B9" s="28"/>
      <c r="C9" s="28"/>
      <c r="F9" s="3"/>
      <c r="G9"/>
      <c r="H9" s="3"/>
      <c r="I9"/>
      <c r="J9" s="64"/>
      <c r="K9"/>
    </row>
    <row r="10" spans="2:11" ht="12.75">
      <c r="B10" s="28" t="s">
        <v>19</v>
      </c>
      <c r="C10" s="28"/>
      <c r="D10" s="28" t="s">
        <v>62</v>
      </c>
      <c r="F10" s="3"/>
      <c r="G10">
        <v>2.48</v>
      </c>
      <c r="H10" s="3"/>
      <c r="I10">
        <v>8.66</v>
      </c>
      <c r="J10" s="64"/>
      <c r="K10">
        <v>11.32</v>
      </c>
    </row>
    <row r="11" spans="2:11" ht="12.75">
      <c r="B11" s="28" t="s">
        <v>64</v>
      </c>
      <c r="C11" s="28"/>
      <c r="D11" s="28" t="s">
        <v>62</v>
      </c>
      <c r="F11" s="3" t="s">
        <v>12</v>
      </c>
      <c r="G11">
        <v>0.2</v>
      </c>
      <c r="H11" s="3"/>
      <c r="I11">
        <v>0.31</v>
      </c>
      <c r="J11" s="64"/>
      <c r="K11">
        <v>0.28</v>
      </c>
    </row>
    <row r="12" spans="2:11" ht="12.75">
      <c r="B12" s="28"/>
      <c r="C12" s="28"/>
      <c r="F12" s="3"/>
      <c r="G12"/>
      <c r="H12" s="3"/>
      <c r="I12"/>
      <c r="J12" s="64"/>
      <c r="K12"/>
    </row>
    <row r="13" spans="2:13" ht="12.75">
      <c r="B13" s="28" t="s">
        <v>19</v>
      </c>
      <c r="C13" s="28" t="s">
        <v>261</v>
      </c>
      <c r="D13" s="28" t="s">
        <v>62</v>
      </c>
      <c r="E13" s="28" t="s">
        <v>14</v>
      </c>
      <c r="F13" s="3"/>
      <c r="G13" s="1">
        <f>G10*(21-7)/(21-G30)</f>
        <v>3.901123595505618</v>
      </c>
      <c r="H13" s="3"/>
      <c r="I13" s="1">
        <f>I10*(21-7)/(21-I30)</f>
        <v>13.62247191011236</v>
      </c>
      <c r="J13" s="64"/>
      <c r="K13" s="1">
        <f>K10*(21-7)/(21-K30)</f>
        <v>17.226086956521744</v>
      </c>
      <c r="M13" s="36">
        <f>AVERAGE(K13,I13,G13)</f>
        <v>11.583227487379908</v>
      </c>
    </row>
    <row r="14" spans="2:13" ht="12.75">
      <c r="B14" s="28" t="s">
        <v>64</v>
      </c>
      <c r="C14" s="28" t="s">
        <v>261</v>
      </c>
      <c r="D14" s="28" t="s">
        <v>62</v>
      </c>
      <c r="E14" s="28" t="s">
        <v>14</v>
      </c>
      <c r="F14" s="29" t="s">
        <v>12</v>
      </c>
      <c r="G14" s="1">
        <f>G11*(21-7)/(21-G30)</f>
        <v>0.3146067415730337</v>
      </c>
      <c r="H14" s="3"/>
      <c r="I14" s="1">
        <f>I11*(21-7)/(21-I30)</f>
        <v>0.48764044943820223</v>
      </c>
      <c r="J14" s="64"/>
      <c r="K14" s="1">
        <f>K11*(21-7)/(21-K30)</f>
        <v>0.4260869565217392</v>
      </c>
      <c r="M14" s="36">
        <f>AVERAGE(K14,I14,G14)</f>
        <v>0.409444715844325</v>
      </c>
    </row>
    <row r="15" spans="2:13" ht="12.75">
      <c r="B15" s="28" t="s">
        <v>262</v>
      </c>
      <c r="C15" s="28" t="s">
        <v>261</v>
      </c>
      <c r="D15" s="28" t="s">
        <v>62</v>
      </c>
      <c r="E15" s="28" t="s">
        <v>14</v>
      </c>
      <c r="F15" s="3">
        <f>2*G14/G15*100</f>
        <v>13.88888888888889</v>
      </c>
      <c r="G15" s="1">
        <f>G13+2*(G14)</f>
        <v>4.5303370786516854</v>
      </c>
      <c r="H15" s="3"/>
      <c r="I15" s="1">
        <f>I13+2*(I14)</f>
        <v>14.597752808988764</v>
      </c>
      <c r="J15" s="64"/>
      <c r="K15" s="1">
        <f>K13+2*(K14)</f>
        <v>18.078260869565224</v>
      </c>
      <c r="L15" s="71">
        <f>(F15*G15)/(3*M15)</f>
        <v>1.6911453833569237</v>
      </c>
      <c r="M15" s="36">
        <f>AVERAGE(K15,I15,G15)</f>
        <v>12.402116919068556</v>
      </c>
    </row>
    <row r="16" spans="2:11" ht="12.75">
      <c r="B16" s="28"/>
      <c r="C16" s="28"/>
      <c r="F16" s="3"/>
      <c r="G16"/>
      <c r="H16" s="3"/>
      <c r="I16"/>
      <c r="J16" s="64"/>
      <c r="K16"/>
    </row>
    <row r="17" spans="2:13" ht="12.75">
      <c r="B17" s="30" t="s">
        <v>95</v>
      </c>
      <c r="C17" s="28" t="s">
        <v>263</v>
      </c>
      <c r="D17" s="28" t="s">
        <v>65</v>
      </c>
      <c r="E17" s="28" t="s">
        <v>14</v>
      </c>
      <c r="F17" s="3"/>
      <c r="G17" s="1">
        <v>1</v>
      </c>
      <c r="H17" s="70"/>
      <c r="I17" s="1">
        <v>0.81</v>
      </c>
      <c r="J17" s="69"/>
      <c r="K17" s="1">
        <v>0.69</v>
      </c>
      <c r="M17" s="36">
        <f>AVERAGE(K17,I17,G17)</f>
        <v>0.8333333333333334</v>
      </c>
    </row>
    <row r="18" spans="2:13" ht="12.75">
      <c r="B18" s="30" t="s">
        <v>102</v>
      </c>
      <c r="C18" s="28" t="s">
        <v>263</v>
      </c>
      <c r="D18" s="28" t="s">
        <v>65</v>
      </c>
      <c r="E18" s="28" t="s">
        <v>14</v>
      </c>
      <c r="F18" s="3"/>
      <c r="G18" s="1">
        <v>96.36</v>
      </c>
      <c r="H18" s="70"/>
      <c r="I18" s="1">
        <v>147.81</v>
      </c>
      <c r="J18" s="69"/>
      <c r="K18" s="1">
        <v>176.37</v>
      </c>
      <c r="L18" s="72"/>
      <c r="M18" s="36">
        <f>AVERAGE(K18,I18,G18)</f>
        <v>140.18</v>
      </c>
    </row>
    <row r="19" spans="2:13" ht="12.75">
      <c r="B19" s="30" t="s">
        <v>97</v>
      </c>
      <c r="C19" s="28" t="s">
        <v>263</v>
      </c>
      <c r="D19" s="28" t="s">
        <v>65</v>
      </c>
      <c r="E19" s="28" t="s">
        <v>14</v>
      </c>
      <c r="F19" s="3"/>
      <c r="G19" s="1">
        <v>0.3</v>
      </c>
      <c r="H19" s="70"/>
      <c r="I19" s="1">
        <v>0.2</v>
      </c>
      <c r="J19" s="69"/>
      <c r="K19" s="1">
        <v>0.22</v>
      </c>
      <c r="L19" s="73"/>
      <c r="M19" s="36">
        <f>AVERAGE(K19,I19,G19)</f>
        <v>0.24</v>
      </c>
    </row>
    <row r="20" spans="2:13" ht="12.75">
      <c r="B20" s="30" t="s">
        <v>100</v>
      </c>
      <c r="C20" s="28" t="s">
        <v>263</v>
      </c>
      <c r="D20" s="28" t="s">
        <v>65</v>
      </c>
      <c r="E20" s="28" t="s">
        <v>14</v>
      </c>
      <c r="F20" s="3"/>
      <c r="G20" s="1">
        <v>547</v>
      </c>
      <c r="H20" s="70"/>
      <c r="I20" s="1">
        <v>778</v>
      </c>
      <c r="J20" s="69"/>
      <c r="K20" s="1">
        <v>838.6</v>
      </c>
      <c r="L20" s="73"/>
      <c r="M20" s="36">
        <f>AVERAGE(K20,I20,G20)</f>
        <v>721.1999999999999</v>
      </c>
    </row>
    <row r="21" spans="2:13" ht="12.75">
      <c r="B21" s="30" t="s">
        <v>104</v>
      </c>
      <c r="C21" s="28" t="s">
        <v>263</v>
      </c>
      <c r="D21" s="28" t="s">
        <v>65</v>
      </c>
      <c r="E21" s="28" t="s">
        <v>14</v>
      </c>
      <c r="F21" s="3"/>
      <c r="G21" s="1">
        <v>15.8</v>
      </c>
      <c r="H21" s="70"/>
      <c r="I21" s="1">
        <v>16.5</v>
      </c>
      <c r="J21" s="69"/>
      <c r="K21" s="1">
        <v>24.9</v>
      </c>
      <c r="L21" s="73"/>
      <c r="M21" s="36">
        <f>AVERAGE(K21,I21,G21)</f>
        <v>19.066666666666666</v>
      </c>
    </row>
    <row r="22" spans="2:13" ht="12.75">
      <c r="B22" s="52" t="s">
        <v>201</v>
      </c>
      <c r="C22" s="28" t="s">
        <v>263</v>
      </c>
      <c r="D22" s="28" t="s">
        <v>65</v>
      </c>
      <c r="E22" s="28" t="s">
        <v>14</v>
      </c>
      <c r="F22" s="3"/>
      <c r="G22" s="1">
        <v>0.623</v>
      </c>
      <c r="H22" s="70" t="s">
        <v>12</v>
      </c>
      <c r="I22" s="1">
        <v>0.089</v>
      </c>
      <c r="J22" s="69"/>
      <c r="K22" s="1">
        <v>0.021</v>
      </c>
      <c r="L22" s="73"/>
      <c r="M22" s="36">
        <f>AVERAGE(K22,I22/2,G22)</f>
        <v>0.2295</v>
      </c>
    </row>
    <row r="23" spans="2:13" ht="12.75">
      <c r="B23" s="30" t="s">
        <v>107</v>
      </c>
      <c r="C23" s="28" t="s">
        <v>263</v>
      </c>
      <c r="D23" s="28" t="s">
        <v>65</v>
      </c>
      <c r="E23" s="28" t="s">
        <v>14</v>
      </c>
      <c r="F23" s="3"/>
      <c r="G23" s="1">
        <v>112.4</v>
      </c>
      <c r="H23" s="70"/>
      <c r="I23" s="1">
        <v>132</v>
      </c>
      <c r="J23" s="69"/>
      <c r="K23" s="1">
        <v>147</v>
      </c>
      <c r="L23" s="73"/>
      <c r="M23" s="36">
        <f>AVERAGE(K23,I23,G23)</f>
        <v>130.46666666666667</v>
      </c>
    </row>
    <row r="24" spans="7:12" ht="12.75">
      <c r="G24" s="43"/>
      <c r="I24" s="35"/>
      <c r="K24" s="35"/>
      <c r="L24" s="73"/>
    </row>
    <row r="25" spans="2:13" ht="12.75">
      <c r="B25" s="28" t="s">
        <v>72</v>
      </c>
      <c r="C25" s="28" t="s">
        <v>263</v>
      </c>
      <c r="D25" s="28" t="s">
        <v>65</v>
      </c>
      <c r="E25" s="28" t="s">
        <v>14</v>
      </c>
      <c r="G25" s="36">
        <f>G18+G20</f>
        <v>643.36</v>
      </c>
      <c r="I25" s="36">
        <f>I18+I20</f>
        <v>925.81</v>
      </c>
      <c r="K25" s="36">
        <f>K18+K20</f>
        <v>1014.97</v>
      </c>
      <c r="M25" s="36">
        <f>AVERAGE(K25,I25,G25)</f>
        <v>861.38</v>
      </c>
    </row>
    <row r="26" spans="2:13" ht="12.75">
      <c r="B26" s="28" t="s">
        <v>73</v>
      </c>
      <c r="C26" s="28" t="s">
        <v>263</v>
      </c>
      <c r="D26" s="28" t="s">
        <v>65</v>
      </c>
      <c r="E26" s="28" t="s">
        <v>14</v>
      </c>
      <c r="G26" s="36">
        <f>G17+G19+G21</f>
        <v>17.1</v>
      </c>
      <c r="I26" s="36">
        <f>I17+I19+I21</f>
        <v>17.51</v>
      </c>
      <c r="K26" s="36">
        <f>K17+K19+K21</f>
        <v>25.81</v>
      </c>
      <c r="M26" s="36">
        <f>AVERAGE(K26,I26,G26)</f>
        <v>20.14</v>
      </c>
    </row>
    <row r="27" spans="2:13" ht="12.75">
      <c r="B27" s="28"/>
      <c r="C27" s="28"/>
      <c r="G27" s="36"/>
      <c r="I27" s="36"/>
      <c r="K27" s="36"/>
      <c r="M27" s="36"/>
    </row>
    <row r="28" spans="2:11" ht="12.75">
      <c r="B28" s="28" t="s">
        <v>94</v>
      </c>
      <c r="C28" s="28" t="s">
        <v>91</v>
      </c>
      <c r="D28" s="28" t="s">
        <v>261</v>
      </c>
      <c r="G28" s="33"/>
      <c r="I28" s="33"/>
      <c r="K28" s="33"/>
    </row>
    <row r="29" spans="2:13" ht="12.75">
      <c r="B29" s="28" t="s">
        <v>89</v>
      </c>
      <c r="C29" s="28"/>
      <c r="D29" s="28" t="s">
        <v>15</v>
      </c>
      <c r="F29" s="3"/>
      <c r="G29">
        <v>48726</v>
      </c>
      <c r="H29" s="3"/>
      <c r="I29">
        <v>49049</v>
      </c>
      <c r="J29" s="64"/>
      <c r="K29">
        <v>48011</v>
      </c>
      <c r="M29" s="42">
        <f>AVERAGE(G29,I29,K29)</f>
        <v>48595.333333333336</v>
      </c>
    </row>
    <row r="30" spans="2:13" ht="12.75">
      <c r="B30" s="28" t="s">
        <v>92</v>
      </c>
      <c r="C30" s="28"/>
      <c r="D30" s="28" t="s">
        <v>13</v>
      </c>
      <c r="F30" s="3"/>
      <c r="G30">
        <v>12.1</v>
      </c>
      <c r="H30" s="3"/>
      <c r="I30">
        <v>12.1</v>
      </c>
      <c r="J30" s="64"/>
      <c r="K30">
        <v>11.8</v>
      </c>
      <c r="M30" s="36">
        <f>AVERAGE(G30,I30,K30)</f>
        <v>12</v>
      </c>
    </row>
    <row r="31" spans="2:13" ht="12.75">
      <c r="B31" s="28" t="s">
        <v>93</v>
      </c>
      <c r="C31" s="28"/>
      <c r="D31" s="28" t="s">
        <v>13</v>
      </c>
      <c r="F31" s="3"/>
      <c r="G31">
        <v>24.1</v>
      </c>
      <c r="H31" s="3"/>
      <c r="I31">
        <v>24.6</v>
      </c>
      <c r="J31" s="64"/>
      <c r="K31">
        <v>25.1</v>
      </c>
      <c r="M31" s="36">
        <f>AVERAGE(G31,I31,K31)</f>
        <v>24.600000000000005</v>
      </c>
    </row>
    <row r="32" spans="2:13" ht="12.75">
      <c r="B32" s="28" t="s">
        <v>88</v>
      </c>
      <c r="C32" s="28"/>
      <c r="D32" s="28" t="s">
        <v>16</v>
      </c>
      <c r="F32" s="3"/>
      <c r="G32">
        <v>338</v>
      </c>
      <c r="H32" s="3"/>
      <c r="I32">
        <v>339</v>
      </c>
      <c r="J32" s="64"/>
      <c r="K32">
        <v>339</v>
      </c>
      <c r="M32" s="36">
        <f>AVERAGE(G32,I32,K32)</f>
        <v>338.6666666666667</v>
      </c>
    </row>
    <row r="33" spans="2:13" ht="12.75">
      <c r="B33" s="28"/>
      <c r="C33" s="28"/>
      <c r="F33" s="3"/>
      <c r="G33"/>
      <c r="H33" s="3"/>
      <c r="I33"/>
      <c r="J33" s="64"/>
      <c r="K33"/>
      <c r="M33" s="36"/>
    </row>
    <row r="34" spans="2:11" ht="12.75">
      <c r="B34" s="28" t="s">
        <v>94</v>
      </c>
      <c r="C34" s="28" t="s">
        <v>116</v>
      </c>
      <c r="D34" s="28" t="s">
        <v>263</v>
      </c>
      <c r="F34" s="3"/>
      <c r="G34"/>
      <c r="H34" s="3"/>
      <c r="I34"/>
      <c r="J34" s="64"/>
      <c r="K34"/>
    </row>
    <row r="35" spans="2:13" ht="12.75">
      <c r="B35" s="28" t="s">
        <v>89</v>
      </c>
      <c r="C35" s="28"/>
      <c r="D35" s="28" t="s">
        <v>15</v>
      </c>
      <c r="F35" s="3"/>
      <c r="G35">
        <v>48519</v>
      </c>
      <c r="H35" s="3"/>
      <c r="I35">
        <v>48203</v>
      </c>
      <c r="J35" s="64"/>
      <c r="K35">
        <v>48243</v>
      </c>
      <c r="M35" s="42">
        <f>AVERAGE(G35,I35,K35)</f>
        <v>48321.666666666664</v>
      </c>
    </row>
    <row r="36" spans="2:13" ht="12.75">
      <c r="B36" s="28" t="s">
        <v>92</v>
      </c>
      <c r="C36" s="28"/>
      <c r="D36" s="28" t="s">
        <v>13</v>
      </c>
      <c r="F36" s="3"/>
      <c r="G36">
        <v>12.1</v>
      </c>
      <c r="H36" s="3"/>
      <c r="I36">
        <v>12.1</v>
      </c>
      <c r="J36" s="64"/>
      <c r="K36">
        <v>11.8</v>
      </c>
      <c r="M36" s="36">
        <f>AVERAGE(G36,I36,K36)</f>
        <v>12</v>
      </c>
    </row>
    <row r="37" spans="2:13" ht="12.75">
      <c r="B37" s="28" t="s">
        <v>93</v>
      </c>
      <c r="C37" s="28"/>
      <c r="D37" s="28" t="s">
        <v>13</v>
      </c>
      <c r="F37" s="3"/>
      <c r="G37">
        <v>22.7</v>
      </c>
      <c r="H37" s="3"/>
      <c r="I37">
        <v>24.2</v>
      </c>
      <c r="J37" s="64"/>
      <c r="K37">
        <v>24.5</v>
      </c>
      <c r="M37" s="36">
        <f>AVERAGE(G37,I37,K37)</f>
        <v>23.8</v>
      </c>
    </row>
    <row r="38" spans="2:13" ht="12.75">
      <c r="B38" s="28" t="s">
        <v>88</v>
      </c>
      <c r="C38" s="28"/>
      <c r="D38" s="28" t="s">
        <v>16</v>
      </c>
      <c r="F38" s="3"/>
      <c r="G38">
        <v>338</v>
      </c>
      <c r="H38" s="3"/>
      <c r="I38">
        <v>338</v>
      </c>
      <c r="J38" s="64"/>
      <c r="K38">
        <v>341</v>
      </c>
      <c r="M38" s="36">
        <f>AVERAGE(G38,I38,K38)</f>
        <v>339</v>
      </c>
    </row>
    <row r="39" spans="2:13" ht="12.75">
      <c r="B39" s="28"/>
      <c r="C39" s="28"/>
      <c r="M39" s="36"/>
    </row>
    <row r="40" spans="1:13" ht="12.75">
      <c r="A40" s="30">
        <v>11</v>
      </c>
      <c r="B40" s="31" t="s">
        <v>146</v>
      </c>
      <c r="C40" s="28"/>
      <c r="G40" s="29" t="s">
        <v>122</v>
      </c>
      <c r="I40" s="29" t="s">
        <v>123</v>
      </c>
      <c r="K40" s="29" t="s">
        <v>124</v>
      </c>
      <c r="M40" s="29" t="s">
        <v>66</v>
      </c>
    </row>
    <row r="41" spans="2:11" ht="12.75">
      <c r="B41" s="28"/>
      <c r="C41" s="28"/>
      <c r="D41" s="16"/>
      <c r="E41" s="16"/>
      <c r="F41" s="20"/>
      <c r="G41" s="16"/>
      <c r="H41" s="20"/>
      <c r="I41" s="16"/>
      <c r="J41" s="68"/>
      <c r="K41" s="16"/>
    </row>
    <row r="42" spans="2:13" ht="12.75">
      <c r="B42" s="28" t="s">
        <v>118</v>
      </c>
      <c r="C42" s="28" t="s">
        <v>261</v>
      </c>
      <c r="D42" s="28" t="s">
        <v>62</v>
      </c>
      <c r="E42" t="s">
        <v>14</v>
      </c>
      <c r="F42" s="3"/>
      <c r="G42">
        <v>0.8</v>
      </c>
      <c r="H42" s="3"/>
      <c r="I42">
        <v>0.8</v>
      </c>
      <c r="J42" s="64"/>
      <c r="K42">
        <v>7</v>
      </c>
      <c r="M42" s="36">
        <f>AVERAGE(G42,I42,K42)</f>
        <v>2.8666666666666667</v>
      </c>
    </row>
    <row r="43" spans="2:13" ht="12.75">
      <c r="B43" s="28"/>
      <c r="C43" s="28"/>
      <c r="E43"/>
      <c r="F43" s="3"/>
      <c r="G43"/>
      <c r="H43" s="3"/>
      <c r="I43"/>
      <c r="J43" s="64"/>
      <c r="K43"/>
      <c r="M43" s="36"/>
    </row>
    <row r="44" spans="2:13" ht="12.75">
      <c r="B44" s="28" t="s">
        <v>17</v>
      </c>
      <c r="C44" s="28" t="s">
        <v>261</v>
      </c>
      <c r="D44" s="28" t="s">
        <v>18</v>
      </c>
      <c r="E44" t="s">
        <v>14</v>
      </c>
      <c r="F44" s="3"/>
      <c r="G44">
        <v>0.0124</v>
      </c>
      <c r="H44" s="3"/>
      <c r="I44">
        <v>0.0118</v>
      </c>
      <c r="J44" s="64"/>
      <c r="K44">
        <v>0.0227</v>
      </c>
      <c r="M44" s="34">
        <f>AVERAGE(G44,I44,K44)</f>
        <v>0.015633333333333332</v>
      </c>
    </row>
    <row r="45" spans="2:13" ht="12.75">
      <c r="B45" s="28"/>
      <c r="C45" s="28"/>
      <c r="E45"/>
      <c r="F45" s="3"/>
      <c r="G45"/>
      <c r="H45" s="3"/>
      <c r="I45"/>
      <c r="J45" s="64"/>
      <c r="K45"/>
      <c r="M45" s="36"/>
    </row>
    <row r="46" spans="2:13" ht="12.75">
      <c r="B46" s="28" t="s">
        <v>19</v>
      </c>
      <c r="C46" s="28"/>
      <c r="D46" s="28" t="s">
        <v>154</v>
      </c>
      <c r="E46"/>
      <c r="F46" s="3"/>
      <c r="G46">
        <v>0.225</v>
      </c>
      <c r="H46" s="3"/>
      <c r="I46">
        <v>0.359</v>
      </c>
      <c r="J46" s="64"/>
      <c r="K46">
        <v>0.366</v>
      </c>
      <c r="M46" s="36"/>
    </row>
    <row r="47" spans="2:13" ht="12.75">
      <c r="B47" s="28" t="s">
        <v>64</v>
      </c>
      <c r="C47" s="28"/>
      <c r="D47" s="28" t="s">
        <v>154</v>
      </c>
      <c r="E47"/>
      <c r="F47" s="3" t="s">
        <v>12</v>
      </c>
      <c r="G47">
        <v>0.0057</v>
      </c>
      <c r="H47" s="3"/>
      <c r="I47">
        <v>0.0051</v>
      </c>
      <c r="J47" s="64"/>
      <c r="K47">
        <v>0.0058</v>
      </c>
      <c r="M47" s="36"/>
    </row>
    <row r="48" spans="2:13" ht="12.75">
      <c r="B48" s="28"/>
      <c r="C48" s="28"/>
      <c r="E48"/>
      <c r="F48" s="3"/>
      <c r="G48"/>
      <c r="H48" s="3"/>
      <c r="I48"/>
      <c r="J48" s="64"/>
      <c r="K48"/>
      <c r="M48" s="36"/>
    </row>
    <row r="49" spans="2:13" ht="12.75">
      <c r="B49" s="28" t="s">
        <v>19</v>
      </c>
      <c r="C49" s="28" t="s">
        <v>261</v>
      </c>
      <c r="D49" s="28" t="s">
        <v>62</v>
      </c>
      <c r="E49" t="s">
        <v>14</v>
      </c>
      <c r="F49" s="3"/>
      <c r="G49" s="1">
        <f>G46/G$69/0.0283*60*(21-7)/(21-G$70)/1516*1000000</f>
        <v>8.141075433659852</v>
      </c>
      <c r="H49" s="3"/>
      <c r="I49" s="1">
        <f>I46/I$69/0.0283*60*(21-7)/(21-I$70)/1516*1000000</f>
        <v>11.80301573585934</v>
      </c>
      <c r="J49" s="64"/>
      <c r="K49" s="1">
        <f>K46/K$69/0.0283*60*(21-7)/(21-K$70)/1516*1000000</f>
        <v>12.987553669891742</v>
      </c>
      <c r="M49" s="36">
        <f>AVERAGE(G49,I49,K49)</f>
        <v>10.977214946470312</v>
      </c>
    </row>
    <row r="50" spans="2:13" ht="12.75">
      <c r="B50" s="28" t="s">
        <v>64</v>
      </c>
      <c r="C50" s="28" t="s">
        <v>261</v>
      </c>
      <c r="D50" s="28" t="s">
        <v>62</v>
      </c>
      <c r="E50" t="s">
        <v>14</v>
      </c>
      <c r="F50" s="29" t="s">
        <v>12</v>
      </c>
      <c r="G50" s="23">
        <f>G47/G$69/0.0283*60*(21-7)/(21-G$70)/2948*1000000</f>
        <v>0.10605858742249587</v>
      </c>
      <c r="I50" s="23">
        <f>I47/I$69/0.0283*60*(21-7)/(21-I$70)/2948*1000000</f>
        <v>0.08622643599869423</v>
      </c>
      <c r="J50" s="64"/>
      <c r="K50" s="23">
        <f>K47/K$69/0.0283*60*(21-7)/(21-K$70)/2948*1000000</f>
        <v>0.10583906279762155</v>
      </c>
      <c r="L50" s="71">
        <f>G50/(3*M50)*100</f>
        <v>35.57531656286669</v>
      </c>
      <c r="M50" s="36">
        <f>AVERAGE(G50,I50,K50)</f>
        <v>0.09937469540627054</v>
      </c>
    </row>
    <row r="51" spans="2:13" ht="12.75">
      <c r="B51" s="28" t="s">
        <v>262</v>
      </c>
      <c r="C51" s="28" t="s">
        <v>261</v>
      </c>
      <c r="D51" s="28" t="s">
        <v>62</v>
      </c>
      <c r="E51" t="s">
        <v>14</v>
      </c>
      <c r="F51" s="3">
        <f>2*G50/G51*100</f>
        <v>2.5393545292972606</v>
      </c>
      <c r="G51" s="1">
        <f>G49+2*G50</f>
        <v>8.353192608504843</v>
      </c>
      <c r="H51" s="3"/>
      <c r="I51" s="1">
        <f>I49+2*I50</f>
        <v>11.975468607856728</v>
      </c>
      <c r="J51" s="64"/>
      <c r="K51" s="1">
        <f>K49+2*K50</f>
        <v>13.199231795486986</v>
      </c>
      <c r="L51" s="71">
        <f>F51*G51/(3*M51)</f>
        <v>0.6326588275917928</v>
      </c>
      <c r="M51" s="36">
        <f>AVERAGE(G51,I51,K51)</f>
        <v>11.175964337282851</v>
      </c>
    </row>
    <row r="52" spans="2:13" ht="12.75">
      <c r="B52" s="28"/>
      <c r="C52" s="28"/>
      <c r="E52"/>
      <c r="F52" s="3"/>
      <c r="G52"/>
      <c r="H52" s="3"/>
      <c r="I52"/>
      <c r="J52" s="64"/>
      <c r="K52"/>
      <c r="M52" s="36"/>
    </row>
    <row r="53" spans="2:13" ht="12.75">
      <c r="B53" s="28" t="s">
        <v>131</v>
      </c>
      <c r="C53" s="28" t="s">
        <v>151</v>
      </c>
      <c r="E53"/>
      <c r="F53" s="3"/>
      <c r="G53"/>
      <c r="H53" s="3"/>
      <c r="I53"/>
      <c r="J53" s="64"/>
      <c r="K53"/>
      <c r="L53" s="3"/>
      <c r="M53"/>
    </row>
    <row r="54" spans="2:13" ht="12.75">
      <c r="B54" s="28" t="s">
        <v>132</v>
      </c>
      <c r="C54" s="28"/>
      <c r="D54" s="28" t="s">
        <v>162</v>
      </c>
      <c r="E54"/>
      <c r="F54" s="3"/>
      <c r="G54">
        <v>18</v>
      </c>
      <c r="H54" s="3"/>
      <c r="I54">
        <v>18.01</v>
      </c>
      <c r="J54" s="64"/>
      <c r="K54">
        <v>18</v>
      </c>
      <c r="L54" s="3"/>
      <c r="M54"/>
    </row>
    <row r="55" spans="2:13" ht="12.75">
      <c r="B55" s="28" t="s">
        <v>133</v>
      </c>
      <c r="C55" s="28" t="s">
        <v>261</v>
      </c>
      <c r="D55" s="28" t="s">
        <v>162</v>
      </c>
      <c r="E55"/>
      <c r="F55" s="3" t="s">
        <v>12</v>
      </c>
      <c r="G55" s="44">
        <v>0.0011</v>
      </c>
      <c r="H55" s="3" t="s">
        <v>12</v>
      </c>
      <c r="I55" s="44">
        <v>0.00106</v>
      </c>
      <c r="J55" s="64" t="s">
        <v>12</v>
      </c>
      <c r="K55" s="44">
        <v>0.00108</v>
      </c>
      <c r="L55" s="3"/>
      <c r="M55"/>
    </row>
    <row r="56" spans="2:13" ht="12.75">
      <c r="B56" s="28" t="s">
        <v>75</v>
      </c>
      <c r="C56" s="28" t="s">
        <v>261</v>
      </c>
      <c r="D56" s="28" t="s">
        <v>13</v>
      </c>
      <c r="E56"/>
      <c r="F56" s="3" t="s">
        <v>138</v>
      </c>
      <c r="G56">
        <v>99.9939</v>
      </c>
      <c r="H56" s="3" t="s">
        <v>138</v>
      </c>
      <c r="I56">
        <v>99.9941</v>
      </c>
      <c r="J56" s="64" t="s">
        <v>138</v>
      </c>
      <c r="K56">
        <v>99.994</v>
      </c>
      <c r="L56" s="3"/>
      <c r="M56"/>
    </row>
    <row r="57" spans="2:11" ht="12.75">
      <c r="B57" s="28"/>
      <c r="C57" s="28"/>
      <c r="E57"/>
      <c r="F57" s="3"/>
      <c r="G57"/>
      <c r="H57" s="3"/>
      <c r="I57"/>
      <c r="J57" s="64"/>
      <c r="K57"/>
    </row>
    <row r="58" spans="2:13" ht="12.75">
      <c r="B58" s="28" t="s">
        <v>131</v>
      </c>
      <c r="C58" s="28" t="s">
        <v>152</v>
      </c>
      <c r="E58"/>
      <c r="F58" s="3"/>
      <c r="G58"/>
      <c r="H58" s="3"/>
      <c r="I58"/>
      <c r="J58" s="64"/>
      <c r="K58"/>
      <c r="L58" s="3"/>
      <c r="M58"/>
    </row>
    <row r="59" spans="2:13" ht="12.75">
      <c r="B59" s="28" t="s">
        <v>132</v>
      </c>
      <c r="C59" s="28"/>
      <c r="D59" s="28" t="s">
        <v>162</v>
      </c>
      <c r="E59"/>
      <c r="F59" s="3"/>
      <c r="G59">
        <v>5.66</v>
      </c>
      <c r="H59" s="3"/>
      <c r="I59">
        <v>5.66</v>
      </c>
      <c r="J59" s="64"/>
      <c r="K59">
        <v>5.66</v>
      </c>
      <c r="L59" s="3"/>
      <c r="M59"/>
    </row>
    <row r="60" spans="2:13" ht="12.75">
      <c r="B60" s="28" t="s">
        <v>133</v>
      </c>
      <c r="C60" s="28" t="s">
        <v>261</v>
      </c>
      <c r="D60" s="28" t="s">
        <v>162</v>
      </c>
      <c r="E60"/>
      <c r="F60" s="3" t="s">
        <v>12</v>
      </c>
      <c r="G60" s="44">
        <v>6.12E-05</v>
      </c>
      <c r="H60" s="3" t="s">
        <v>12</v>
      </c>
      <c r="I60" s="44">
        <v>5.98E-05</v>
      </c>
      <c r="J60" s="64" t="s">
        <v>12</v>
      </c>
      <c r="K60" s="44">
        <v>5.89E-05</v>
      </c>
      <c r="L60" s="3"/>
      <c r="M60"/>
    </row>
    <row r="61" spans="2:13" ht="12.75">
      <c r="B61" s="28" t="s">
        <v>75</v>
      </c>
      <c r="C61" s="28" t="s">
        <v>261</v>
      </c>
      <c r="D61" s="28" t="s">
        <v>13</v>
      </c>
      <c r="E61"/>
      <c r="F61" s="3" t="s">
        <v>138</v>
      </c>
      <c r="G61">
        <v>99.9989</v>
      </c>
      <c r="H61" s="3" t="s">
        <v>138</v>
      </c>
      <c r="I61">
        <v>99.9989</v>
      </c>
      <c r="J61" s="64" t="s">
        <v>138</v>
      </c>
      <c r="K61">
        <v>99.999</v>
      </c>
      <c r="L61" s="3"/>
      <c r="M61"/>
    </row>
    <row r="62" spans="2:11" ht="12.75">
      <c r="B62" s="28"/>
      <c r="C62" s="28"/>
      <c r="E62"/>
      <c r="F62" s="3"/>
      <c r="G62"/>
      <c r="H62" s="3"/>
      <c r="I62"/>
      <c r="J62" s="64"/>
      <c r="K62"/>
    </row>
    <row r="63" spans="2:13" ht="12.75">
      <c r="B63" s="28" t="s">
        <v>131</v>
      </c>
      <c r="C63" s="28" t="s">
        <v>153</v>
      </c>
      <c r="E63"/>
      <c r="F63" s="3"/>
      <c r="G63"/>
      <c r="H63" s="3"/>
      <c r="I63"/>
      <c r="J63" s="64"/>
      <c r="K63"/>
      <c r="L63" s="3"/>
      <c r="M63"/>
    </row>
    <row r="64" spans="2:13" ht="12.75">
      <c r="B64" s="28" t="s">
        <v>132</v>
      </c>
      <c r="C64" s="28"/>
      <c r="D64" s="28" t="s">
        <v>162</v>
      </c>
      <c r="E64"/>
      <c r="F64" s="3"/>
      <c r="G64">
        <v>5.53</v>
      </c>
      <c r="H64" s="3"/>
      <c r="I64">
        <v>5.53</v>
      </c>
      <c r="J64" s="64"/>
      <c r="K64">
        <v>5.53</v>
      </c>
      <c r="L64" s="3"/>
      <c r="M64"/>
    </row>
    <row r="65" spans="2:13" ht="12.75">
      <c r="B65" s="28" t="s">
        <v>133</v>
      </c>
      <c r="C65" s="28" t="s">
        <v>261</v>
      </c>
      <c r="D65" s="28" t="s">
        <v>162</v>
      </c>
      <c r="E65"/>
      <c r="F65" s="3" t="s">
        <v>12</v>
      </c>
      <c r="G65" s="44">
        <v>6.12E-05</v>
      </c>
      <c r="H65" s="3" t="s">
        <v>12</v>
      </c>
      <c r="I65" s="44">
        <v>5.98E-05</v>
      </c>
      <c r="J65" s="64" t="s">
        <v>12</v>
      </c>
      <c r="K65" s="44">
        <v>5.89E-05</v>
      </c>
      <c r="L65" s="3"/>
      <c r="M65"/>
    </row>
    <row r="66" spans="2:13" ht="12.75">
      <c r="B66" s="28" t="s">
        <v>75</v>
      </c>
      <c r="C66" s="28" t="s">
        <v>261</v>
      </c>
      <c r="D66" s="28" t="s">
        <v>13</v>
      </c>
      <c r="E66"/>
      <c r="F66" s="3" t="s">
        <v>138</v>
      </c>
      <c r="G66">
        <v>99.9989</v>
      </c>
      <c r="H66" s="3" t="s">
        <v>138</v>
      </c>
      <c r="I66">
        <v>99.9989</v>
      </c>
      <c r="J66" s="64" t="s">
        <v>138</v>
      </c>
      <c r="K66" s="44">
        <v>99.9989</v>
      </c>
      <c r="L66" s="3"/>
      <c r="M66"/>
    </row>
    <row r="67" spans="2:11" ht="12.75">
      <c r="B67" s="28"/>
      <c r="C67" s="28"/>
      <c r="E67"/>
      <c r="F67" s="3"/>
      <c r="G67"/>
      <c r="H67" s="3"/>
      <c r="I67"/>
      <c r="J67" s="64"/>
      <c r="K67"/>
    </row>
    <row r="68" spans="2:11" ht="12.75">
      <c r="B68" s="28" t="s">
        <v>94</v>
      </c>
      <c r="C68" s="28" t="s">
        <v>91</v>
      </c>
      <c r="D68" s="28" t="s">
        <v>261</v>
      </c>
      <c r="E68"/>
      <c r="F68" s="3"/>
      <c r="G68"/>
      <c r="H68" s="3"/>
      <c r="I68"/>
      <c r="J68" s="64"/>
      <c r="K68"/>
    </row>
    <row r="69" spans="2:13" ht="12.75">
      <c r="B69" s="28" t="s">
        <v>89</v>
      </c>
      <c r="C69" s="28"/>
      <c r="D69" s="28" t="s">
        <v>15</v>
      </c>
      <c r="E69"/>
      <c r="F69" s="3"/>
      <c r="G69">
        <v>47054</v>
      </c>
      <c r="H69" s="3"/>
      <c r="I69">
        <v>50899</v>
      </c>
      <c r="J69" s="64"/>
      <c r="K69">
        <v>48828</v>
      </c>
      <c r="M69" s="36">
        <f>AVERAGE(G69,I69,K69)</f>
        <v>48927</v>
      </c>
    </row>
    <row r="70" spans="2:13" ht="12.75">
      <c r="B70" s="28" t="s">
        <v>92</v>
      </c>
      <c r="C70" s="28"/>
      <c r="D70" s="28" t="s">
        <v>13</v>
      </c>
      <c r="E70"/>
      <c r="F70" s="3"/>
      <c r="G70">
        <v>9.5</v>
      </c>
      <c r="H70" s="3"/>
      <c r="I70">
        <v>9.3</v>
      </c>
      <c r="J70" s="64"/>
      <c r="K70">
        <v>9.7</v>
      </c>
      <c r="M70" s="36">
        <f>AVERAGE(G70,I70,K70)</f>
        <v>9.5</v>
      </c>
    </row>
    <row r="71" spans="2:13" ht="12.75">
      <c r="B71" s="28" t="s">
        <v>93</v>
      </c>
      <c r="C71" s="28"/>
      <c r="D71" s="28" t="s">
        <v>13</v>
      </c>
      <c r="E71"/>
      <c r="F71" s="3"/>
      <c r="G71">
        <v>21.3</v>
      </c>
      <c r="H71" s="3"/>
      <c r="I71">
        <v>20.8</v>
      </c>
      <c r="J71" s="64"/>
      <c r="K71">
        <v>22.4</v>
      </c>
      <c r="M71" s="36">
        <f>AVERAGE(G71,I71,K71)</f>
        <v>21.5</v>
      </c>
    </row>
    <row r="72" spans="2:13" ht="12.75">
      <c r="B72" s="28" t="s">
        <v>88</v>
      </c>
      <c r="C72" s="28"/>
      <c r="D72" s="28" t="s">
        <v>16</v>
      </c>
      <c r="E72"/>
      <c r="F72" s="3"/>
      <c r="G72">
        <v>259</v>
      </c>
      <c r="H72" s="3"/>
      <c r="I72">
        <v>253</v>
      </c>
      <c r="J72" s="64"/>
      <c r="K72">
        <v>238</v>
      </c>
      <c r="M72" s="36">
        <f>AVERAGE(G72,I72,K72)</f>
        <v>250</v>
      </c>
    </row>
    <row r="73" spans="2:13" ht="12.75">
      <c r="B73" s="28"/>
      <c r="C73" s="28"/>
      <c r="E73"/>
      <c r="F73" s="3"/>
      <c r="G73"/>
      <c r="H73" s="3"/>
      <c r="I73"/>
      <c r="J73" s="64"/>
      <c r="K73"/>
      <c r="M73" s="36"/>
    </row>
    <row r="74" spans="2:11" ht="12.75">
      <c r="B74" s="28" t="s">
        <v>94</v>
      </c>
      <c r="C74" s="28" t="s">
        <v>163</v>
      </c>
      <c r="D74" s="28" t="s">
        <v>263</v>
      </c>
      <c r="E74"/>
      <c r="F74" s="3"/>
      <c r="G74"/>
      <c r="H74" s="3"/>
      <c r="I74"/>
      <c r="J74" s="64"/>
      <c r="K74"/>
    </row>
    <row r="75" spans="2:13" ht="12.75">
      <c r="B75" s="28" t="s">
        <v>89</v>
      </c>
      <c r="C75" s="28"/>
      <c r="D75" s="28" t="s">
        <v>15</v>
      </c>
      <c r="E75"/>
      <c r="F75" s="3"/>
      <c r="G75">
        <v>55590</v>
      </c>
      <c r="H75" s="3"/>
      <c r="I75">
        <v>55562</v>
      </c>
      <c r="J75" s="64"/>
      <c r="K75">
        <v>56340</v>
      </c>
      <c r="M75" s="36">
        <f>AVERAGE(G75,I75,K75)</f>
        <v>55830.666666666664</v>
      </c>
    </row>
    <row r="76" spans="2:13" ht="12.75">
      <c r="B76" s="28" t="s">
        <v>92</v>
      </c>
      <c r="C76" s="28"/>
      <c r="D76" s="28" t="s">
        <v>13</v>
      </c>
      <c r="E76"/>
      <c r="F76" s="3"/>
      <c r="G76">
        <v>9.7</v>
      </c>
      <c r="H76" s="3"/>
      <c r="I76">
        <v>9.5</v>
      </c>
      <c r="J76" s="64"/>
      <c r="K76">
        <v>9.9</v>
      </c>
      <c r="M76" s="36">
        <f>AVERAGE(G76,I76,K76)</f>
        <v>9.700000000000001</v>
      </c>
    </row>
    <row r="77" spans="2:13" ht="12.75">
      <c r="B77" s="28" t="s">
        <v>93</v>
      </c>
      <c r="C77" s="28"/>
      <c r="D77" s="28" t="s">
        <v>13</v>
      </c>
      <c r="E77"/>
      <c r="F77" s="3"/>
      <c r="G77">
        <v>21.8</v>
      </c>
      <c r="H77" s="3"/>
      <c r="I77">
        <v>20.7</v>
      </c>
      <c r="J77" s="64"/>
      <c r="K77">
        <v>21.9</v>
      </c>
      <c r="M77" s="36">
        <f>AVERAGE(G77,I77,K77)</f>
        <v>21.46666666666667</v>
      </c>
    </row>
    <row r="78" spans="2:13" ht="12.75">
      <c r="B78" s="28" t="s">
        <v>88</v>
      </c>
      <c r="C78" s="28"/>
      <c r="D78" s="28" t="s">
        <v>16</v>
      </c>
      <c r="E78"/>
      <c r="F78" s="3"/>
      <c r="G78">
        <v>258</v>
      </c>
      <c r="H78" s="3"/>
      <c r="I78">
        <v>252</v>
      </c>
      <c r="J78" s="64"/>
      <c r="K78">
        <v>237</v>
      </c>
      <c r="M78" s="36">
        <f>AVERAGE(G78,I78,K78)</f>
        <v>249</v>
      </c>
    </row>
    <row r="79" spans="2:11" ht="12.75">
      <c r="B79" s="28"/>
      <c r="C79" s="28"/>
      <c r="E79"/>
      <c r="F79" s="3"/>
      <c r="G79"/>
      <c r="H79" s="3"/>
      <c r="I79"/>
      <c r="J79" s="64"/>
      <c r="K79"/>
    </row>
    <row r="80" spans="2:11" ht="12.75">
      <c r="B80" s="28" t="s">
        <v>94</v>
      </c>
      <c r="C80" s="28" t="s">
        <v>302</v>
      </c>
      <c r="D80" s="28" t="s">
        <v>264</v>
      </c>
      <c r="E80"/>
      <c r="F80" s="3"/>
      <c r="G80"/>
      <c r="H80" s="3"/>
      <c r="I80"/>
      <c r="J80" s="64"/>
      <c r="K80"/>
    </row>
    <row r="81" spans="2:13" ht="12.75">
      <c r="B81" s="28" t="s">
        <v>89</v>
      </c>
      <c r="C81" s="28"/>
      <c r="D81" s="28" t="s">
        <v>15</v>
      </c>
      <c r="E81"/>
      <c r="F81" s="3"/>
      <c r="G81">
        <v>47930</v>
      </c>
      <c r="H81" s="3"/>
      <c r="I81">
        <v>50427</v>
      </c>
      <c r="J81" s="64"/>
      <c r="K81">
        <v>48619</v>
      </c>
      <c r="M81" s="36">
        <f>AVERAGE(G81,I81,K81)</f>
        <v>48992</v>
      </c>
    </row>
    <row r="82" spans="2:13" ht="12.75">
      <c r="B82" s="28" t="s">
        <v>92</v>
      </c>
      <c r="C82" s="28"/>
      <c r="D82" s="28" t="s">
        <v>13</v>
      </c>
      <c r="E82"/>
      <c r="F82" s="3"/>
      <c r="G82">
        <v>9.5</v>
      </c>
      <c r="H82" s="3"/>
      <c r="I82">
        <v>9.3</v>
      </c>
      <c r="J82" s="64"/>
      <c r="K82">
        <v>9.7</v>
      </c>
      <c r="M82" s="36">
        <f>AVERAGE(G82,I82,K82)</f>
        <v>9.5</v>
      </c>
    </row>
    <row r="83" spans="2:13" ht="12.75">
      <c r="B83" s="28" t="s">
        <v>93</v>
      </c>
      <c r="C83" s="28"/>
      <c r="D83" s="28" t="s">
        <v>13</v>
      </c>
      <c r="E83"/>
      <c r="F83" s="3"/>
      <c r="G83">
        <v>21.1</v>
      </c>
      <c r="H83" s="3"/>
      <c r="I83">
        <v>20.5</v>
      </c>
      <c r="J83" s="64"/>
      <c r="K83">
        <v>22.1</v>
      </c>
      <c r="M83" s="36">
        <f>AVERAGE(G83,I83,K83)</f>
        <v>21.233333333333334</v>
      </c>
    </row>
    <row r="84" spans="2:13" ht="12.75">
      <c r="B84" s="28" t="s">
        <v>88</v>
      </c>
      <c r="C84" s="28"/>
      <c r="D84" s="28" t="s">
        <v>16</v>
      </c>
      <c r="E84"/>
      <c r="F84" s="3"/>
      <c r="G84">
        <v>260</v>
      </c>
      <c r="H84" s="3"/>
      <c r="I84">
        <v>253</v>
      </c>
      <c r="J84" s="64"/>
      <c r="K84">
        <v>237</v>
      </c>
      <c r="M84" s="36">
        <f>AVERAGE(G84,I84,K84)</f>
        <v>250</v>
      </c>
    </row>
    <row r="85" spans="2:11" ht="12.75">
      <c r="B85" s="28"/>
      <c r="C85" s="28"/>
      <c r="E85"/>
      <c r="F85" s="3"/>
      <c r="G85"/>
      <c r="H85" s="3"/>
      <c r="I85"/>
      <c r="J85" s="64"/>
      <c r="K85"/>
    </row>
    <row r="86" spans="2:13" ht="12.75">
      <c r="B86" s="28" t="s">
        <v>99</v>
      </c>
      <c r="C86" s="28" t="s">
        <v>264</v>
      </c>
      <c r="D86" s="28" t="s">
        <v>65</v>
      </c>
      <c r="E86" t="s">
        <v>14</v>
      </c>
      <c r="F86" s="3"/>
      <c r="G86">
        <v>3.24</v>
      </c>
      <c r="H86" s="3"/>
      <c r="I86">
        <v>3.81</v>
      </c>
      <c r="J86" s="64"/>
      <c r="K86">
        <v>2.09</v>
      </c>
      <c r="M86" s="36">
        <f aca="true" t="shared" si="0" ref="M86:M97">AVERAGE(G86,I86,K86)</f>
        <v>3.046666666666667</v>
      </c>
    </row>
    <row r="87" spans="2:13" ht="12.75">
      <c r="B87" s="28" t="s">
        <v>95</v>
      </c>
      <c r="C87" s="28" t="s">
        <v>264</v>
      </c>
      <c r="D87" s="28" t="s">
        <v>65</v>
      </c>
      <c r="E87" t="s">
        <v>14</v>
      </c>
      <c r="F87" s="3" t="s">
        <v>12</v>
      </c>
      <c r="G87">
        <v>3.72</v>
      </c>
      <c r="H87" s="3"/>
      <c r="I87">
        <v>0.57</v>
      </c>
      <c r="J87" s="64"/>
      <c r="K87">
        <v>0.1</v>
      </c>
      <c r="L87" s="29">
        <f>G87/(3*M87)*100</f>
        <v>84.73804100227792</v>
      </c>
      <c r="M87" s="36">
        <f t="shared" si="0"/>
        <v>1.4633333333333332</v>
      </c>
    </row>
    <row r="88" spans="2:13" ht="12.75">
      <c r="B88" s="28" t="s">
        <v>97</v>
      </c>
      <c r="C88" s="28" t="s">
        <v>264</v>
      </c>
      <c r="D88" s="28" t="s">
        <v>65</v>
      </c>
      <c r="E88" t="s">
        <v>14</v>
      </c>
      <c r="F88" s="3" t="s">
        <v>12</v>
      </c>
      <c r="G88">
        <v>0.053</v>
      </c>
      <c r="H88" s="3"/>
      <c r="I88">
        <v>0.036</v>
      </c>
      <c r="J88" s="64"/>
      <c r="K88">
        <v>0.08</v>
      </c>
      <c r="L88" s="29">
        <f>G88/(3*M88)*100</f>
        <v>31.360946745562135</v>
      </c>
      <c r="M88" s="36">
        <f t="shared" si="0"/>
        <v>0.056333333333333326</v>
      </c>
    </row>
    <row r="89" spans="2:13" ht="12.75">
      <c r="B89" s="28" t="s">
        <v>102</v>
      </c>
      <c r="C89" s="28" t="s">
        <v>264</v>
      </c>
      <c r="D89" s="28" t="s">
        <v>65</v>
      </c>
      <c r="E89" t="s">
        <v>14</v>
      </c>
      <c r="F89" s="3"/>
      <c r="G89">
        <v>1.78</v>
      </c>
      <c r="H89" s="3"/>
      <c r="I89">
        <v>1.91</v>
      </c>
      <c r="J89" s="64"/>
      <c r="K89">
        <v>1.15</v>
      </c>
      <c r="M89" s="36">
        <f t="shared" si="0"/>
        <v>1.6133333333333333</v>
      </c>
    </row>
    <row r="90" spans="2:13" ht="12.75">
      <c r="B90" s="28" t="s">
        <v>104</v>
      </c>
      <c r="C90" s="28" t="s">
        <v>264</v>
      </c>
      <c r="D90" s="28" t="s">
        <v>65</v>
      </c>
      <c r="E90" t="s">
        <v>14</v>
      </c>
      <c r="F90" s="3"/>
      <c r="G90">
        <v>67.56</v>
      </c>
      <c r="H90" s="3"/>
      <c r="I90">
        <v>42.87</v>
      </c>
      <c r="J90" s="64"/>
      <c r="K90">
        <v>248.91</v>
      </c>
      <c r="M90" s="36">
        <f t="shared" si="0"/>
        <v>119.78000000000002</v>
      </c>
    </row>
    <row r="91" spans="2:13" ht="12.75">
      <c r="B91" s="28" t="s">
        <v>107</v>
      </c>
      <c r="C91" s="28" t="s">
        <v>264</v>
      </c>
      <c r="D91" s="28" t="s">
        <v>65</v>
      </c>
      <c r="E91" t="s">
        <v>14</v>
      </c>
      <c r="F91" s="3"/>
      <c r="G91">
        <v>1.87</v>
      </c>
      <c r="H91" s="3"/>
      <c r="I91">
        <v>2.76</v>
      </c>
      <c r="J91" s="64"/>
      <c r="K91">
        <v>1.08</v>
      </c>
      <c r="M91" s="36">
        <f t="shared" si="0"/>
        <v>1.9033333333333333</v>
      </c>
    </row>
    <row r="92" spans="2:13" ht="12.75">
      <c r="B92" s="28" t="s">
        <v>100</v>
      </c>
      <c r="C92" s="28" t="s">
        <v>264</v>
      </c>
      <c r="D92" s="28" t="s">
        <v>65</v>
      </c>
      <c r="E92" t="s">
        <v>14</v>
      </c>
      <c r="F92" s="3"/>
      <c r="G92">
        <v>41.52</v>
      </c>
      <c r="H92" s="3"/>
      <c r="I92">
        <v>45.84</v>
      </c>
      <c r="J92" s="64"/>
      <c r="K92">
        <v>44.53</v>
      </c>
      <c r="M92" s="36">
        <f t="shared" si="0"/>
        <v>43.96333333333334</v>
      </c>
    </row>
    <row r="93" spans="2:13" ht="12.75">
      <c r="B93" s="28" t="s">
        <v>101</v>
      </c>
      <c r="C93" s="28" t="s">
        <v>264</v>
      </c>
      <c r="D93" s="28" t="s">
        <v>65</v>
      </c>
      <c r="E93" t="s">
        <v>14</v>
      </c>
      <c r="F93" s="3"/>
      <c r="G93">
        <v>40</v>
      </c>
      <c r="H93" s="3"/>
      <c r="I93">
        <v>22.11</v>
      </c>
      <c r="J93" s="64"/>
      <c r="K93">
        <v>123.71</v>
      </c>
      <c r="M93" s="36">
        <f t="shared" si="0"/>
        <v>61.94</v>
      </c>
    </row>
    <row r="94" spans="2:13" ht="12.75">
      <c r="B94" s="28" t="s">
        <v>135</v>
      </c>
      <c r="C94" s="28" t="s">
        <v>264</v>
      </c>
      <c r="D94" s="28" t="s">
        <v>65</v>
      </c>
      <c r="E94" t="s">
        <v>14</v>
      </c>
      <c r="F94" s="3" t="s">
        <v>12</v>
      </c>
      <c r="G94">
        <v>5.34</v>
      </c>
      <c r="H94" s="3" t="s">
        <v>12</v>
      </c>
      <c r="I94">
        <v>4.86</v>
      </c>
      <c r="J94" s="64" t="s">
        <v>12</v>
      </c>
      <c r="K94">
        <v>5.13</v>
      </c>
      <c r="L94" s="29">
        <v>100</v>
      </c>
      <c r="M94" s="36">
        <f t="shared" si="0"/>
        <v>5.109999999999999</v>
      </c>
    </row>
    <row r="95" spans="2:13" ht="12.75">
      <c r="B95" s="28" t="s">
        <v>98</v>
      </c>
      <c r="C95" s="28" t="s">
        <v>264</v>
      </c>
      <c r="D95" s="28" t="s">
        <v>65</v>
      </c>
      <c r="E95" t="s">
        <v>14</v>
      </c>
      <c r="F95" s="3" t="s">
        <v>12</v>
      </c>
      <c r="G95">
        <v>3.19</v>
      </c>
      <c r="H95" s="3" t="s">
        <v>12</v>
      </c>
      <c r="I95">
        <v>2.91</v>
      </c>
      <c r="J95" s="64" t="s">
        <v>12</v>
      </c>
      <c r="K95">
        <v>3.04</v>
      </c>
      <c r="L95" s="29">
        <v>100</v>
      </c>
      <c r="M95" s="36">
        <f t="shared" si="0"/>
        <v>3.046666666666667</v>
      </c>
    </row>
    <row r="96" spans="2:13" ht="12.75">
      <c r="B96" s="28" t="s">
        <v>72</v>
      </c>
      <c r="C96" s="28" t="s">
        <v>264</v>
      </c>
      <c r="D96" s="28" t="s">
        <v>65</v>
      </c>
      <c r="E96" t="s">
        <v>14</v>
      </c>
      <c r="F96" s="3"/>
      <c r="G96">
        <f>G89+G92</f>
        <v>43.300000000000004</v>
      </c>
      <c r="H96" s="3"/>
      <c r="I96">
        <f>I89+I92</f>
        <v>47.75</v>
      </c>
      <c r="J96" s="64"/>
      <c r="K96">
        <f>K89+K92</f>
        <v>45.68</v>
      </c>
      <c r="M96" s="36">
        <f t="shared" si="0"/>
        <v>45.576666666666675</v>
      </c>
    </row>
    <row r="97" spans="2:13" ht="12.75">
      <c r="B97" s="28" t="s">
        <v>73</v>
      </c>
      <c r="C97" s="28" t="s">
        <v>264</v>
      </c>
      <c r="D97" s="28" t="s">
        <v>65</v>
      </c>
      <c r="E97" t="s">
        <v>14</v>
      </c>
      <c r="F97" s="3">
        <f>(G87+G88)/G97*100</f>
        <v>5.289277052696508</v>
      </c>
      <c r="G97" s="1">
        <f>G90+G87+G88</f>
        <v>71.333</v>
      </c>
      <c r="H97" s="3"/>
      <c r="I97" s="1">
        <f>I90+I87+I88</f>
        <v>43.476</v>
      </c>
      <c r="J97" s="64"/>
      <c r="K97" s="1">
        <f>K90+K87+K88</f>
        <v>249.09</v>
      </c>
      <c r="L97" s="29">
        <f>(F97*G97)/(3*M97)</f>
        <v>1.036826152311493</v>
      </c>
      <c r="M97" s="36">
        <f t="shared" si="0"/>
        <v>121.29966666666667</v>
      </c>
    </row>
    <row r="99" spans="1:13" ht="12.75">
      <c r="A99" s="30">
        <v>12</v>
      </c>
      <c r="B99" s="31" t="s">
        <v>170</v>
      </c>
      <c r="C99" s="28" t="s">
        <v>168</v>
      </c>
      <c r="G99" s="29" t="s">
        <v>122</v>
      </c>
      <c r="I99" s="29" t="s">
        <v>123</v>
      </c>
      <c r="K99" s="29" t="s">
        <v>124</v>
      </c>
      <c r="M99" s="29" t="s">
        <v>66</v>
      </c>
    </row>
    <row r="100" spans="2:11" ht="12.75">
      <c r="B100" s="31"/>
      <c r="C100" s="28"/>
      <c r="G100" s="32"/>
      <c r="I100" s="32"/>
      <c r="K100" s="32"/>
    </row>
    <row r="101" spans="2:13" ht="12.75">
      <c r="B101" s="28" t="s">
        <v>17</v>
      </c>
      <c r="C101" s="28" t="s">
        <v>261</v>
      </c>
      <c r="D101" s="28" t="s">
        <v>18</v>
      </c>
      <c r="E101" s="28" t="s">
        <v>14</v>
      </c>
      <c r="F101" s="3"/>
      <c r="G101">
        <v>0.0274</v>
      </c>
      <c r="H101" s="3"/>
      <c r="I101">
        <v>0.041</v>
      </c>
      <c r="J101" s="64"/>
      <c r="K101">
        <v>0.0209</v>
      </c>
      <c r="M101" s="34">
        <f>AVERAGE(K101,I101,G101)</f>
        <v>0.029766666666666663</v>
      </c>
    </row>
    <row r="102" spans="2:11" ht="12.75">
      <c r="B102" s="28"/>
      <c r="C102" s="28"/>
      <c r="F102" s="3"/>
      <c r="G102"/>
      <c r="H102" s="3"/>
      <c r="I102"/>
      <c r="J102" s="64"/>
      <c r="K102"/>
    </row>
    <row r="103" spans="2:13" ht="12.75">
      <c r="B103" s="28" t="s">
        <v>117</v>
      </c>
      <c r="C103" s="28" t="s">
        <v>263</v>
      </c>
      <c r="D103" s="28" t="s">
        <v>62</v>
      </c>
      <c r="E103" s="28" t="s">
        <v>14</v>
      </c>
      <c r="F103" s="3"/>
      <c r="G103">
        <v>26.7</v>
      </c>
      <c r="H103" s="3"/>
      <c r="I103">
        <v>27.2</v>
      </c>
      <c r="J103" s="64"/>
      <c r="K103">
        <v>31.5</v>
      </c>
      <c r="M103" s="36">
        <f>AVERAGE(K103,I103,G103)</f>
        <v>28.46666666666667</v>
      </c>
    </row>
    <row r="104" spans="2:11" ht="12.75">
      <c r="B104" s="28"/>
      <c r="C104" s="28"/>
      <c r="F104" s="3"/>
      <c r="G104"/>
      <c r="H104" s="3"/>
      <c r="I104"/>
      <c r="J104" s="64"/>
      <c r="K104"/>
    </row>
    <row r="105" spans="2:11" ht="12.75">
      <c r="B105" s="28" t="s">
        <v>19</v>
      </c>
      <c r="C105" s="28"/>
      <c r="D105" s="28" t="s">
        <v>62</v>
      </c>
      <c r="E105" s="28" t="s">
        <v>169</v>
      </c>
      <c r="F105" s="3"/>
      <c r="G105">
        <v>3.71</v>
      </c>
      <c r="H105" s="3"/>
      <c r="I105">
        <v>15.57</v>
      </c>
      <c r="J105" s="64"/>
      <c r="K105">
        <v>9.15</v>
      </c>
    </row>
    <row r="106" spans="2:11" ht="12.75">
      <c r="B106" s="28" t="s">
        <v>64</v>
      </c>
      <c r="C106" s="28"/>
      <c r="D106" s="28" t="s">
        <v>62</v>
      </c>
      <c r="E106" s="28" t="s">
        <v>169</v>
      </c>
      <c r="F106" s="3"/>
      <c r="G106">
        <v>0.12</v>
      </c>
      <c r="H106" s="3" t="s">
        <v>12</v>
      </c>
      <c r="I106">
        <v>0.1</v>
      </c>
      <c r="J106" s="64" t="s">
        <v>12</v>
      </c>
      <c r="K106">
        <v>0.06</v>
      </c>
    </row>
    <row r="107" spans="2:11" ht="12.75">
      <c r="B107" s="28"/>
      <c r="C107" s="28"/>
      <c r="F107" s="3"/>
      <c r="G107"/>
      <c r="H107" s="3"/>
      <c r="I107"/>
      <c r="J107" s="64"/>
      <c r="K107"/>
    </row>
    <row r="108" spans="2:13" ht="12.75">
      <c r="B108" s="28" t="s">
        <v>19</v>
      </c>
      <c r="C108" s="28" t="s">
        <v>261</v>
      </c>
      <c r="D108" s="28" t="s">
        <v>62</v>
      </c>
      <c r="E108" s="28" t="s">
        <v>14</v>
      </c>
      <c r="F108" s="3"/>
      <c r="G108" s="1">
        <f>G105*(21-7)/(21-G125)</f>
        <v>6.574683544303797</v>
      </c>
      <c r="H108" s="3"/>
      <c r="I108" s="1">
        <f>I105*(21-7)/(21-I125)</f>
        <v>26.911111111111115</v>
      </c>
      <c r="J108" s="64"/>
      <c r="K108" s="1">
        <f>K105*(21-7)/(21-K125)</f>
        <v>15.249999999999998</v>
      </c>
      <c r="M108" s="36">
        <f>AVERAGE(K108,I108,G108)</f>
        <v>16.2452648851383</v>
      </c>
    </row>
    <row r="109" spans="2:13" ht="12.75">
      <c r="B109" s="28" t="s">
        <v>64</v>
      </c>
      <c r="C109" s="28" t="s">
        <v>261</v>
      </c>
      <c r="D109" s="28" t="s">
        <v>62</v>
      </c>
      <c r="E109" s="28" t="s">
        <v>14</v>
      </c>
      <c r="F109" s="3"/>
      <c r="G109" s="1">
        <f>G106*(21-7)/(21-G125)</f>
        <v>0.21265822784810126</v>
      </c>
      <c r="H109" s="3" t="s">
        <v>12</v>
      </c>
      <c r="I109" s="1">
        <f>I106*(21-7)/(21-I125)</f>
        <v>0.17283950617283952</v>
      </c>
      <c r="J109" s="64" t="s">
        <v>12</v>
      </c>
      <c r="K109" s="1">
        <f>K106*(21-7)/(21-K125)</f>
        <v>0.09999999999999999</v>
      </c>
      <c r="M109" s="36">
        <f>AVERAGE(K109,I109,G109)</f>
        <v>0.16183257800698025</v>
      </c>
    </row>
    <row r="110" spans="2:13" ht="12.75">
      <c r="B110" s="28" t="s">
        <v>262</v>
      </c>
      <c r="C110" s="28" t="s">
        <v>261</v>
      </c>
      <c r="D110" s="28" t="s">
        <v>62</v>
      </c>
      <c r="E110" s="28" t="s">
        <v>14</v>
      </c>
      <c r="F110" s="3"/>
      <c r="G110" s="1">
        <f>G108+2*(G109)</f>
        <v>6.999999999999999</v>
      </c>
      <c r="H110" s="3">
        <f>2*I109/I110*100</f>
        <v>1.2682308180088775</v>
      </c>
      <c r="I110" s="1">
        <f>I108+2*(I109)</f>
        <v>27.256790123456796</v>
      </c>
      <c r="J110" s="64">
        <f>2*K109/K110*100</f>
        <v>1.2944983818770228</v>
      </c>
      <c r="K110" s="1">
        <f>K108+2*(K109)</f>
        <v>15.449999999999998</v>
      </c>
      <c r="L110" s="29">
        <v>1.0977957156377713</v>
      </c>
      <c r="M110" s="36">
        <f>AVERAGE(K110,I110,G110)</f>
        <v>16.568930041152264</v>
      </c>
    </row>
    <row r="111" spans="2:11" ht="12.75">
      <c r="B111" s="28"/>
      <c r="C111" s="28"/>
      <c r="F111" s="3"/>
      <c r="G111"/>
      <c r="H111" s="3"/>
      <c r="I111"/>
      <c r="J111" s="64"/>
      <c r="K111"/>
    </row>
    <row r="112" spans="2:13" ht="12.75">
      <c r="B112" s="30" t="s">
        <v>107</v>
      </c>
      <c r="C112" s="28" t="s">
        <v>263</v>
      </c>
      <c r="D112" s="28" t="s">
        <v>65</v>
      </c>
      <c r="E112" s="28" t="s">
        <v>14</v>
      </c>
      <c r="F112" s="3"/>
      <c r="G112">
        <v>17.72</v>
      </c>
      <c r="H112" s="3" t="s">
        <v>12</v>
      </c>
      <c r="I112">
        <v>10.69</v>
      </c>
      <c r="J112" s="64"/>
      <c r="K112">
        <v>23.33</v>
      </c>
      <c r="L112" s="71">
        <f>I112/M112/3*100</f>
        <v>20.66099729416312</v>
      </c>
      <c r="M112" s="36">
        <f>AVERAGE(K112,I112,G112)</f>
        <v>17.246666666666666</v>
      </c>
    </row>
    <row r="113" spans="2:13" ht="12.75">
      <c r="B113" s="30" t="s">
        <v>95</v>
      </c>
      <c r="C113" s="28" t="s">
        <v>263</v>
      </c>
      <c r="D113" s="28" t="s">
        <v>65</v>
      </c>
      <c r="E113" s="28" t="s">
        <v>14</v>
      </c>
      <c r="F113" s="3" t="s">
        <v>12</v>
      </c>
      <c r="G113">
        <v>0.36</v>
      </c>
      <c r="H113" s="3" t="s">
        <v>12</v>
      </c>
      <c r="I113">
        <v>0.35</v>
      </c>
      <c r="J113" s="64" t="s">
        <v>12</v>
      </c>
      <c r="K113">
        <v>0.33</v>
      </c>
      <c r="L113" s="29">
        <v>100</v>
      </c>
      <c r="M113" s="36">
        <f aca="true" t="shared" si="1" ref="M113:M118">AVERAGE(K113,I113,G113)</f>
        <v>0.3466666666666667</v>
      </c>
    </row>
    <row r="114" spans="2:13" ht="12.75">
      <c r="B114" s="30" t="s">
        <v>97</v>
      </c>
      <c r="C114" s="28" t="s">
        <v>263</v>
      </c>
      <c r="D114" s="28" t="s">
        <v>65</v>
      </c>
      <c r="E114" s="28" t="s">
        <v>14</v>
      </c>
      <c r="F114" s="3"/>
      <c r="G114">
        <v>0.04</v>
      </c>
      <c r="H114" s="3"/>
      <c r="I114">
        <v>0.05</v>
      </c>
      <c r="J114" s="64"/>
      <c r="K114">
        <v>0.04</v>
      </c>
      <c r="L114" s="73"/>
      <c r="M114" s="36">
        <f>AVERAGE(K114,I114,G114)</f>
        <v>0.043333333333333335</v>
      </c>
    </row>
    <row r="115" spans="2:13" ht="12.75">
      <c r="B115" s="30" t="s">
        <v>102</v>
      </c>
      <c r="C115" s="28" t="s">
        <v>263</v>
      </c>
      <c r="D115" s="28" t="s">
        <v>65</v>
      </c>
      <c r="E115" s="28" t="s">
        <v>14</v>
      </c>
      <c r="F115" s="3"/>
      <c r="G115">
        <v>33.65</v>
      </c>
      <c r="H115" s="3"/>
      <c r="I115">
        <v>38.69</v>
      </c>
      <c r="J115" s="64"/>
      <c r="K115">
        <v>10.06</v>
      </c>
      <c r="L115" s="72"/>
      <c r="M115" s="36">
        <f t="shared" si="1"/>
        <v>27.46666666666667</v>
      </c>
    </row>
    <row r="116" spans="2:13" ht="12.75">
      <c r="B116" s="30" t="s">
        <v>100</v>
      </c>
      <c r="C116" s="28" t="s">
        <v>263</v>
      </c>
      <c r="D116" s="28" t="s">
        <v>65</v>
      </c>
      <c r="E116" s="28" t="s">
        <v>14</v>
      </c>
      <c r="F116" s="3"/>
      <c r="G116">
        <v>141.46</v>
      </c>
      <c r="H116" s="3"/>
      <c r="I116">
        <v>190.62</v>
      </c>
      <c r="J116" s="64"/>
      <c r="K116">
        <v>125.96</v>
      </c>
      <c r="L116" s="73"/>
      <c r="M116" s="36">
        <f t="shared" si="1"/>
        <v>152.67999999999998</v>
      </c>
    </row>
    <row r="117" spans="2:13" ht="12.75">
      <c r="B117" s="30" t="s">
        <v>104</v>
      </c>
      <c r="C117" s="28" t="s">
        <v>263</v>
      </c>
      <c r="D117" s="28" t="s">
        <v>65</v>
      </c>
      <c r="E117" s="28" t="s">
        <v>14</v>
      </c>
      <c r="F117" s="3"/>
      <c r="G117">
        <v>5.97</v>
      </c>
      <c r="H117" s="3"/>
      <c r="I117">
        <v>9.6</v>
      </c>
      <c r="J117" s="64"/>
      <c r="K117">
        <v>4.29</v>
      </c>
      <c r="L117" s="73"/>
      <c r="M117" s="36">
        <f t="shared" si="1"/>
        <v>6.62</v>
      </c>
    </row>
    <row r="118" spans="2:13" ht="12.75">
      <c r="B118" s="52" t="s">
        <v>201</v>
      </c>
      <c r="C118" s="28" t="s">
        <v>263</v>
      </c>
      <c r="D118" s="28" t="s">
        <v>65</v>
      </c>
      <c r="E118" s="28" t="s">
        <v>14</v>
      </c>
      <c r="F118" s="3" t="s">
        <v>12</v>
      </c>
      <c r="G118">
        <v>0.06</v>
      </c>
      <c r="H118" s="3" t="s">
        <v>12</v>
      </c>
      <c r="I118">
        <v>0.03</v>
      </c>
      <c r="J118" s="64" t="s">
        <v>12</v>
      </c>
      <c r="K118">
        <v>0.06</v>
      </c>
      <c r="L118" s="71">
        <v>100</v>
      </c>
      <c r="M118" s="36">
        <f t="shared" si="1"/>
        <v>0.049999999999999996</v>
      </c>
    </row>
    <row r="119" spans="7:12" ht="12.75">
      <c r="G119" s="43"/>
      <c r="I119" s="35"/>
      <c r="K119" s="35"/>
      <c r="L119" s="73"/>
    </row>
    <row r="120" spans="2:13" ht="12.75">
      <c r="B120" s="28" t="s">
        <v>72</v>
      </c>
      <c r="C120" s="28" t="s">
        <v>263</v>
      </c>
      <c r="D120" s="28" t="s">
        <v>65</v>
      </c>
      <c r="E120" s="28" t="s">
        <v>14</v>
      </c>
      <c r="G120" s="36">
        <f>G115+G116</f>
        <v>175.11</v>
      </c>
      <c r="I120" s="36">
        <f>I115+I116</f>
        <v>229.31</v>
      </c>
      <c r="K120" s="36">
        <f>K115+K116</f>
        <v>136.01999999999998</v>
      </c>
      <c r="M120" s="36">
        <f>AVERAGE(K120,I120,G120)</f>
        <v>180.14666666666668</v>
      </c>
    </row>
    <row r="121" spans="2:13" ht="12.75">
      <c r="B121" s="28" t="s">
        <v>73</v>
      </c>
      <c r="C121" s="28" t="s">
        <v>263</v>
      </c>
      <c r="D121" s="28" t="s">
        <v>65</v>
      </c>
      <c r="E121" s="28" t="s">
        <v>14</v>
      </c>
      <c r="F121" s="29">
        <f>G113/G121*100</f>
        <v>5.65149136577708</v>
      </c>
      <c r="G121" s="36">
        <f>G113+G114+G117</f>
        <v>6.37</v>
      </c>
      <c r="H121" s="29">
        <f>I113/I121*100</f>
        <v>3.4999999999999996</v>
      </c>
      <c r="I121" s="36">
        <f>I113+I114+I117</f>
        <v>10</v>
      </c>
      <c r="J121" s="33">
        <f>K113/K121*100</f>
        <v>7.081545064377683</v>
      </c>
      <c r="K121" s="36">
        <f>K113+K114+K117</f>
        <v>4.66</v>
      </c>
      <c r="L121" s="71">
        <f>(F121*G121+H121*I121+J121*K121)/(3*M121)</f>
        <v>4.945316214931051</v>
      </c>
      <c r="M121" s="36">
        <f>AVERAGE(K121,I121,G121)</f>
        <v>7.010000000000001</v>
      </c>
    </row>
    <row r="122" spans="2:13" ht="12.75">
      <c r="B122" s="28"/>
      <c r="C122" s="28"/>
      <c r="G122" s="36"/>
      <c r="I122" s="36"/>
      <c r="K122" s="36"/>
      <c r="M122" s="36"/>
    </row>
    <row r="123" spans="2:11" ht="12.75">
      <c r="B123" s="28" t="s">
        <v>94</v>
      </c>
      <c r="C123" s="28" t="s">
        <v>91</v>
      </c>
      <c r="D123" s="28" t="s">
        <v>261</v>
      </c>
      <c r="G123" s="33"/>
      <c r="I123" s="33"/>
      <c r="K123" s="33"/>
    </row>
    <row r="124" spans="2:13" ht="12.75">
      <c r="B124" s="28" t="s">
        <v>89</v>
      </c>
      <c r="C124" s="28"/>
      <c r="D124" s="28" t="s">
        <v>15</v>
      </c>
      <c r="F124" s="3"/>
      <c r="G124">
        <v>54557</v>
      </c>
      <c r="H124" s="3"/>
      <c r="I124">
        <v>53900</v>
      </c>
      <c r="J124" s="64"/>
      <c r="K124">
        <v>53448</v>
      </c>
      <c r="M124" s="42">
        <f>AVERAGE(G124,I124,K124)</f>
        <v>53968.333333333336</v>
      </c>
    </row>
    <row r="125" spans="2:13" ht="12.75">
      <c r="B125" s="28" t="s">
        <v>92</v>
      </c>
      <c r="C125" s="28"/>
      <c r="D125" s="28" t="s">
        <v>13</v>
      </c>
      <c r="F125" s="3"/>
      <c r="G125">
        <v>13.1</v>
      </c>
      <c r="H125" s="3"/>
      <c r="I125">
        <v>12.9</v>
      </c>
      <c r="J125" s="64"/>
      <c r="K125">
        <v>12.6</v>
      </c>
      <c r="M125" s="36">
        <f>AVERAGE(G125,I125,K125)</f>
        <v>12.866666666666667</v>
      </c>
    </row>
    <row r="126" spans="2:13" ht="12.75">
      <c r="B126" s="28" t="s">
        <v>93</v>
      </c>
      <c r="C126" s="28"/>
      <c r="D126" s="28" t="s">
        <v>13</v>
      </c>
      <c r="F126" s="3"/>
      <c r="G126">
        <v>22.3</v>
      </c>
      <c r="H126" s="3"/>
      <c r="I126">
        <v>23.9</v>
      </c>
      <c r="J126" s="64"/>
      <c r="K126">
        <v>24.2</v>
      </c>
      <c r="M126" s="36">
        <f>AVERAGE(G126,I126,K126)</f>
        <v>23.46666666666667</v>
      </c>
    </row>
    <row r="127" spans="2:13" ht="12.75">
      <c r="B127" s="28" t="s">
        <v>88</v>
      </c>
      <c r="C127" s="28"/>
      <c r="D127" s="28" t="s">
        <v>16</v>
      </c>
      <c r="F127" s="3"/>
      <c r="G127">
        <v>330</v>
      </c>
      <c r="H127" s="3"/>
      <c r="I127">
        <v>342</v>
      </c>
      <c r="J127" s="64"/>
      <c r="K127">
        <v>342</v>
      </c>
      <c r="M127" s="36">
        <f>AVERAGE(G127,I127,K127)</f>
        <v>338</v>
      </c>
    </row>
    <row r="128" spans="2:13" ht="12.75">
      <c r="B128" s="28"/>
      <c r="C128" s="28"/>
      <c r="F128" s="3"/>
      <c r="G128"/>
      <c r="H128" s="3"/>
      <c r="I128"/>
      <c r="J128" s="64"/>
      <c r="K128"/>
      <c r="M128" s="36"/>
    </row>
    <row r="129" spans="2:11" ht="12.75">
      <c r="B129" s="28" t="s">
        <v>94</v>
      </c>
      <c r="C129" s="28" t="s">
        <v>116</v>
      </c>
      <c r="D129" s="28" t="s">
        <v>263</v>
      </c>
      <c r="F129" s="3"/>
      <c r="G129"/>
      <c r="H129" s="3"/>
      <c r="I129"/>
      <c r="J129" s="64"/>
      <c r="K129"/>
    </row>
    <row r="130" spans="2:13" ht="12.75">
      <c r="B130" s="28" t="s">
        <v>89</v>
      </c>
      <c r="C130" s="28"/>
      <c r="D130" s="28" t="s">
        <v>15</v>
      </c>
      <c r="F130" s="3"/>
      <c r="G130">
        <v>57523</v>
      </c>
      <c r="H130" s="3"/>
      <c r="I130">
        <v>54332</v>
      </c>
      <c r="J130" s="64"/>
      <c r="K130">
        <v>55356</v>
      </c>
      <c r="M130" s="42">
        <f>AVERAGE(G130,I130,K130)</f>
        <v>55737</v>
      </c>
    </row>
    <row r="131" spans="2:13" ht="12.75">
      <c r="B131" s="28" t="s">
        <v>92</v>
      </c>
      <c r="C131" s="28"/>
      <c r="D131" s="28" t="s">
        <v>13</v>
      </c>
      <c r="F131" s="3"/>
      <c r="G131">
        <v>13.1</v>
      </c>
      <c r="H131" s="3"/>
      <c r="I131">
        <v>12.9</v>
      </c>
      <c r="J131" s="64"/>
      <c r="K131">
        <v>12.6</v>
      </c>
      <c r="M131" s="36">
        <f>AVERAGE(G131,I131,K131)</f>
        <v>12.866666666666667</v>
      </c>
    </row>
    <row r="132" spans="2:13" ht="12.75">
      <c r="B132" s="28" t="s">
        <v>93</v>
      </c>
      <c r="C132" s="28"/>
      <c r="D132" s="28" t="s">
        <v>13</v>
      </c>
      <c r="F132" s="3"/>
      <c r="G132">
        <v>21.7</v>
      </c>
      <c r="H132" s="3"/>
      <c r="I132">
        <v>23.5</v>
      </c>
      <c r="J132" s="64"/>
      <c r="K132">
        <v>23.4</v>
      </c>
      <c r="M132" s="36">
        <f>AVERAGE(G132,I132,K132)</f>
        <v>22.866666666666664</v>
      </c>
    </row>
    <row r="133" spans="2:13" ht="12.75">
      <c r="B133" s="28" t="s">
        <v>88</v>
      </c>
      <c r="C133" s="28"/>
      <c r="D133" s="28" t="s">
        <v>16</v>
      </c>
      <c r="F133" s="3"/>
      <c r="G133">
        <v>330</v>
      </c>
      <c r="H133" s="3"/>
      <c r="I133">
        <v>343</v>
      </c>
      <c r="J133" s="64"/>
      <c r="K133">
        <v>341</v>
      </c>
      <c r="M133" s="36">
        <f>AVERAGE(G133,I133,K133)</f>
        <v>338</v>
      </c>
    </row>
    <row r="134" spans="2:11" ht="12.75">
      <c r="B134" s="28"/>
      <c r="C134" s="28"/>
      <c r="G134" s="32"/>
      <c r="I134" s="32"/>
      <c r="K134" s="32"/>
    </row>
    <row r="135" spans="2:11" ht="12.75">
      <c r="B135" s="28" t="s">
        <v>94</v>
      </c>
      <c r="C135" s="28" t="s">
        <v>80</v>
      </c>
      <c r="D135" s="28" t="s">
        <v>264</v>
      </c>
      <c r="F135" s="3"/>
      <c r="G135"/>
      <c r="H135" s="3"/>
      <c r="I135"/>
      <c r="J135" s="64"/>
      <c r="K135"/>
    </row>
    <row r="136" spans="2:13" ht="12.75">
      <c r="B136" s="28" t="s">
        <v>89</v>
      </c>
      <c r="C136" s="28"/>
      <c r="D136" s="28" t="s">
        <v>15</v>
      </c>
      <c r="F136" s="3"/>
      <c r="G136">
        <v>63069</v>
      </c>
      <c r="H136" s="3"/>
      <c r="I136">
        <v>60592</v>
      </c>
      <c r="J136" s="64"/>
      <c r="K136">
        <v>61082</v>
      </c>
      <c r="M136" s="42">
        <f>AVERAGE(G136,I136,K136)</f>
        <v>61581</v>
      </c>
    </row>
    <row r="137" spans="2:13" ht="12.75">
      <c r="B137" s="28" t="s">
        <v>92</v>
      </c>
      <c r="C137" s="28"/>
      <c r="D137" s="28" t="s">
        <v>13</v>
      </c>
      <c r="F137" s="3"/>
      <c r="G137">
        <v>13</v>
      </c>
      <c r="H137" s="3"/>
      <c r="I137">
        <v>12.7</v>
      </c>
      <c r="J137" s="64"/>
      <c r="K137">
        <v>12.7</v>
      </c>
      <c r="M137" s="36">
        <f>AVERAGE(G137,I137,K137)</f>
        <v>12.799999999999999</v>
      </c>
    </row>
    <row r="138" spans="2:13" ht="12.75">
      <c r="B138" s="28" t="s">
        <v>93</v>
      </c>
      <c r="C138" s="28"/>
      <c r="D138" s="28" t="s">
        <v>13</v>
      </c>
      <c r="F138" s="3"/>
      <c r="G138">
        <v>23.8</v>
      </c>
      <c r="H138" s="3"/>
      <c r="I138">
        <v>24.2</v>
      </c>
      <c r="J138" s="64"/>
      <c r="K138">
        <v>24.3</v>
      </c>
      <c r="M138" s="36">
        <f>AVERAGE(G138,I138,K138)</f>
        <v>24.099999999999998</v>
      </c>
    </row>
    <row r="139" spans="2:13" ht="12.75">
      <c r="B139" s="28" t="s">
        <v>88</v>
      </c>
      <c r="C139" s="28"/>
      <c r="D139" s="28" t="s">
        <v>16</v>
      </c>
      <c r="F139" s="3"/>
      <c r="G139">
        <v>332</v>
      </c>
      <c r="H139" s="3"/>
      <c r="I139">
        <v>343</v>
      </c>
      <c r="J139" s="64"/>
      <c r="K139">
        <v>342</v>
      </c>
      <c r="M139" s="36">
        <f>AVERAGE(G139,I139,K139)</f>
        <v>339</v>
      </c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H135"/>
  <sheetViews>
    <sheetView zoomScale="80" zoomScaleNormal="80" workbookViewId="0" topLeftCell="B1">
      <selection activeCell="C1" sqref="C1"/>
    </sheetView>
  </sheetViews>
  <sheetFormatPr defaultColWidth="9.140625" defaultRowHeight="12.75"/>
  <cols>
    <col min="1" max="1" width="2.28125" style="24" hidden="1" customWidth="1"/>
    <col min="2" max="2" width="17.00390625" style="0" customWidth="1"/>
    <col min="3" max="3" width="9.28125" style="0" customWidth="1"/>
    <col min="4" max="4" width="10.28125" style="0" customWidth="1"/>
    <col min="5" max="5" width="3.57421875" style="0" customWidth="1"/>
    <col min="6" max="6" width="4.28125" style="3" customWidth="1"/>
    <col min="7" max="7" width="6.8515625" style="0" customWidth="1"/>
    <col min="8" max="8" width="4.421875" style="3" customWidth="1"/>
    <col min="9" max="9" width="8.00390625" style="0" customWidth="1"/>
    <col min="10" max="10" width="4.28125" style="3" customWidth="1"/>
    <col min="12" max="12" width="3.28125" style="3" customWidth="1"/>
    <col min="13" max="13" width="7.8515625" style="0" customWidth="1"/>
    <col min="14" max="14" width="3.28125" style="3" customWidth="1"/>
    <col min="15" max="15" width="8.57421875" style="0" customWidth="1"/>
    <col min="16" max="16" width="3.7109375" style="3" customWidth="1"/>
    <col min="17" max="17" width="8.57421875" style="0" customWidth="1"/>
    <col min="18" max="18" width="4.28125" style="3" customWidth="1"/>
    <col min="19" max="19" width="8.8515625" style="0" customWidth="1"/>
    <col min="30" max="30" width="8.140625" style="0" customWidth="1"/>
    <col min="31" max="31" width="9.140625" style="0" hidden="1" customWidth="1"/>
  </cols>
  <sheetData>
    <row r="1" ht="12.75">
      <c r="B1" s="2" t="s">
        <v>251</v>
      </c>
    </row>
    <row r="4" spans="1:19" ht="12.75">
      <c r="A4" s="24">
        <v>1</v>
      </c>
      <c r="B4" s="2" t="s">
        <v>185</v>
      </c>
      <c r="G4" s="3" t="s">
        <v>122</v>
      </c>
      <c r="I4" s="3" t="s">
        <v>123</v>
      </c>
      <c r="K4" s="3" t="s">
        <v>124</v>
      </c>
      <c r="M4" s="3" t="s">
        <v>196</v>
      </c>
      <c r="O4" s="3" t="s">
        <v>197</v>
      </c>
      <c r="Q4" s="3" t="s">
        <v>198</v>
      </c>
      <c r="S4" s="3" t="s">
        <v>66</v>
      </c>
    </row>
    <row r="6" spans="1:60" s="50" customFormat="1" ht="12.75">
      <c r="A6" s="55"/>
      <c r="B6" s="50" t="s">
        <v>17</v>
      </c>
      <c r="C6" s="50" t="s">
        <v>261</v>
      </c>
      <c r="D6" s="50" t="s">
        <v>18</v>
      </c>
      <c r="E6" s="50" t="s">
        <v>14</v>
      </c>
      <c r="F6" s="74" t="s">
        <v>199</v>
      </c>
      <c r="G6" s="57">
        <v>0.02806941424829629</v>
      </c>
      <c r="H6" s="76" t="s">
        <v>199</v>
      </c>
      <c r="I6" s="57">
        <v>0.025589142730666665</v>
      </c>
      <c r="J6" s="74" t="s">
        <v>199</v>
      </c>
      <c r="K6" s="57">
        <v>0.026287319591153</v>
      </c>
      <c r="L6" s="74" t="s">
        <v>199</v>
      </c>
      <c r="M6" s="57">
        <v>0.03239796844348235</v>
      </c>
      <c r="N6" s="74" t="s">
        <v>199</v>
      </c>
      <c r="P6" s="74" t="s">
        <v>199</v>
      </c>
      <c r="R6" s="74" t="s">
        <v>199</v>
      </c>
      <c r="S6" s="56">
        <f aca="true" t="shared" si="0" ref="S6:S11">AVERAGE(G6,I6,K6,M6)</f>
        <v>0.028085961253399575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BH6"/>
    </row>
    <row r="7" spans="1:60" s="52" customFormat="1" ht="12.75">
      <c r="A7" s="55"/>
      <c r="B7" s="52" t="s">
        <v>117</v>
      </c>
      <c r="C7" s="50" t="s">
        <v>261</v>
      </c>
      <c r="D7" s="52" t="s">
        <v>62</v>
      </c>
      <c r="E7" s="52" t="s">
        <v>14</v>
      </c>
      <c r="F7" s="74" t="s">
        <v>199</v>
      </c>
      <c r="G7" s="52">
        <v>39</v>
      </c>
      <c r="H7" s="74" t="s">
        <v>199</v>
      </c>
      <c r="I7" s="52">
        <v>32</v>
      </c>
      <c r="J7" s="74" t="s">
        <v>199</v>
      </c>
      <c r="K7" s="52">
        <v>28</v>
      </c>
      <c r="L7" s="74" t="s">
        <v>199</v>
      </c>
      <c r="M7" s="52">
        <v>36</v>
      </c>
      <c r="N7" s="74" t="s">
        <v>199</v>
      </c>
      <c r="P7" s="74" t="s">
        <v>199</v>
      </c>
      <c r="R7" s="74" t="s">
        <v>199</v>
      </c>
      <c r="S7" s="52">
        <f t="shared" si="0"/>
        <v>33.75</v>
      </c>
      <c r="T7"/>
      <c r="U7"/>
      <c r="V7"/>
      <c r="W7"/>
      <c r="X7"/>
      <c r="Y7"/>
      <c r="Z7"/>
      <c r="AA7"/>
      <c r="AB7"/>
      <c r="AC7"/>
      <c r="AD7"/>
      <c r="AE7"/>
      <c r="AF7"/>
      <c r="AG7"/>
      <c r="BH7"/>
    </row>
    <row r="8" spans="1:60" s="52" customFormat="1" ht="12.75">
      <c r="A8" s="55"/>
      <c r="B8" s="52" t="s">
        <v>200</v>
      </c>
      <c r="C8" s="50" t="s">
        <v>261</v>
      </c>
      <c r="D8" s="52" t="s">
        <v>62</v>
      </c>
      <c r="E8" s="52" t="s">
        <v>14</v>
      </c>
      <c r="F8" s="74" t="s">
        <v>199</v>
      </c>
      <c r="G8" s="52">
        <v>27</v>
      </c>
      <c r="H8" s="74" t="s">
        <v>199</v>
      </c>
      <c r="I8" s="52">
        <v>26</v>
      </c>
      <c r="J8" s="74" t="s">
        <v>199</v>
      </c>
      <c r="K8" s="52">
        <v>25</v>
      </c>
      <c r="L8" s="74" t="s">
        <v>199</v>
      </c>
      <c r="M8" s="52">
        <v>26</v>
      </c>
      <c r="N8" s="74" t="s">
        <v>199</v>
      </c>
      <c r="P8" s="74" t="s">
        <v>199</v>
      </c>
      <c r="R8" s="74" t="s">
        <v>199</v>
      </c>
      <c r="S8" s="52">
        <f t="shared" si="0"/>
        <v>26</v>
      </c>
      <c r="T8"/>
      <c r="U8"/>
      <c r="V8"/>
      <c r="W8"/>
      <c r="X8"/>
      <c r="Y8"/>
      <c r="Z8"/>
      <c r="AA8"/>
      <c r="AB8"/>
      <c r="AC8"/>
      <c r="AD8"/>
      <c r="AE8"/>
      <c r="AF8"/>
      <c r="AG8"/>
      <c r="BH8"/>
    </row>
    <row r="9" spans="1:60" s="52" customFormat="1" ht="12.75">
      <c r="A9" s="55"/>
      <c r="B9" s="52" t="s">
        <v>19</v>
      </c>
      <c r="C9" s="50" t="s">
        <v>263</v>
      </c>
      <c r="D9" s="52" t="s">
        <v>62</v>
      </c>
      <c r="E9" s="52" t="s">
        <v>14</v>
      </c>
      <c r="F9" s="74" t="s">
        <v>199</v>
      </c>
      <c r="G9" s="52">
        <v>3.3520326407563514</v>
      </c>
      <c r="H9" s="74" t="s">
        <v>199</v>
      </c>
      <c r="I9" s="52">
        <v>4.698340832535543</v>
      </c>
      <c r="J9" s="74" t="s">
        <v>199</v>
      </c>
      <c r="K9" s="52">
        <v>4.0845018754674305</v>
      </c>
      <c r="L9" s="74" t="s">
        <v>199</v>
      </c>
      <c r="M9" s="52">
        <v>4.608155962065818</v>
      </c>
      <c r="N9" s="74" t="s">
        <v>199</v>
      </c>
      <c r="P9" s="74" t="s">
        <v>199</v>
      </c>
      <c r="R9" s="74" t="s">
        <v>199</v>
      </c>
      <c r="S9" s="52">
        <f t="shared" si="0"/>
        <v>4.185757827706286</v>
      </c>
      <c r="T9"/>
      <c r="U9"/>
      <c r="V9"/>
      <c r="W9"/>
      <c r="X9"/>
      <c r="Y9"/>
      <c r="Z9"/>
      <c r="AA9"/>
      <c r="AB9"/>
      <c r="AC9"/>
      <c r="AD9"/>
      <c r="AE9"/>
      <c r="AF9"/>
      <c r="AG9"/>
      <c r="BH9"/>
    </row>
    <row r="10" spans="1:60" s="52" customFormat="1" ht="12.75">
      <c r="A10" s="55"/>
      <c r="B10" s="52" t="s">
        <v>64</v>
      </c>
      <c r="C10" s="50" t="s">
        <v>263</v>
      </c>
      <c r="D10" s="52" t="s">
        <v>62</v>
      </c>
      <c r="E10" s="52" t="s">
        <v>14</v>
      </c>
      <c r="F10" s="74" t="s">
        <v>199</v>
      </c>
      <c r="G10" s="52">
        <v>0.5847901472728337</v>
      </c>
      <c r="H10" s="74" t="s">
        <v>199</v>
      </c>
      <c r="I10" s="52">
        <v>0.3118880785455113</v>
      </c>
      <c r="J10" s="74" t="s">
        <v>199</v>
      </c>
      <c r="K10" s="52">
        <v>0.27459711263246106</v>
      </c>
      <c r="L10" s="74" t="s">
        <v>199</v>
      </c>
      <c r="M10" s="52">
        <v>0.26921285552202</v>
      </c>
      <c r="N10" s="74" t="s">
        <v>199</v>
      </c>
      <c r="P10" s="74" t="s">
        <v>199</v>
      </c>
      <c r="R10" s="74" t="s">
        <v>199</v>
      </c>
      <c r="S10" s="52">
        <f t="shared" si="0"/>
        <v>0.3601220484932065</v>
      </c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BH10"/>
    </row>
    <row r="11" spans="1:60" s="52" customFormat="1" ht="12.75">
      <c r="A11" s="55"/>
      <c r="B11" s="52" t="s">
        <v>262</v>
      </c>
      <c r="C11" s="50" t="s">
        <v>263</v>
      </c>
      <c r="D11" s="52" t="s">
        <v>62</v>
      </c>
      <c r="E11" s="52" t="s">
        <v>14</v>
      </c>
      <c r="F11" s="74"/>
      <c r="G11" s="52">
        <f>G9+2*G10</f>
        <v>4.521612935302019</v>
      </c>
      <c r="H11" s="74"/>
      <c r="I11" s="52">
        <f>I9+2*I10</f>
        <v>5.322116989626565</v>
      </c>
      <c r="J11" s="74"/>
      <c r="K11" s="52">
        <f>K9+2*K10</f>
        <v>4.633696100732353</v>
      </c>
      <c r="L11" s="74"/>
      <c r="M11" s="52">
        <f>M9+2*M10</f>
        <v>5.146581673109858</v>
      </c>
      <c r="N11" s="74"/>
      <c r="P11" s="74"/>
      <c r="R11" s="74"/>
      <c r="S11" s="52">
        <f t="shared" si="0"/>
        <v>4.906001924692699</v>
      </c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BH11"/>
    </row>
    <row r="12" spans="1:60" s="52" customFormat="1" ht="12.75">
      <c r="A12" s="55"/>
      <c r="B12" s="52" t="s">
        <v>99</v>
      </c>
      <c r="C12" s="52" t="s">
        <v>264</v>
      </c>
      <c r="D12" s="52" t="s">
        <v>65</v>
      </c>
      <c r="E12" s="52" t="s">
        <v>14</v>
      </c>
      <c r="F12" s="74" t="s">
        <v>199</v>
      </c>
      <c r="G12" s="52">
        <v>0.85589642962963</v>
      </c>
      <c r="H12" s="74" t="s">
        <v>12</v>
      </c>
      <c r="I12" s="52">
        <v>0.7653209822222222</v>
      </c>
      <c r="J12" s="74" t="s">
        <v>199</v>
      </c>
      <c r="K12" s="52">
        <v>0.70211857882353</v>
      </c>
      <c r="L12" s="74" t="s">
        <v>199</v>
      </c>
      <c r="M12" s="52">
        <v>0.7654676235294118</v>
      </c>
      <c r="N12" s="74" t="s">
        <v>199</v>
      </c>
      <c r="P12" s="74" t="s">
        <v>199</v>
      </c>
      <c r="R12" s="74" t="s">
        <v>199</v>
      </c>
      <c r="S12" s="52">
        <f aca="true" t="shared" si="1" ref="S12:S19">AVERAGE(G12,I12,K12,M12)</f>
        <v>0.7722009035511985</v>
      </c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BH12"/>
    </row>
    <row r="13" spans="1:60" s="52" customFormat="1" ht="12.75">
      <c r="A13" s="55"/>
      <c r="B13" s="52" t="s">
        <v>95</v>
      </c>
      <c r="C13" s="52" t="s">
        <v>264</v>
      </c>
      <c r="D13" s="52" t="s">
        <v>65</v>
      </c>
      <c r="E13" s="52" t="s">
        <v>14</v>
      </c>
      <c r="F13" s="74" t="s">
        <v>12</v>
      </c>
      <c r="G13" s="52">
        <v>0.7838792543209877</v>
      </c>
      <c r="H13" s="74" t="s">
        <v>12</v>
      </c>
      <c r="I13" s="52">
        <v>0.7653209822222222</v>
      </c>
      <c r="J13" s="74" t="s">
        <v>12</v>
      </c>
      <c r="K13" s="52">
        <v>0.70211857882353</v>
      </c>
      <c r="L13" s="74"/>
      <c r="M13" s="52">
        <v>0.7654676235294118</v>
      </c>
      <c r="N13" s="74" t="s">
        <v>199</v>
      </c>
      <c r="P13" s="74" t="s">
        <v>199</v>
      </c>
      <c r="R13" s="74">
        <v>100</v>
      </c>
      <c r="S13" s="52">
        <f t="shared" si="1"/>
        <v>0.7541966097240379</v>
      </c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BH13"/>
    </row>
    <row r="14" spans="1:60" s="52" customFormat="1" ht="12.75">
      <c r="A14" s="55"/>
      <c r="B14" s="52" t="s">
        <v>96</v>
      </c>
      <c r="C14" s="52" t="s">
        <v>264</v>
      </c>
      <c r="D14" s="52" t="s">
        <v>65</v>
      </c>
      <c r="E14" s="52" t="s">
        <v>14</v>
      </c>
      <c r="F14" s="74" t="s">
        <v>199</v>
      </c>
      <c r="G14" s="52">
        <v>42.93331604938272</v>
      </c>
      <c r="H14" s="74" t="s">
        <v>199</v>
      </c>
      <c r="I14" s="52">
        <v>41.38217688888889</v>
      </c>
      <c r="J14" s="74" t="s">
        <v>199</v>
      </c>
      <c r="K14" s="52">
        <v>46.19201176470588</v>
      </c>
      <c r="L14" s="74"/>
      <c r="M14" s="52">
        <v>45.66410305882353</v>
      </c>
      <c r="N14" s="74" t="s">
        <v>199</v>
      </c>
      <c r="P14" s="74" t="s">
        <v>199</v>
      </c>
      <c r="R14" s="74" t="s">
        <v>199</v>
      </c>
      <c r="S14" s="52">
        <f t="shared" si="1"/>
        <v>44.04290194045025</v>
      </c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BH14"/>
    </row>
    <row r="15" spans="1:60" s="52" customFormat="1" ht="12.75">
      <c r="A15" s="55"/>
      <c r="B15" s="52" t="s">
        <v>97</v>
      </c>
      <c r="C15" s="52" t="s">
        <v>264</v>
      </c>
      <c r="D15" s="52" t="s">
        <v>65</v>
      </c>
      <c r="E15" s="52" t="s">
        <v>14</v>
      </c>
      <c r="F15" s="74" t="s">
        <v>12</v>
      </c>
      <c r="G15" s="52">
        <v>0.07838792543209877</v>
      </c>
      <c r="H15" s="74" t="s">
        <v>12</v>
      </c>
      <c r="I15" s="52">
        <v>0.07653209822222222</v>
      </c>
      <c r="J15" s="74" t="s">
        <v>12</v>
      </c>
      <c r="K15" s="52">
        <v>0.070211857882353</v>
      </c>
      <c r="L15" s="74" t="s">
        <v>199</v>
      </c>
      <c r="M15" s="52">
        <v>0.07654676235294117</v>
      </c>
      <c r="N15" s="74" t="s">
        <v>199</v>
      </c>
      <c r="P15" s="74" t="s">
        <v>199</v>
      </c>
      <c r="R15" s="74">
        <v>100</v>
      </c>
      <c r="S15" s="52">
        <f t="shared" si="1"/>
        <v>0.0754196609724038</v>
      </c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BH15"/>
    </row>
    <row r="16" spans="1:60" s="52" customFormat="1" ht="12.75">
      <c r="A16" s="55"/>
      <c r="B16" s="52" t="s">
        <v>102</v>
      </c>
      <c r="C16" s="52" t="s">
        <v>264</v>
      </c>
      <c r="D16" s="52" t="s">
        <v>65</v>
      </c>
      <c r="E16" s="52" t="s">
        <v>14</v>
      </c>
      <c r="F16" s="74" t="s">
        <v>199</v>
      </c>
      <c r="G16" s="52">
        <v>440.41272592592594</v>
      </c>
      <c r="H16" s="74" t="s">
        <v>199</v>
      </c>
      <c r="I16" s="52">
        <v>198.6843071111111</v>
      </c>
      <c r="J16" s="74" t="s">
        <v>199</v>
      </c>
      <c r="K16" s="52">
        <v>204.8285778823529</v>
      </c>
      <c r="L16" s="74" t="s">
        <v>199</v>
      </c>
      <c r="M16" s="52">
        <v>133.03299388235294</v>
      </c>
      <c r="N16" s="74" t="s">
        <v>199</v>
      </c>
      <c r="P16" s="74" t="s">
        <v>199</v>
      </c>
      <c r="R16" s="74" t="s">
        <v>199</v>
      </c>
      <c r="S16" s="52">
        <f t="shared" si="1"/>
        <v>244.2396512004357</v>
      </c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BH16"/>
    </row>
    <row r="17" spans="1:60" s="52" customFormat="1" ht="12.75">
      <c r="A17" s="55"/>
      <c r="B17" s="52" t="s">
        <v>104</v>
      </c>
      <c r="C17" s="52" t="s">
        <v>264</v>
      </c>
      <c r="D17" s="52" t="s">
        <v>65</v>
      </c>
      <c r="E17" s="52" t="s">
        <v>14</v>
      </c>
      <c r="F17" s="74" t="s">
        <v>199</v>
      </c>
      <c r="G17" s="52">
        <v>158.71477481481483</v>
      </c>
      <c r="H17" s="74" t="s">
        <v>199</v>
      </c>
      <c r="I17" s="52">
        <v>7.478706666666667</v>
      </c>
      <c r="J17" s="74" t="s">
        <v>199</v>
      </c>
      <c r="K17" s="52">
        <v>11.08608282352941</v>
      </c>
      <c r="L17" s="74" t="s">
        <v>199</v>
      </c>
      <c r="M17" s="52">
        <v>46.19201176470588</v>
      </c>
      <c r="N17" s="74" t="s">
        <v>199</v>
      </c>
      <c r="P17" s="74" t="s">
        <v>199</v>
      </c>
      <c r="R17" s="74" t="s">
        <v>199</v>
      </c>
      <c r="S17" s="52">
        <f t="shared" si="1"/>
        <v>55.867894017429194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BH17"/>
    </row>
    <row r="18" spans="1:60" s="52" customFormat="1" ht="12.75">
      <c r="A18" s="55"/>
      <c r="B18" s="52" t="s">
        <v>201</v>
      </c>
      <c r="C18" s="52" t="s">
        <v>265</v>
      </c>
      <c r="D18" s="52" t="s">
        <v>65</v>
      </c>
      <c r="E18" s="52" t="s">
        <v>14</v>
      </c>
      <c r="F18" s="74" t="s">
        <v>199</v>
      </c>
      <c r="G18" s="52">
        <v>1.507707264</v>
      </c>
      <c r="H18" s="74" t="s">
        <v>199</v>
      </c>
      <c r="I18" s="52">
        <v>1.4477201642105262</v>
      </c>
      <c r="J18" s="74" t="s">
        <v>199</v>
      </c>
      <c r="K18" s="52">
        <v>1.3803091217391303</v>
      </c>
      <c r="L18" s="74" t="s">
        <v>199</v>
      </c>
      <c r="M18" s="52">
        <v>2.0802185173913</v>
      </c>
      <c r="N18" s="74" t="s">
        <v>199</v>
      </c>
      <c r="P18" s="74" t="s">
        <v>199</v>
      </c>
      <c r="R18" s="74" t="s">
        <v>199</v>
      </c>
      <c r="S18" s="52">
        <f t="shared" si="1"/>
        <v>1.603988766835239</v>
      </c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BH18"/>
    </row>
    <row r="19" spans="1:60" s="52" customFormat="1" ht="12.75">
      <c r="A19" s="55"/>
      <c r="B19" s="52" t="s">
        <v>100</v>
      </c>
      <c r="C19" s="52" t="s">
        <v>264</v>
      </c>
      <c r="D19" s="52" t="s">
        <v>65</v>
      </c>
      <c r="E19" s="52" t="s">
        <v>14</v>
      </c>
      <c r="F19" s="74" t="s">
        <v>199</v>
      </c>
      <c r="G19" s="52">
        <v>285.2988098765432</v>
      </c>
      <c r="H19" s="74" t="s">
        <v>199</v>
      </c>
      <c r="I19" s="52">
        <v>309.11987555555555</v>
      </c>
      <c r="J19" s="74" t="s">
        <v>199</v>
      </c>
      <c r="K19" s="52">
        <v>277.15207058823523</v>
      </c>
      <c r="L19" s="74" t="s">
        <v>199</v>
      </c>
      <c r="M19" s="52">
        <v>179.22500564705882</v>
      </c>
      <c r="N19" s="74" t="s">
        <v>199</v>
      </c>
      <c r="P19" s="74" t="s">
        <v>199</v>
      </c>
      <c r="R19" s="74" t="s">
        <v>199</v>
      </c>
      <c r="S19" s="52">
        <f t="shared" si="1"/>
        <v>262.6989404168482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BH19"/>
    </row>
    <row r="20" spans="1:60" s="52" customFormat="1" ht="12.75">
      <c r="A20" s="55"/>
      <c r="B20" s="52" t="s">
        <v>107</v>
      </c>
      <c r="C20" s="52" t="s">
        <v>264</v>
      </c>
      <c r="D20" s="52" t="s">
        <v>65</v>
      </c>
      <c r="E20" s="52" t="s">
        <v>14</v>
      </c>
      <c r="F20" s="74" t="s">
        <v>199</v>
      </c>
      <c r="G20" s="52">
        <v>12.630704592592592</v>
      </c>
      <c r="H20" s="74" t="s">
        <v>199</v>
      </c>
      <c r="I20" s="52">
        <v>21.86275248888889</v>
      </c>
      <c r="J20" s="74" t="s">
        <v>199</v>
      </c>
      <c r="K20" s="52">
        <v>19.321458635294114</v>
      </c>
      <c r="L20" s="74" t="s">
        <v>199</v>
      </c>
      <c r="M20" s="52">
        <v>14.095162447058824</v>
      </c>
      <c r="N20" s="74" t="s">
        <v>199</v>
      </c>
      <c r="P20" s="74" t="s">
        <v>199</v>
      </c>
      <c r="R20" s="74" t="s">
        <v>199</v>
      </c>
      <c r="S20" s="52">
        <f aca="true" t="shared" si="2" ref="S20:S25">AVERAGE(G20,I20,K20,M20)</f>
        <v>16.977519540958603</v>
      </c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BH20"/>
    </row>
    <row r="21" spans="1:60" s="52" customFormat="1" ht="12.75">
      <c r="A21" s="55"/>
      <c r="B21" s="52" t="s">
        <v>101</v>
      </c>
      <c r="C21" s="52" t="s">
        <v>264</v>
      </c>
      <c r="D21" s="52" t="s">
        <v>65</v>
      </c>
      <c r="E21" s="52" t="s">
        <v>14</v>
      </c>
      <c r="F21" s="74" t="s">
        <v>199</v>
      </c>
      <c r="G21" s="52">
        <v>98.608132345679</v>
      </c>
      <c r="H21" s="74" t="s">
        <v>199</v>
      </c>
      <c r="I21" s="52">
        <v>4.6866561777777775</v>
      </c>
      <c r="J21" s="74" t="s">
        <v>199</v>
      </c>
      <c r="K21" s="52">
        <v>6.466881647058822</v>
      </c>
      <c r="L21" s="74" t="s">
        <v>199</v>
      </c>
      <c r="M21" s="52">
        <v>93.70379529411764</v>
      </c>
      <c r="N21" s="74" t="s">
        <v>199</v>
      </c>
      <c r="P21" s="74" t="s">
        <v>199</v>
      </c>
      <c r="R21" s="74" t="s">
        <v>199</v>
      </c>
      <c r="S21" s="52">
        <f t="shared" si="2"/>
        <v>50.86636636615831</v>
      </c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BH21"/>
    </row>
    <row r="22" spans="1:60" s="52" customFormat="1" ht="12.75">
      <c r="A22" s="55"/>
      <c r="B22" s="52" t="s">
        <v>103</v>
      </c>
      <c r="C22" s="52" t="s">
        <v>264</v>
      </c>
      <c r="D22" s="52" t="s">
        <v>65</v>
      </c>
      <c r="E22" s="52" t="s">
        <v>14</v>
      </c>
      <c r="F22" s="74" t="s">
        <v>199</v>
      </c>
      <c r="G22" s="52">
        <v>1.7810401432098766</v>
      </c>
      <c r="H22" s="74" t="s">
        <v>199</v>
      </c>
      <c r="I22" s="52">
        <v>1.154213728888889</v>
      </c>
      <c r="J22" s="74" t="s">
        <v>199</v>
      </c>
      <c r="K22" s="52">
        <v>1.30129496</v>
      </c>
      <c r="L22" s="74" t="s">
        <v>199</v>
      </c>
      <c r="M22" s="52">
        <v>0.8552121035294117</v>
      </c>
      <c r="N22" s="74" t="s">
        <v>199</v>
      </c>
      <c r="P22" s="74" t="s">
        <v>199</v>
      </c>
      <c r="R22" s="74" t="s">
        <v>199</v>
      </c>
      <c r="S22" s="52">
        <f t="shared" si="2"/>
        <v>1.2729402339070444</v>
      </c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BH22"/>
    </row>
    <row r="23" spans="1:60" s="52" customFormat="1" ht="12.75">
      <c r="A23" s="55"/>
      <c r="B23" s="52" t="s">
        <v>98</v>
      </c>
      <c r="C23" s="52" t="s">
        <v>264</v>
      </c>
      <c r="D23" s="52" t="s">
        <v>65</v>
      </c>
      <c r="E23" s="52" t="s">
        <v>14</v>
      </c>
      <c r="F23" s="74" t="s">
        <v>199</v>
      </c>
      <c r="G23" s="52">
        <v>0.440412725925926</v>
      </c>
      <c r="H23" s="74" t="s">
        <v>199</v>
      </c>
      <c r="I23" s="52">
        <v>0.4063430622222222</v>
      </c>
      <c r="J23" s="74" t="s">
        <v>199</v>
      </c>
      <c r="K23" s="52">
        <v>0.35105928941176473</v>
      </c>
      <c r="L23" s="74" t="s">
        <v>12</v>
      </c>
      <c r="M23" s="52">
        <v>0.7654676235294118</v>
      </c>
      <c r="N23" s="74" t="s">
        <v>199</v>
      </c>
      <c r="P23" s="74" t="s">
        <v>199</v>
      </c>
      <c r="R23" s="74" t="s">
        <v>199</v>
      </c>
      <c r="S23" s="52">
        <f t="shared" si="2"/>
        <v>0.4908206752723312</v>
      </c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BH23"/>
    </row>
    <row r="24" spans="1:60" s="52" customFormat="1" ht="12.75">
      <c r="A24" s="55"/>
      <c r="B24" s="52" t="s">
        <v>72</v>
      </c>
      <c r="C24" s="52" t="s">
        <v>264</v>
      </c>
      <c r="D24" s="52" t="s">
        <v>65</v>
      </c>
      <c r="E24" s="52" t="s">
        <v>14</v>
      </c>
      <c r="F24" s="74"/>
      <c r="G24" s="52">
        <f>G19+G16</f>
        <v>725.7115358024691</v>
      </c>
      <c r="H24" s="74"/>
      <c r="I24" s="52">
        <f>I19+I16</f>
        <v>507.80418266666663</v>
      </c>
      <c r="J24" s="74"/>
      <c r="K24" s="52">
        <f>K19+K16</f>
        <v>481.9806484705881</v>
      </c>
      <c r="L24" s="74"/>
      <c r="M24" s="52">
        <f>M19+M16</f>
        <v>312.2579995294118</v>
      </c>
      <c r="N24" s="74"/>
      <c r="P24" s="74"/>
      <c r="R24" s="74"/>
      <c r="S24" s="52">
        <f t="shared" si="2"/>
        <v>506.9385916172839</v>
      </c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BH24"/>
    </row>
    <row r="25" spans="1:60" s="52" customFormat="1" ht="12.75">
      <c r="A25" s="55"/>
      <c r="B25" s="52" t="s">
        <v>73</v>
      </c>
      <c r="C25" s="52" t="s">
        <v>264</v>
      </c>
      <c r="D25" s="52" t="s">
        <v>65</v>
      </c>
      <c r="E25" s="52" t="s">
        <v>14</v>
      </c>
      <c r="F25" s="74">
        <f>(G13+G15)/G25*100</f>
        <v>0.5403453836313361</v>
      </c>
      <c r="G25" s="52">
        <f>G13+G17+G15</f>
        <v>159.57704199456794</v>
      </c>
      <c r="H25" s="74">
        <f>(I13+I15)/I25*100</f>
        <v>10.117745753063488</v>
      </c>
      <c r="I25" s="52">
        <f>I13+I17+I15</f>
        <v>8.32055974711111</v>
      </c>
      <c r="J25" s="74">
        <f>(K13+K15)/K25*100</f>
        <v>6.5129323776877595</v>
      </c>
      <c r="K25" s="52">
        <f>K13+K17+K15</f>
        <v>11.858413260235292</v>
      </c>
      <c r="L25" s="74"/>
      <c r="M25" s="52">
        <f>M13+M17+M15</f>
        <v>47.03402615058823</v>
      </c>
      <c r="N25" s="74"/>
      <c r="P25" s="74"/>
      <c r="R25" s="74" t="e">
        <f>(F25*G25+H25*I25+J25*#REF!)/(3*S25)</f>
        <v>#REF!</v>
      </c>
      <c r="S25" s="52">
        <f t="shared" si="2"/>
        <v>56.69751028812564</v>
      </c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BH25"/>
    </row>
    <row r="26" spans="1:60" s="53" customFormat="1" ht="12.75">
      <c r="A26" s="55"/>
      <c r="F26" s="59"/>
      <c r="G26" s="51"/>
      <c r="H26" s="74"/>
      <c r="I26" s="51"/>
      <c r="J26" s="74"/>
      <c r="K26" s="51"/>
      <c r="L26" s="74"/>
      <c r="M26" s="51"/>
      <c r="N26" s="74"/>
      <c r="O26" s="51"/>
      <c r="P26" s="74"/>
      <c r="Q26" s="51"/>
      <c r="R26" s="74"/>
      <c r="S26" s="51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 s="51"/>
      <c r="AI26" s="51"/>
      <c r="AJ26" s="51"/>
      <c r="AK26" s="51"/>
      <c r="AL26" s="51"/>
      <c r="AM26" s="51"/>
      <c r="AN26" s="51"/>
      <c r="BH26"/>
    </row>
    <row r="27" spans="1:60" s="53" customFormat="1" ht="12.75">
      <c r="A27" s="55"/>
      <c r="B27" s="52" t="s">
        <v>94</v>
      </c>
      <c r="C27" s="53" t="s">
        <v>205</v>
      </c>
      <c r="D27" s="52" t="s">
        <v>261</v>
      </c>
      <c r="E27" s="52"/>
      <c r="F27" s="59"/>
      <c r="G27" s="51"/>
      <c r="H27" s="74"/>
      <c r="I27" s="51"/>
      <c r="J27" s="74"/>
      <c r="K27" s="51"/>
      <c r="L27" s="74"/>
      <c r="M27" s="51"/>
      <c r="N27" s="74"/>
      <c r="O27" s="51"/>
      <c r="P27" s="74"/>
      <c r="Q27" s="51"/>
      <c r="R27" s="74"/>
      <c r="S27" s="51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 s="51"/>
      <c r="AI27" s="51"/>
      <c r="AJ27" s="51"/>
      <c r="AK27" s="51"/>
      <c r="AL27" s="51"/>
      <c r="AM27" s="51"/>
      <c r="AN27" s="51"/>
      <c r="BH27"/>
    </row>
    <row r="28" spans="1:60" s="53" customFormat="1" ht="12.75">
      <c r="A28" s="55"/>
      <c r="B28" s="28" t="s">
        <v>89</v>
      </c>
      <c r="C28" s="28"/>
      <c r="D28" s="28" t="s">
        <v>15</v>
      </c>
      <c r="E28" s="28"/>
      <c r="F28" s="59"/>
      <c r="G28" s="51">
        <v>43700</v>
      </c>
      <c r="H28" s="74"/>
      <c r="I28" s="51">
        <v>48200</v>
      </c>
      <c r="J28" s="74"/>
      <c r="K28" s="51">
        <v>46000</v>
      </c>
      <c r="L28" s="74"/>
      <c r="M28" s="51">
        <v>43500</v>
      </c>
      <c r="N28" s="74"/>
      <c r="O28" s="51"/>
      <c r="P28" s="74"/>
      <c r="Q28" s="51"/>
      <c r="R28" s="74"/>
      <c r="S28" s="51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 s="51"/>
      <c r="AI28" s="51"/>
      <c r="AJ28" s="51"/>
      <c r="AK28" s="51"/>
      <c r="AL28" s="51"/>
      <c r="AM28" s="51"/>
      <c r="AN28" s="51"/>
      <c r="BH28"/>
    </row>
    <row r="29" spans="1:60" s="53" customFormat="1" ht="12.75">
      <c r="A29" s="55"/>
      <c r="B29" s="28" t="s">
        <v>92</v>
      </c>
      <c r="C29" s="28"/>
      <c r="D29" s="28" t="s">
        <v>13</v>
      </c>
      <c r="E29" s="28"/>
      <c r="F29" s="59"/>
      <c r="G29" s="51">
        <v>12.9</v>
      </c>
      <c r="H29" s="74"/>
      <c r="I29" s="51">
        <v>12</v>
      </c>
      <c r="J29" s="74"/>
      <c r="K29" s="51">
        <v>12.5</v>
      </c>
      <c r="L29" s="74"/>
      <c r="M29" s="51">
        <v>12.5</v>
      </c>
      <c r="N29" s="74"/>
      <c r="O29" s="51"/>
      <c r="P29" s="74"/>
      <c r="Q29" s="51"/>
      <c r="R29" s="74"/>
      <c r="S29" s="51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 s="51"/>
      <c r="AI29" s="51"/>
      <c r="AJ29" s="51"/>
      <c r="AK29" s="51"/>
      <c r="AL29" s="51"/>
      <c r="AM29" s="51"/>
      <c r="AN29" s="51"/>
      <c r="BH29"/>
    </row>
    <row r="30" spans="1:60" s="53" customFormat="1" ht="12.75">
      <c r="A30" s="55"/>
      <c r="B30" s="28" t="s">
        <v>93</v>
      </c>
      <c r="C30" s="28"/>
      <c r="D30" s="28" t="s">
        <v>13</v>
      </c>
      <c r="E30" s="28"/>
      <c r="F30" s="59"/>
      <c r="G30" s="51">
        <v>24.9</v>
      </c>
      <c r="H30" s="74"/>
      <c r="I30" s="51">
        <v>24.4</v>
      </c>
      <c r="J30" s="74"/>
      <c r="K30" s="51">
        <v>25.8</v>
      </c>
      <c r="L30" s="74"/>
      <c r="M30" s="51">
        <v>25.4</v>
      </c>
      <c r="N30" s="74"/>
      <c r="O30" s="51"/>
      <c r="P30" s="74"/>
      <c r="Q30" s="51"/>
      <c r="R30" s="74"/>
      <c r="S30" s="51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 s="51"/>
      <c r="AI30" s="51"/>
      <c r="AJ30" s="51"/>
      <c r="AK30" s="51"/>
      <c r="AL30" s="51"/>
      <c r="AM30" s="51"/>
      <c r="AN30" s="51"/>
      <c r="BH30"/>
    </row>
    <row r="31" spans="1:60" s="53" customFormat="1" ht="12.75">
      <c r="A31" s="55"/>
      <c r="B31" s="28" t="s">
        <v>88</v>
      </c>
      <c r="C31" s="28"/>
      <c r="D31" s="28" t="s">
        <v>16</v>
      </c>
      <c r="E31" s="28"/>
      <c r="F31" s="59"/>
      <c r="G31" s="51">
        <v>331</v>
      </c>
      <c r="H31" s="74"/>
      <c r="I31" s="51">
        <v>324</v>
      </c>
      <c r="J31" s="74"/>
      <c r="K31" s="51">
        <v>325</v>
      </c>
      <c r="L31" s="74"/>
      <c r="M31" s="51">
        <v>327</v>
      </c>
      <c r="N31" s="74"/>
      <c r="O31" s="51"/>
      <c r="P31" s="74"/>
      <c r="Q31" s="51"/>
      <c r="R31" s="74"/>
      <c r="S31" s="5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 s="51"/>
      <c r="AI31" s="51"/>
      <c r="AJ31" s="51"/>
      <c r="AK31" s="51"/>
      <c r="AL31" s="51"/>
      <c r="AM31" s="51"/>
      <c r="AN31" s="51"/>
      <c r="BH31"/>
    </row>
    <row r="32" spans="1:60" s="53" customFormat="1" ht="12.75">
      <c r="A32" s="55"/>
      <c r="F32" s="59"/>
      <c r="G32" s="51"/>
      <c r="H32" s="74"/>
      <c r="I32" s="51"/>
      <c r="J32" s="74"/>
      <c r="K32" s="51"/>
      <c r="L32" s="74"/>
      <c r="M32" s="51"/>
      <c r="N32" s="74"/>
      <c r="O32" s="51"/>
      <c r="P32" s="74"/>
      <c r="Q32" s="51"/>
      <c r="R32" s="74"/>
      <c r="S32" s="51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 s="51"/>
      <c r="AI32" s="51"/>
      <c r="AJ32" s="51"/>
      <c r="AK32" s="51"/>
      <c r="AL32" s="51"/>
      <c r="AM32" s="51"/>
      <c r="AN32" s="51"/>
      <c r="BH32"/>
    </row>
    <row r="33" spans="1:60" s="53" customFormat="1" ht="12.75">
      <c r="A33" s="55"/>
      <c r="B33" s="52" t="s">
        <v>94</v>
      </c>
      <c r="C33" s="53" t="s">
        <v>204</v>
      </c>
      <c r="D33" s="53" t="s">
        <v>263</v>
      </c>
      <c r="F33" s="59"/>
      <c r="G33" s="51"/>
      <c r="H33" s="74"/>
      <c r="I33" s="51"/>
      <c r="J33" s="74"/>
      <c r="K33" s="51"/>
      <c r="L33" s="74"/>
      <c r="M33" s="51"/>
      <c r="N33" s="74"/>
      <c r="O33" s="51"/>
      <c r="P33" s="74"/>
      <c r="Q33" s="51"/>
      <c r="R33" s="74"/>
      <c r="S33" s="51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 s="51"/>
      <c r="AI33" s="51"/>
      <c r="AJ33" s="51"/>
      <c r="AK33" s="51"/>
      <c r="AL33" s="51"/>
      <c r="AM33" s="51"/>
      <c r="AN33" s="51"/>
      <c r="BH33"/>
    </row>
    <row r="34" spans="1:60" s="53" customFormat="1" ht="12.75">
      <c r="A34" s="55"/>
      <c r="B34" s="28" t="s">
        <v>89</v>
      </c>
      <c r="C34" s="28"/>
      <c r="D34" s="28" t="s">
        <v>15</v>
      </c>
      <c r="E34" s="28"/>
      <c r="F34" s="59"/>
      <c r="G34" s="51">
        <v>42600</v>
      </c>
      <c r="H34" s="74"/>
      <c r="I34" s="51">
        <v>44000</v>
      </c>
      <c r="J34" s="74"/>
      <c r="K34" s="51">
        <v>44800</v>
      </c>
      <c r="L34" s="74"/>
      <c r="M34" s="51">
        <v>43900</v>
      </c>
      <c r="N34" s="74"/>
      <c r="O34" s="51"/>
      <c r="P34" s="74"/>
      <c r="Q34" s="51"/>
      <c r="R34" s="74"/>
      <c r="S34" s="51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 s="51"/>
      <c r="AI34" s="51"/>
      <c r="AJ34" s="51"/>
      <c r="AK34" s="51"/>
      <c r="AL34" s="51"/>
      <c r="AM34" s="51"/>
      <c r="AN34" s="51"/>
      <c r="BH34"/>
    </row>
    <row r="35" spans="1:60" s="53" customFormat="1" ht="12.75">
      <c r="A35" s="55"/>
      <c r="B35" s="28" t="s">
        <v>92</v>
      </c>
      <c r="C35" s="28"/>
      <c r="D35" s="28" t="s">
        <v>13</v>
      </c>
      <c r="E35" s="28"/>
      <c r="F35" s="59"/>
      <c r="G35" s="51">
        <v>12.9</v>
      </c>
      <c r="H35" s="74"/>
      <c r="I35" s="51">
        <v>12</v>
      </c>
      <c r="J35" s="74"/>
      <c r="K35" s="51">
        <v>12.5</v>
      </c>
      <c r="L35" s="74"/>
      <c r="M35" s="51">
        <v>12.5</v>
      </c>
      <c r="N35" s="74"/>
      <c r="O35" s="51"/>
      <c r="P35" s="74"/>
      <c r="Q35" s="51"/>
      <c r="R35" s="74"/>
      <c r="S35" s="51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 s="51"/>
      <c r="AI35" s="51"/>
      <c r="AJ35" s="51"/>
      <c r="AK35" s="51"/>
      <c r="AL35" s="51"/>
      <c r="AM35" s="51"/>
      <c r="AN35" s="51"/>
      <c r="BH35"/>
    </row>
    <row r="36" spans="1:60" s="53" customFormat="1" ht="12.75">
      <c r="A36" s="55"/>
      <c r="B36" s="28" t="s">
        <v>93</v>
      </c>
      <c r="C36" s="28"/>
      <c r="D36" s="28" t="s">
        <v>13</v>
      </c>
      <c r="E36" s="28"/>
      <c r="F36" s="59"/>
      <c r="G36" s="51">
        <v>26.8</v>
      </c>
      <c r="H36" s="74"/>
      <c r="I36" s="51">
        <v>25</v>
      </c>
      <c r="J36" s="74"/>
      <c r="K36" s="51">
        <v>24.8</v>
      </c>
      <c r="L36" s="74"/>
      <c r="M36" s="51">
        <v>25.5</v>
      </c>
      <c r="N36" s="74"/>
      <c r="O36" s="51"/>
      <c r="P36" s="74"/>
      <c r="Q36" s="51"/>
      <c r="R36" s="74"/>
      <c r="S36" s="51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 s="51"/>
      <c r="AI36" s="51"/>
      <c r="AJ36" s="51"/>
      <c r="AK36" s="51"/>
      <c r="AL36" s="51"/>
      <c r="AM36" s="51"/>
      <c r="AN36" s="51"/>
      <c r="BH36"/>
    </row>
    <row r="37" spans="1:60" s="53" customFormat="1" ht="12.75">
      <c r="A37" s="55"/>
      <c r="B37" s="28" t="s">
        <v>88</v>
      </c>
      <c r="C37" s="28"/>
      <c r="D37" s="28" t="s">
        <v>16</v>
      </c>
      <c r="E37" s="28"/>
      <c r="F37" s="59"/>
      <c r="G37" s="51">
        <v>332</v>
      </c>
      <c r="H37" s="74"/>
      <c r="I37" s="51">
        <v>322</v>
      </c>
      <c r="J37" s="74"/>
      <c r="K37" s="51">
        <v>329</v>
      </c>
      <c r="L37" s="74"/>
      <c r="M37" s="51">
        <v>328</v>
      </c>
      <c r="N37" s="74"/>
      <c r="O37" s="51"/>
      <c r="P37" s="74"/>
      <c r="Q37" s="51"/>
      <c r="R37" s="74"/>
      <c r="S37" s="51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 s="51"/>
      <c r="AI37" s="51"/>
      <c r="AJ37" s="51"/>
      <c r="AK37" s="51"/>
      <c r="AL37" s="51"/>
      <c r="AM37" s="51"/>
      <c r="AN37" s="51"/>
      <c r="BH37"/>
    </row>
    <row r="38" spans="1:60" s="53" customFormat="1" ht="12.75">
      <c r="A38" s="55"/>
      <c r="F38" s="59"/>
      <c r="G38" s="51"/>
      <c r="H38" s="74"/>
      <c r="I38" s="51"/>
      <c r="J38" s="74"/>
      <c r="K38" s="51"/>
      <c r="L38" s="74"/>
      <c r="M38" s="51"/>
      <c r="N38" s="74"/>
      <c r="O38" s="51"/>
      <c r="P38" s="74"/>
      <c r="Q38" s="51"/>
      <c r="R38" s="74"/>
      <c r="S38" s="5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 s="51"/>
      <c r="AI38" s="51"/>
      <c r="AJ38" s="51"/>
      <c r="AK38" s="51"/>
      <c r="AL38" s="51"/>
      <c r="AM38" s="51"/>
      <c r="AN38" s="51"/>
      <c r="BH38"/>
    </row>
    <row r="39" spans="1:60" s="53" customFormat="1" ht="12.75">
      <c r="A39" s="55"/>
      <c r="B39" s="52" t="s">
        <v>94</v>
      </c>
      <c r="C39" s="53" t="s">
        <v>116</v>
      </c>
      <c r="D39" s="53" t="s">
        <v>264</v>
      </c>
      <c r="F39" s="59"/>
      <c r="G39" s="51"/>
      <c r="H39" s="74"/>
      <c r="I39" s="51"/>
      <c r="J39" s="74"/>
      <c r="K39" s="51"/>
      <c r="L39" s="74"/>
      <c r="M39" s="51"/>
      <c r="N39" s="74"/>
      <c r="O39" s="51"/>
      <c r="P39" s="74"/>
      <c r="Q39" s="51"/>
      <c r="R39" s="74"/>
      <c r="S39" s="51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 s="51"/>
      <c r="AI39" s="51"/>
      <c r="AJ39" s="51"/>
      <c r="AK39" s="51"/>
      <c r="AL39" s="51"/>
      <c r="AM39" s="51"/>
      <c r="AN39" s="51"/>
      <c r="BH39"/>
    </row>
    <row r="40" spans="1:60" s="53" customFormat="1" ht="12.75">
      <c r="A40" s="55"/>
      <c r="B40" s="28" t="s">
        <v>89</v>
      </c>
      <c r="C40" s="28"/>
      <c r="D40" s="28" t="s">
        <v>15</v>
      </c>
      <c r="E40" s="28"/>
      <c r="F40" s="59"/>
      <c r="G40" s="51">
        <v>46900</v>
      </c>
      <c r="H40" s="74"/>
      <c r="I40" s="51">
        <v>45900</v>
      </c>
      <c r="J40" s="74"/>
      <c r="K40" s="51">
        <v>49400</v>
      </c>
      <c r="L40" s="74"/>
      <c r="M40" s="51">
        <v>45700</v>
      </c>
      <c r="N40" s="74"/>
      <c r="O40" s="51"/>
      <c r="P40" s="74"/>
      <c r="Q40" s="51"/>
      <c r="R40" s="74"/>
      <c r="S40" s="51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 s="51"/>
      <c r="AI40" s="51"/>
      <c r="AJ40" s="51"/>
      <c r="AK40" s="51"/>
      <c r="AL40" s="51"/>
      <c r="AM40" s="51"/>
      <c r="AN40" s="51"/>
      <c r="BH40"/>
    </row>
    <row r="41" spans="1:60" s="53" customFormat="1" ht="12.75">
      <c r="A41" s="55"/>
      <c r="B41" s="28" t="s">
        <v>92</v>
      </c>
      <c r="C41" s="28"/>
      <c r="D41" s="28" t="s">
        <v>13</v>
      </c>
      <c r="E41" s="28"/>
      <c r="F41" s="59"/>
      <c r="G41" s="51">
        <v>12.9</v>
      </c>
      <c r="H41" s="74"/>
      <c r="I41" s="51">
        <v>12</v>
      </c>
      <c r="J41" s="74"/>
      <c r="K41" s="51">
        <v>12.5</v>
      </c>
      <c r="L41" s="74"/>
      <c r="M41" s="51">
        <v>12.5</v>
      </c>
      <c r="N41" s="74"/>
      <c r="O41" s="51"/>
      <c r="P41" s="74"/>
      <c r="Q41" s="51"/>
      <c r="R41" s="74"/>
      <c r="S41" s="5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 s="51"/>
      <c r="AI41" s="51"/>
      <c r="AJ41" s="51"/>
      <c r="AK41" s="51"/>
      <c r="AL41" s="51"/>
      <c r="AM41" s="51"/>
      <c r="AN41" s="51"/>
      <c r="BH41"/>
    </row>
    <row r="42" spans="1:60" s="53" customFormat="1" ht="12.75">
      <c r="A42" s="55"/>
      <c r="B42" s="28" t="s">
        <v>93</v>
      </c>
      <c r="C42" s="28"/>
      <c r="D42" s="28" t="s">
        <v>13</v>
      </c>
      <c r="E42" s="28"/>
      <c r="F42" s="59"/>
      <c r="G42" s="51">
        <v>25.6</v>
      </c>
      <c r="H42" s="74"/>
      <c r="I42" s="51">
        <v>26.4</v>
      </c>
      <c r="J42" s="74"/>
      <c r="K42" s="51">
        <v>25.8</v>
      </c>
      <c r="L42" s="74"/>
      <c r="M42" s="51">
        <v>26.9</v>
      </c>
      <c r="N42" s="74"/>
      <c r="O42" s="51"/>
      <c r="P42" s="74"/>
      <c r="Q42" s="51"/>
      <c r="R42" s="74"/>
      <c r="S42" s="51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 s="51"/>
      <c r="AI42" s="51"/>
      <c r="AJ42" s="51"/>
      <c r="AK42" s="51"/>
      <c r="AL42" s="51"/>
      <c r="AM42" s="51"/>
      <c r="AN42" s="51"/>
      <c r="BH42"/>
    </row>
    <row r="43" spans="1:60" s="53" customFormat="1" ht="12.75">
      <c r="A43" s="55"/>
      <c r="B43" s="28" t="s">
        <v>88</v>
      </c>
      <c r="C43" s="28"/>
      <c r="D43" s="28" t="s">
        <v>16</v>
      </c>
      <c r="E43" s="28"/>
      <c r="F43" s="59"/>
      <c r="G43" s="51">
        <v>332</v>
      </c>
      <c r="H43" s="74"/>
      <c r="I43" s="51">
        <v>326</v>
      </c>
      <c r="J43" s="74"/>
      <c r="K43" s="51">
        <v>327</v>
      </c>
      <c r="L43" s="74"/>
      <c r="M43" s="51">
        <v>326</v>
      </c>
      <c r="N43" s="74"/>
      <c r="O43" s="51"/>
      <c r="P43" s="74"/>
      <c r="Q43" s="51"/>
      <c r="R43" s="74"/>
      <c r="S43" s="51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 s="51"/>
      <c r="AI43" s="51"/>
      <c r="AJ43" s="51"/>
      <c r="AK43" s="51"/>
      <c r="AL43" s="51"/>
      <c r="AM43" s="51"/>
      <c r="AN43" s="51"/>
      <c r="BH43"/>
    </row>
    <row r="44" spans="1:60" s="52" customFormat="1" ht="12.75">
      <c r="A44" s="55"/>
      <c r="F44" s="74"/>
      <c r="H44" s="74"/>
      <c r="J44" s="74"/>
      <c r="L44" s="74"/>
      <c r="N44" s="74"/>
      <c r="P44" s="74"/>
      <c r="R44" s="7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BH44"/>
    </row>
    <row r="45" spans="1:60" s="52" customFormat="1" ht="12.75">
      <c r="A45" s="55"/>
      <c r="B45" s="52" t="s">
        <v>94</v>
      </c>
      <c r="C45" s="53" t="s">
        <v>202</v>
      </c>
      <c r="D45" s="52" t="s">
        <v>265</v>
      </c>
      <c r="F45" s="74"/>
      <c r="H45" s="74"/>
      <c r="J45" s="74"/>
      <c r="L45" s="74"/>
      <c r="N45" s="74"/>
      <c r="P45" s="74"/>
      <c r="R45" s="74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BH45"/>
    </row>
    <row r="46" spans="1:60" s="53" customFormat="1" ht="12.75">
      <c r="A46" s="55"/>
      <c r="B46" s="28" t="s">
        <v>89</v>
      </c>
      <c r="C46" s="28"/>
      <c r="D46" s="28" t="s">
        <v>15</v>
      </c>
      <c r="E46" s="28"/>
      <c r="F46" s="59"/>
      <c r="G46" s="51">
        <v>45700</v>
      </c>
      <c r="H46" s="74"/>
      <c r="I46" s="51">
        <v>45800</v>
      </c>
      <c r="J46" s="74"/>
      <c r="K46" s="51">
        <v>47800</v>
      </c>
      <c r="L46" s="74"/>
      <c r="M46" s="51">
        <v>48500</v>
      </c>
      <c r="N46" s="74"/>
      <c r="O46" s="51"/>
      <c r="P46" s="74"/>
      <c r="Q46" s="51"/>
      <c r="R46" s="74"/>
      <c r="S46" s="51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 s="51"/>
      <c r="AI46" s="51"/>
      <c r="AJ46" s="51"/>
      <c r="AK46" s="51"/>
      <c r="AL46" s="51"/>
      <c r="AM46" s="51"/>
      <c r="AN46" s="51"/>
      <c r="BH46"/>
    </row>
    <row r="47" spans="1:60" s="53" customFormat="1" ht="12.75">
      <c r="A47" s="55"/>
      <c r="B47" s="28" t="s">
        <v>92</v>
      </c>
      <c r="C47" s="28"/>
      <c r="D47" s="28" t="s">
        <v>13</v>
      </c>
      <c r="E47" s="28"/>
      <c r="F47" s="59"/>
      <c r="G47" s="51">
        <v>13.5</v>
      </c>
      <c r="H47" s="74"/>
      <c r="I47" s="51">
        <v>11.5</v>
      </c>
      <c r="J47" s="74"/>
      <c r="K47" s="51">
        <v>11.8</v>
      </c>
      <c r="L47" s="74"/>
      <c r="M47" s="51">
        <v>11.8</v>
      </c>
      <c r="N47" s="74"/>
      <c r="O47" s="51"/>
      <c r="P47" s="74"/>
      <c r="Q47" s="51"/>
      <c r="R47" s="74"/>
      <c r="S47" s="51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 s="51"/>
      <c r="AI47" s="51"/>
      <c r="AJ47" s="51"/>
      <c r="AK47" s="51"/>
      <c r="AL47" s="51"/>
      <c r="AM47" s="51"/>
      <c r="AN47" s="51"/>
      <c r="BH47"/>
    </row>
    <row r="48" spans="1:60" s="53" customFormat="1" ht="12.75">
      <c r="A48" s="55"/>
      <c r="B48" s="28" t="s">
        <v>93</v>
      </c>
      <c r="C48" s="28"/>
      <c r="D48" s="28" t="s">
        <v>13</v>
      </c>
      <c r="E48" s="28"/>
      <c r="F48" s="59"/>
      <c r="G48" s="51">
        <v>24.6</v>
      </c>
      <c r="H48" s="74"/>
      <c r="I48" s="51">
        <v>25</v>
      </c>
      <c r="J48" s="74"/>
      <c r="K48" s="51">
        <v>22.9</v>
      </c>
      <c r="L48" s="74"/>
      <c r="M48" s="51">
        <v>17.1</v>
      </c>
      <c r="N48" s="74"/>
      <c r="O48" s="51"/>
      <c r="P48" s="74"/>
      <c r="Q48" s="51"/>
      <c r="R48" s="74"/>
      <c r="S48" s="51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 s="51"/>
      <c r="AI48" s="51"/>
      <c r="AJ48" s="51"/>
      <c r="AK48" s="51"/>
      <c r="AL48" s="51"/>
      <c r="AM48" s="51"/>
      <c r="AN48" s="51"/>
      <c r="BH48"/>
    </row>
    <row r="49" spans="1:60" s="53" customFormat="1" ht="12.75">
      <c r="A49" s="55"/>
      <c r="B49" s="28" t="s">
        <v>88</v>
      </c>
      <c r="C49" s="28"/>
      <c r="D49" s="28" t="s">
        <v>16</v>
      </c>
      <c r="E49" s="28"/>
      <c r="F49" s="59"/>
      <c r="G49" s="51">
        <v>331</v>
      </c>
      <c r="H49" s="74"/>
      <c r="I49" s="51">
        <v>325</v>
      </c>
      <c r="J49" s="74"/>
      <c r="K49" s="51">
        <v>326</v>
      </c>
      <c r="L49" s="74"/>
      <c r="M49" s="51">
        <v>326</v>
      </c>
      <c r="N49" s="74"/>
      <c r="O49" s="51"/>
      <c r="P49" s="74"/>
      <c r="Q49" s="51"/>
      <c r="R49" s="74"/>
      <c r="S49" s="51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 s="51"/>
      <c r="AI49" s="51"/>
      <c r="AJ49" s="51"/>
      <c r="AK49" s="51"/>
      <c r="AL49" s="51"/>
      <c r="AM49" s="51"/>
      <c r="AN49" s="51"/>
      <c r="BH49"/>
    </row>
    <row r="50" spans="1:60" s="53" customFormat="1" ht="12.75">
      <c r="A50" s="55"/>
      <c r="F50" s="59"/>
      <c r="G50" s="51"/>
      <c r="H50" s="74"/>
      <c r="I50" s="51"/>
      <c r="J50" s="74"/>
      <c r="K50" s="51"/>
      <c r="L50" s="74"/>
      <c r="M50" s="51"/>
      <c r="N50" s="74"/>
      <c r="O50" s="51"/>
      <c r="P50" s="74"/>
      <c r="Q50" s="51"/>
      <c r="R50" s="74"/>
      <c r="S50" s="51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 s="51"/>
      <c r="AI50" s="51"/>
      <c r="AJ50" s="51"/>
      <c r="AK50" s="51"/>
      <c r="AL50" s="51"/>
      <c r="AM50" s="51"/>
      <c r="AN50" s="51"/>
      <c r="BH50"/>
    </row>
    <row r="51" spans="1:60" s="53" customFormat="1" ht="12.75">
      <c r="A51" s="55"/>
      <c r="B51" s="52" t="s">
        <v>94</v>
      </c>
      <c r="C51" s="53" t="s">
        <v>203</v>
      </c>
      <c r="D51" s="53" t="s">
        <v>266</v>
      </c>
      <c r="F51" s="59"/>
      <c r="G51" s="51"/>
      <c r="H51" s="74"/>
      <c r="I51" s="51"/>
      <c r="J51" s="74"/>
      <c r="K51" s="51"/>
      <c r="L51" s="74"/>
      <c r="M51" s="51"/>
      <c r="N51" s="74"/>
      <c r="O51" s="51"/>
      <c r="P51" s="74"/>
      <c r="Q51" s="51"/>
      <c r="R51" s="74"/>
      <c r="S51" s="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 s="51"/>
      <c r="AI51" s="51"/>
      <c r="AJ51" s="51"/>
      <c r="AK51" s="51"/>
      <c r="AL51" s="51"/>
      <c r="AM51" s="51"/>
      <c r="AN51" s="51"/>
      <c r="BH51"/>
    </row>
    <row r="52" spans="1:60" s="53" customFormat="1" ht="12.75">
      <c r="A52" s="55"/>
      <c r="B52" s="28" t="s">
        <v>89</v>
      </c>
      <c r="C52" s="28"/>
      <c r="D52" s="28" t="s">
        <v>15</v>
      </c>
      <c r="E52" s="28"/>
      <c r="F52" s="59"/>
      <c r="G52" s="51">
        <v>46200</v>
      </c>
      <c r="H52" s="74"/>
      <c r="I52" s="51">
        <v>49100</v>
      </c>
      <c r="J52" s="74"/>
      <c r="K52" s="51">
        <v>46600</v>
      </c>
      <c r="L52" s="74"/>
      <c r="M52" s="51"/>
      <c r="N52" s="74"/>
      <c r="O52" s="51"/>
      <c r="P52" s="74"/>
      <c r="Q52" s="51"/>
      <c r="R52" s="74"/>
      <c r="S52" s="51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 s="51"/>
      <c r="AI52" s="51"/>
      <c r="AJ52" s="51"/>
      <c r="AK52" s="51"/>
      <c r="AL52" s="51"/>
      <c r="AM52" s="51"/>
      <c r="AN52" s="51"/>
      <c r="BH52"/>
    </row>
    <row r="53" spans="1:60" s="53" customFormat="1" ht="12.75">
      <c r="A53" s="55"/>
      <c r="B53" s="28" t="s">
        <v>92</v>
      </c>
      <c r="C53" s="28"/>
      <c r="D53" s="28" t="s">
        <v>13</v>
      </c>
      <c r="E53" s="28"/>
      <c r="F53" s="59"/>
      <c r="G53" s="51">
        <v>13.1</v>
      </c>
      <c r="H53" s="74"/>
      <c r="I53" s="51">
        <v>11.7</v>
      </c>
      <c r="J53" s="74"/>
      <c r="K53" s="51">
        <v>12.3</v>
      </c>
      <c r="L53" s="74"/>
      <c r="M53" s="51"/>
      <c r="N53" s="74"/>
      <c r="O53" s="51"/>
      <c r="P53" s="74"/>
      <c r="Q53" s="51"/>
      <c r="R53" s="74"/>
      <c r="S53" s="51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 s="51"/>
      <c r="AI53" s="51"/>
      <c r="AJ53" s="51"/>
      <c r="AK53" s="51"/>
      <c r="AL53" s="51"/>
      <c r="AM53" s="51"/>
      <c r="AN53" s="51"/>
      <c r="BH53"/>
    </row>
    <row r="54" spans="1:60" s="53" customFormat="1" ht="12.75">
      <c r="A54" s="55"/>
      <c r="B54" s="28" t="s">
        <v>93</v>
      </c>
      <c r="C54" s="28"/>
      <c r="D54" s="28" t="s">
        <v>13</v>
      </c>
      <c r="E54" s="28"/>
      <c r="F54" s="59"/>
      <c r="G54" s="51">
        <v>25.2</v>
      </c>
      <c r="H54" s="74"/>
      <c r="I54" s="51">
        <v>24.2</v>
      </c>
      <c r="J54" s="74"/>
      <c r="K54" s="51">
        <v>25</v>
      </c>
      <c r="L54" s="74"/>
      <c r="M54" s="51"/>
      <c r="N54" s="74"/>
      <c r="O54" s="51"/>
      <c r="P54" s="74"/>
      <c r="Q54" s="51"/>
      <c r="R54" s="74"/>
      <c r="S54" s="51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 s="51"/>
      <c r="AI54" s="51"/>
      <c r="AJ54" s="51"/>
      <c r="AK54" s="51"/>
      <c r="AL54" s="51"/>
      <c r="AM54" s="51"/>
      <c r="AN54" s="51"/>
      <c r="BH54"/>
    </row>
    <row r="55" spans="1:60" s="53" customFormat="1" ht="12.75">
      <c r="A55" s="55"/>
      <c r="B55" s="28" t="s">
        <v>88</v>
      </c>
      <c r="C55" s="28"/>
      <c r="D55" s="28" t="s">
        <v>16</v>
      </c>
      <c r="E55" s="28"/>
      <c r="F55" s="59"/>
      <c r="G55" s="51">
        <v>328</v>
      </c>
      <c r="H55" s="74"/>
      <c r="I55" s="51">
        <v>325</v>
      </c>
      <c r="J55" s="74"/>
      <c r="K55" s="51">
        <v>326</v>
      </c>
      <c r="L55" s="74"/>
      <c r="M55" s="51"/>
      <c r="N55" s="74"/>
      <c r="O55" s="51"/>
      <c r="P55" s="74"/>
      <c r="Q55" s="51"/>
      <c r="R55" s="74"/>
      <c r="S55" s="51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 s="51"/>
      <c r="AI55" s="51"/>
      <c r="AJ55" s="51"/>
      <c r="AK55" s="51"/>
      <c r="AL55" s="51"/>
      <c r="AM55" s="51"/>
      <c r="AN55" s="51"/>
      <c r="BH55"/>
    </row>
    <row r="56" spans="1:60" s="52" customFormat="1" ht="12.75">
      <c r="A56" s="55"/>
      <c r="F56" s="74"/>
      <c r="H56" s="74"/>
      <c r="J56" s="74"/>
      <c r="L56" s="74"/>
      <c r="N56" s="74"/>
      <c r="P56" s="74"/>
      <c r="R56" s="74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BH56"/>
    </row>
    <row r="57" spans="1:60" s="52" customFormat="1" ht="12.75">
      <c r="A57" s="55">
        <v>2</v>
      </c>
      <c r="B57" s="54" t="s">
        <v>190</v>
      </c>
      <c r="F57" s="74"/>
      <c r="G57" s="3" t="s">
        <v>122</v>
      </c>
      <c r="H57" s="3"/>
      <c r="I57" s="3" t="s">
        <v>123</v>
      </c>
      <c r="J57" s="3"/>
      <c r="K57" s="3" t="s">
        <v>124</v>
      </c>
      <c r="L57" s="3"/>
      <c r="M57" s="3" t="s">
        <v>196</v>
      </c>
      <c r="N57" s="3"/>
      <c r="O57" s="3" t="s">
        <v>197</v>
      </c>
      <c r="P57" s="3"/>
      <c r="Q57" s="3" t="s">
        <v>198</v>
      </c>
      <c r="R57" s="3"/>
      <c r="S57" s="3" t="s">
        <v>66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BH57"/>
    </row>
    <row r="58" spans="1:60" s="52" customFormat="1" ht="12.75">
      <c r="A58" s="55"/>
      <c r="F58" s="74"/>
      <c r="H58" s="74"/>
      <c r="J58" s="74"/>
      <c r="L58" s="74"/>
      <c r="N58" s="74"/>
      <c r="P58" s="74"/>
      <c r="R58" s="74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BH58"/>
    </row>
    <row r="59" spans="1:60" s="50" customFormat="1" ht="12.75">
      <c r="A59" s="55"/>
      <c r="B59" s="50" t="s">
        <v>17</v>
      </c>
      <c r="C59" s="50" t="s">
        <v>261</v>
      </c>
      <c r="D59" s="50" t="s">
        <v>18</v>
      </c>
      <c r="E59" s="52" t="s">
        <v>14</v>
      </c>
      <c r="F59" s="74" t="s">
        <v>199</v>
      </c>
      <c r="G59" s="56">
        <v>0.023674392151011234</v>
      </c>
      <c r="H59" s="77" t="s">
        <v>199</v>
      </c>
      <c r="I59" s="56">
        <v>0.022156741531826</v>
      </c>
      <c r="J59" s="77" t="s">
        <v>199</v>
      </c>
      <c r="K59" s="56">
        <v>0.01875717531664516</v>
      </c>
      <c r="L59" s="77" t="s">
        <v>199</v>
      </c>
      <c r="M59" s="56">
        <v>0.00918759114</v>
      </c>
      <c r="N59" s="77" t="s">
        <v>199</v>
      </c>
      <c r="O59" s="56">
        <v>0.017600174592</v>
      </c>
      <c r="P59" s="77" t="s">
        <v>199</v>
      </c>
      <c r="Q59" s="56">
        <v>0.01707439618045361</v>
      </c>
      <c r="R59" s="74" t="s">
        <v>199</v>
      </c>
      <c r="S59" s="50">
        <f>AVERAGE(Q59,O59,M59,K59,I59,G59)</f>
        <v>0.01807507848532267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BH59"/>
    </row>
    <row r="60" spans="1:60" s="52" customFormat="1" ht="12.75">
      <c r="A60" s="55"/>
      <c r="B60" s="52" t="s">
        <v>117</v>
      </c>
      <c r="C60" s="50" t="s">
        <v>261</v>
      </c>
      <c r="D60" s="52" t="s">
        <v>62</v>
      </c>
      <c r="E60" s="52" t="s">
        <v>14</v>
      </c>
      <c r="F60" s="74" t="s">
        <v>199</v>
      </c>
      <c r="G60" s="52">
        <v>29</v>
      </c>
      <c r="H60" s="74" t="s">
        <v>199</v>
      </c>
      <c r="I60" s="52">
        <v>28</v>
      </c>
      <c r="J60" s="74" t="s">
        <v>199</v>
      </c>
      <c r="K60" s="52">
        <v>23</v>
      </c>
      <c r="L60" s="74" t="s">
        <v>199</v>
      </c>
      <c r="M60" s="52">
        <v>39</v>
      </c>
      <c r="N60" s="74" t="s">
        <v>199</v>
      </c>
      <c r="O60" s="52">
        <v>37</v>
      </c>
      <c r="P60" s="74" t="s">
        <v>199</v>
      </c>
      <c r="Q60" s="52">
        <v>32</v>
      </c>
      <c r="R60" s="74" t="s">
        <v>199</v>
      </c>
      <c r="S60" s="52">
        <f aca="true" t="shared" si="3" ref="S60:S69">AVERAGE(Q60,O60,M60,K60,I60,G60)</f>
        <v>31.333333333333332</v>
      </c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BH60"/>
    </row>
    <row r="61" spans="1:60" s="52" customFormat="1" ht="12.75">
      <c r="A61" s="55"/>
      <c r="B61" s="52" t="s">
        <v>200</v>
      </c>
      <c r="C61" s="50" t="s">
        <v>261</v>
      </c>
      <c r="D61" s="52" t="s">
        <v>62</v>
      </c>
      <c r="E61" s="52" t="s">
        <v>14</v>
      </c>
      <c r="F61" s="74" t="s">
        <v>199</v>
      </c>
      <c r="G61" s="52">
        <v>28</v>
      </c>
      <c r="H61" s="74" t="s">
        <v>199</v>
      </c>
      <c r="I61" s="52">
        <v>23</v>
      </c>
      <c r="J61" s="74" t="s">
        <v>199</v>
      </c>
      <c r="K61" s="52">
        <v>21</v>
      </c>
      <c r="L61" s="74" t="s">
        <v>199</v>
      </c>
      <c r="M61" s="52">
        <v>26</v>
      </c>
      <c r="N61" s="74" t="s">
        <v>199</v>
      </c>
      <c r="O61" s="52">
        <v>27</v>
      </c>
      <c r="P61" s="74" t="s">
        <v>199</v>
      </c>
      <c r="Q61" s="52">
        <v>25</v>
      </c>
      <c r="R61" s="74" t="s">
        <v>199</v>
      </c>
      <c r="S61" s="52">
        <f t="shared" si="3"/>
        <v>25</v>
      </c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BH61"/>
    </row>
    <row r="62" spans="1:60" s="52" customFormat="1" ht="12.75">
      <c r="A62" s="55"/>
      <c r="B62" s="52" t="s">
        <v>99</v>
      </c>
      <c r="C62" s="52" t="s">
        <v>263</v>
      </c>
      <c r="D62" s="52" t="s">
        <v>65</v>
      </c>
      <c r="E62" s="52" t="s">
        <v>14</v>
      </c>
      <c r="F62" s="74" t="s">
        <v>12</v>
      </c>
      <c r="G62" s="52">
        <v>0.7386273213483144</v>
      </c>
      <c r="H62" s="74" t="s">
        <v>12</v>
      </c>
      <c r="I62" s="52">
        <v>0.6803997260869565</v>
      </c>
      <c r="J62" s="74" t="s">
        <v>12</v>
      </c>
      <c r="K62" s="52">
        <v>0.65113522173913</v>
      </c>
      <c r="L62" s="74" t="s">
        <v>12</v>
      </c>
      <c r="M62" s="52">
        <v>0.76592271724138</v>
      </c>
      <c r="N62" s="74" t="s">
        <v>12</v>
      </c>
      <c r="O62" s="52">
        <v>0.6044016</v>
      </c>
      <c r="P62" s="74" t="s">
        <v>12</v>
      </c>
      <c r="Q62" s="52">
        <v>0.6164267313131313</v>
      </c>
      <c r="R62" s="74">
        <v>100</v>
      </c>
      <c r="S62" s="52">
        <f t="shared" si="3"/>
        <v>0.6761522196214852</v>
      </c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BH62"/>
    </row>
    <row r="63" spans="1:60" s="52" customFormat="1" ht="12.75">
      <c r="A63" s="55"/>
      <c r="B63" s="52" t="s">
        <v>95</v>
      </c>
      <c r="C63" s="52" t="s">
        <v>263</v>
      </c>
      <c r="D63" s="52" t="s">
        <v>65</v>
      </c>
      <c r="E63" s="52" t="s">
        <v>14</v>
      </c>
      <c r="F63" s="74" t="s">
        <v>12</v>
      </c>
      <c r="G63" s="52">
        <v>0.7386273213483144</v>
      </c>
      <c r="H63" s="74" t="s">
        <v>12</v>
      </c>
      <c r="I63" s="52">
        <v>0.6803997260869565</v>
      </c>
      <c r="J63" s="74" t="s">
        <v>12</v>
      </c>
      <c r="K63" s="52">
        <v>0.65113522173913</v>
      </c>
      <c r="L63" s="74" t="s">
        <v>12</v>
      </c>
      <c r="M63" s="52">
        <v>0.76592271724138</v>
      </c>
      <c r="N63" s="74" t="s">
        <v>12</v>
      </c>
      <c r="O63" s="52">
        <v>0.6044016</v>
      </c>
      <c r="P63" s="74" t="s">
        <v>12</v>
      </c>
      <c r="Q63" s="52">
        <v>0.6164267313131313</v>
      </c>
      <c r="R63" s="74">
        <v>100</v>
      </c>
      <c r="S63" s="52">
        <f t="shared" si="3"/>
        <v>0.6761522196214852</v>
      </c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BH63"/>
    </row>
    <row r="64" spans="1:60" s="52" customFormat="1" ht="12.75">
      <c r="A64" s="55"/>
      <c r="B64" s="52" t="s">
        <v>97</v>
      </c>
      <c r="C64" s="52" t="s">
        <v>263</v>
      </c>
      <c r="D64" s="52" t="s">
        <v>65</v>
      </c>
      <c r="E64" s="52" t="s">
        <v>14</v>
      </c>
      <c r="F64" s="74" t="s">
        <v>12</v>
      </c>
      <c r="G64" s="52">
        <v>0.07386273213483145</v>
      </c>
      <c r="H64" s="74" t="s">
        <v>12</v>
      </c>
      <c r="I64" s="52">
        <v>0.06803997260869565</v>
      </c>
      <c r="J64" s="74" t="s">
        <v>12</v>
      </c>
      <c r="K64" s="52">
        <v>0.065113522173913</v>
      </c>
      <c r="L64" s="74" t="s">
        <v>12</v>
      </c>
      <c r="M64" s="52">
        <v>0.076592271724138</v>
      </c>
      <c r="N64" s="74" t="s">
        <v>12</v>
      </c>
      <c r="O64" s="52">
        <v>0.06044016</v>
      </c>
      <c r="P64" s="74" t="s">
        <v>12</v>
      </c>
      <c r="Q64" s="52">
        <v>0.061642673131313136</v>
      </c>
      <c r="R64" s="74">
        <v>100</v>
      </c>
      <c r="S64" s="52">
        <f t="shared" si="3"/>
        <v>0.06761522196214854</v>
      </c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BH64"/>
    </row>
    <row r="65" spans="1:60" s="52" customFormat="1" ht="12.75">
      <c r="A65" s="55"/>
      <c r="B65" s="52" t="s">
        <v>102</v>
      </c>
      <c r="C65" s="52" t="s">
        <v>263</v>
      </c>
      <c r="D65" s="52" t="s">
        <v>65</v>
      </c>
      <c r="E65" s="52" t="s">
        <v>14</v>
      </c>
      <c r="F65" s="74" t="s">
        <v>199</v>
      </c>
      <c r="G65" s="52">
        <v>415.95053932584256</v>
      </c>
      <c r="H65" s="74" t="s">
        <v>199</v>
      </c>
      <c r="I65" s="52">
        <v>168.2709</v>
      </c>
      <c r="J65" s="74" t="s">
        <v>199</v>
      </c>
      <c r="K65" s="52">
        <v>46.33546521739131</v>
      </c>
      <c r="L65" s="74" t="s">
        <v>199</v>
      </c>
      <c r="M65" s="52">
        <v>46.161672183908</v>
      </c>
      <c r="N65" s="74" t="s">
        <v>199</v>
      </c>
      <c r="O65" s="52">
        <v>86.9972</v>
      </c>
      <c r="P65" s="74" t="s">
        <v>199</v>
      </c>
      <c r="Q65" s="52">
        <v>107.42142303030302</v>
      </c>
      <c r="R65" s="74" t="s">
        <v>199</v>
      </c>
      <c r="S65" s="52">
        <f t="shared" si="3"/>
        <v>145.1895332929075</v>
      </c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BH65"/>
    </row>
    <row r="66" spans="1:60" s="52" customFormat="1" ht="12.75">
      <c r="A66" s="55"/>
      <c r="B66" s="52" t="s">
        <v>104</v>
      </c>
      <c r="C66" s="52" t="s">
        <v>263</v>
      </c>
      <c r="D66" s="52" t="s">
        <v>65</v>
      </c>
      <c r="E66" s="52" t="s">
        <v>14</v>
      </c>
      <c r="F66" s="74" t="s">
        <v>199</v>
      </c>
      <c r="G66" s="52">
        <v>7.2854367191011224</v>
      </c>
      <c r="H66" s="74" t="s">
        <v>199</v>
      </c>
      <c r="I66" s="52">
        <v>6.877158521739132</v>
      </c>
      <c r="J66" s="74" t="s">
        <v>199</v>
      </c>
      <c r="K66" s="52">
        <v>7.1698035652174</v>
      </c>
      <c r="L66" s="74" t="s">
        <v>199</v>
      </c>
      <c r="M66" s="52">
        <v>4.7451104367816</v>
      </c>
      <c r="N66" s="74" t="s">
        <v>199</v>
      </c>
      <c r="O66" s="52">
        <v>293.0432</v>
      </c>
      <c r="P66" s="74" t="s">
        <v>199</v>
      </c>
      <c r="Q66" s="52">
        <v>4.623200484848485</v>
      </c>
      <c r="R66" s="74" t="s">
        <v>199</v>
      </c>
      <c r="S66" s="52">
        <f t="shared" si="3"/>
        <v>53.95731828794797</v>
      </c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BH66"/>
    </row>
    <row r="67" spans="1:60" s="52" customFormat="1" ht="12.75">
      <c r="A67" s="55"/>
      <c r="B67" s="52" t="s">
        <v>201</v>
      </c>
      <c r="C67" s="52" t="s">
        <v>264</v>
      </c>
      <c r="D67" s="52" t="s">
        <v>65</v>
      </c>
      <c r="E67" s="52" t="s">
        <v>14</v>
      </c>
      <c r="F67" s="74" t="s">
        <v>199</v>
      </c>
      <c r="G67" s="52">
        <v>1.5251519775280897</v>
      </c>
      <c r="H67" s="74" t="s">
        <v>199</v>
      </c>
      <c r="I67" s="52">
        <v>1.7778186391304351</v>
      </c>
      <c r="J67" s="74" t="s">
        <v>199</v>
      </c>
      <c r="K67" s="52">
        <v>1.7466398795699</v>
      </c>
      <c r="L67" s="74" t="s">
        <v>199</v>
      </c>
      <c r="M67" s="52">
        <v>1.0844124666666668</v>
      </c>
      <c r="N67" s="74" t="s">
        <v>199</v>
      </c>
      <c r="O67" s="52">
        <v>1.1378318</v>
      </c>
      <c r="P67" s="74" t="s">
        <v>199</v>
      </c>
      <c r="Q67" s="52">
        <v>1.5682153979381446</v>
      </c>
      <c r="R67" s="74" t="s">
        <v>199</v>
      </c>
      <c r="S67" s="52">
        <f t="shared" si="3"/>
        <v>1.4733450268055395</v>
      </c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BH67"/>
    </row>
    <row r="68" spans="1:60" s="52" customFormat="1" ht="12.75">
      <c r="A68" s="55"/>
      <c r="B68" s="52" t="s">
        <v>100</v>
      </c>
      <c r="C68" s="52" t="s">
        <v>263</v>
      </c>
      <c r="D68" s="52" t="s">
        <v>65</v>
      </c>
      <c r="E68" s="52" t="s">
        <v>14</v>
      </c>
      <c r="F68" s="74" t="s">
        <v>199</v>
      </c>
      <c r="G68" s="52">
        <v>220.075648988764</v>
      </c>
      <c r="H68" s="74" t="s">
        <v>199</v>
      </c>
      <c r="I68" s="52">
        <v>112.1806</v>
      </c>
      <c r="J68" s="74" t="s">
        <v>199</v>
      </c>
      <c r="K68" s="52">
        <v>49.993528260869574</v>
      </c>
      <c r="L68" s="74" t="s">
        <v>199</v>
      </c>
      <c r="M68" s="52">
        <v>34.298896091954</v>
      </c>
      <c r="N68" s="74" t="s">
        <v>199</v>
      </c>
      <c r="O68" s="52">
        <v>155.6792</v>
      </c>
      <c r="P68" s="74" t="s">
        <v>199</v>
      </c>
      <c r="Q68" s="52">
        <v>104.02201090909</v>
      </c>
      <c r="R68" s="74" t="s">
        <v>199</v>
      </c>
      <c r="S68" s="52">
        <f t="shared" si="3"/>
        <v>112.7083140417796</v>
      </c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BH68"/>
    </row>
    <row r="69" spans="1:60" s="52" customFormat="1" ht="12.75">
      <c r="A69" s="55"/>
      <c r="B69" s="52" t="s">
        <v>98</v>
      </c>
      <c r="C69" s="52" t="s">
        <v>263</v>
      </c>
      <c r="D69" s="52" t="s">
        <v>65</v>
      </c>
      <c r="E69" s="52" t="s">
        <v>14</v>
      </c>
      <c r="F69" s="74" t="s">
        <v>12</v>
      </c>
      <c r="G69" s="52">
        <v>0.7386273213483144</v>
      </c>
      <c r="H69" s="74" t="s">
        <v>199</v>
      </c>
      <c r="I69" s="52">
        <v>0.69503197826087</v>
      </c>
      <c r="J69" s="74" t="s">
        <v>199</v>
      </c>
      <c r="K69" s="52">
        <v>0.5145675347826087</v>
      </c>
      <c r="L69" s="74" t="s">
        <v>199</v>
      </c>
      <c r="M69" s="52">
        <v>0.76592271724138</v>
      </c>
      <c r="N69" s="74" t="s">
        <v>199</v>
      </c>
      <c r="O69" s="52">
        <v>0.434986</v>
      </c>
      <c r="P69" s="74" t="s">
        <v>199</v>
      </c>
      <c r="Q69" s="52">
        <v>0.5053792686868687</v>
      </c>
      <c r="R69" s="74" t="s">
        <v>199</v>
      </c>
      <c r="S69" s="52">
        <f t="shared" si="3"/>
        <v>0.6090858033866736</v>
      </c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BH69"/>
    </row>
    <row r="70" spans="1:60" s="52" customFormat="1" ht="12.75">
      <c r="A70" s="55"/>
      <c r="B70" s="52" t="s">
        <v>73</v>
      </c>
      <c r="C70" s="52" t="s">
        <v>263</v>
      </c>
      <c r="D70" s="52" t="s">
        <v>65</v>
      </c>
      <c r="E70" s="52" t="s">
        <v>14</v>
      </c>
      <c r="F70" s="74">
        <f>(G63+G64)/G70*100</f>
        <v>10.033309466737228</v>
      </c>
      <c r="G70" s="52">
        <f>G63+G64+G66</f>
        <v>8.097926772584268</v>
      </c>
      <c r="H70" s="75">
        <f>(I63+I64)/I70*100</f>
        <v>9.814832581790272</v>
      </c>
      <c r="I70" s="52">
        <f>I63+I64+I66</f>
        <v>7.625598220434783</v>
      </c>
      <c r="J70" s="75">
        <f>(K63+K64)/K70*100</f>
        <v>9.082475183226627</v>
      </c>
      <c r="K70" s="52">
        <f>K63+K64+K66</f>
        <v>7.886052309130443</v>
      </c>
      <c r="L70" s="74">
        <f>(M63+M64)/M70*100</f>
        <v>15.078229565699026</v>
      </c>
      <c r="M70" s="52">
        <f>M63+M64+M66</f>
        <v>5.587625425747118</v>
      </c>
      <c r="N70" s="74">
        <f>(O63+O64)/O70*100</f>
        <v>0.2263614424773794</v>
      </c>
      <c r="O70" s="52">
        <f>O63+O64+O66</f>
        <v>293.70804176</v>
      </c>
      <c r="P70" s="74">
        <f>(Q63+Q64)/Q70*100</f>
        <v>12.790697674418606</v>
      </c>
      <c r="Q70" s="52">
        <f>Q63+Q64+Q66</f>
        <v>5.301269889292929</v>
      </c>
      <c r="R70" s="74">
        <f>(F70*G70+H70*I70+J70*K70+L70*M70+N70*O70+P70*Q70)/(6*S70)</f>
        <v>1.3596941114865195</v>
      </c>
      <c r="S70" s="52">
        <f>AVERAGE(Q70,O70,M70,K70,I70,G70)</f>
        <v>54.70108572953159</v>
      </c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BH70"/>
    </row>
    <row r="71" spans="1:60" s="52" customFormat="1" ht="12.75">
      <c r="A71" s="55"/>
      <c r="B71" s="52" t="s">
        <v>72</v>
      </c>
      <c r="C71" s="52" t="s">
        <v>263</v>
      </c>
      <c r="D71" s="52" t="s">
        <v>65</v>
      </c>
      <c r="E71" s="52" t="s">
        <v>14</v>
      </c>
      <c r="F71" s="74"/>
      <c r="G71" s="52">
        <f>G65+G68</f>
        <v>636.0261883146065</v>
      </c>
      <c r="H71" s="74"/>
      <c r="I71" s="52">
        <f>I65+I68</f>
        <v>280.4515</v>
      </c>
      <c r="J71" s="74"/>
      <c r="K71" s="52">
        <f>K65+K68</f>
        <v>96.32899347826088</v>
      </c>
      <c r="L71" s="74"/>
      <c r="M71" s="52">
        <f>M65+M68</f>
        <v>80.460568275862</v>
      </c>
      <c r="N71" s="74"/>
      <c r="O71" s="52">
        <f>O65+O68</f>
        <v>242.6764</v>
      </c>
      <c r="P71" s="74"/>
      <c r="Q71" s="52">
        <f>Q65+Q68</f>
        <v>211.443433939393</v>
      </c>
      <c r="R71" s="74"/>
      <c r="S71" s="52">
        <f>AVERAGE(Q71,O71,M71,K71,I71,G71)</f>
        <v>257.8978473346871</v>
      </c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BH71"/>
    </row>
    <row r="72" spans="1:60" s="53" customFormat="1" ht="12.75">
      <c r="A72" s="55"/>
      <c r="F72" s="59"/>
      <c r="G72" s="51"/>
      <c r="H72" s="74"/>
      <c r="I72" s="51"/>
      <c r="J72" s="74"/>
      <c r="K72" s="51"/>
      <c r="L72" s="74"/>
      <c r="M72" s="51"/>
      <c r="N72" s="74"/>
      <c r="O72" s="51"/>
      <c r="P72" s="74"/>
      <c r="Q72" s="51"/>
      <c r="R72" s="74"/>
      <c r="S72" s="51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 s="51"/>
      <c r="AI72" s="51"/>
      <c r="AJ72" s="51"/>
      <c r="AK72" s="51"/>
      <c r="AL72" s="51"/>
      <c r="AM72" s="51"/>
      <c r="AN72" s="51"/>
      <c r="BH72"/>
    </row>
    <row r="73" spans="1:60" s="53" customFormat="1" ht="12.75">
      <c r="A73" s="55"/>
      <c r="B73" s="52" t="s">
        <v>94</v>
      </c>
      <c r="C73" s="53" t="s">
        <v>205</v>
      </c>
      <c r="D73" s="52" t="s">
        <v>261</v>
      </c>
      <c r="E73" s="52"/>
      <c r="F73" s="59"/>
      <c r="G73" s="51"/>
      <c r="H73" s="74"/>
      <c r="I73" s="51"/>
      <c r="J73" s="74"/>
      <c r="K73" s="51"/>
      <c r="L73" s="74"/>
      <c r="M73" s="51"/>
      <c r="N73" s="74"/>
      <c r="O73" s="51"/>
      <c r="P73" s="74"/>
      <c r="Q73" s="51"/>
      <c r="R73" s="74"/>
      <c r="S73" s="51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 s="51"/>
      <c r="AI73" s="51"/>
      <c r="AJ73" s="51"/>
      <c r="AK73" s="51"/>
      <c r="AL73" s="51"/>
      <c r="AM73" s="51"/>
      <c r="AN73" s="51"/>
      <c r="BH73"/>
    </row>
    <row r="74" spans="1:60" s="53" customFormat="1" ht="12.75">
      <c r="A74" s="55"/>
      <c r="B74" s="28" t="s">
        <v>89</v>
      </c>
      <c r="C74" s="28"/>
      <c r="D74" s="28" t="s">
        <v>15</v>
      </c>
      <c r="E74" s="28"/>
      <c r="F74" s="59"/>
      <c r="G74" s="51">
        <v>44400</v>
      </c>
      <c r="H74" s="74"/>
      <c r="I74" s="51">
        <v>44400</v>
      </c>
      <c r="J74" s="74"/>
      <c r="K74" s="51">
        <v>43800</v>
      </c>
      <c r="L74" s="74"/>
      <c r="M74" s="51">
        <v>43400</v>
      </c>
      <c r="N74" s="74"/>
      <c r="O74" s="51">
        <v>43800</v>
      </c>
      <c r="P74" s="74"/>
      <c r="Q74" s="51">
        <v>44300</v>
      </c>
      <c r="R74" s="74"/>
      <c r="S74" s="51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 s="51"/>
      <c r="AI74" s="51"/>
      <c r="AJ74" s="51"/>
      <c r="AK74" s="51"/>
      <c r="AL74" s="51"/>
      <c r="AM74" s="51"/>
      <c r="AN74" s="51"/>
      <c r="BH74"/>
    </row>
    <row r="75" spans="1:60" s="53" customFormat="1" ht="12.75">
      <c r="A75" s="55"/>
      <c r="B75" s="28" t="s">
        <v>92</v>
      </c>
      <c r="C75" s="28"/>
      <c r="D75" s="28" t="s">
        <v>13</v>
      </c>
      <c r="E75" s="28"/>
      <c r="F75" s="59"/>
      <c r="G75" s="51">
        <v>12.1</v>
      </c>
      <c r="H75" s="74"/>
      <c r="I75" s="51">
        <v>11.8</v>
      </c>
      <c r="J75" s="74"/>
      <c r="K75" s="51">
        <v>11.7</v>
      </c>
      <c r="L75" s="74"/>
      <c r="M75" s="51">
        <v>11.4</v>
      </c>
      <c r="N75" s="74"/>
      <c r="O75" s="51">
        <v>11.2</v>
      </c>
      <c r="P75" s="74"/>
      <c r="Q75" s="51">
        <v>11.3</v>
      </c>
      <c r="R75" s="74"/>
      <c r="S75" s="51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 s="51"/>
      <c r="AI75" s="51"/>
      <c r="AJ75" s="51"/>
      <c r="AK75" s="51"/>
      <c r="AL75" s="51"/>
      <c r="AM75" s="51"/>
      <c r="AN75" s="51"/>
      <c r="BH75"/>
    </row>
    <row r="76" spans="1:60" s="53" customFormat="1" ht="12.75">
      <c r="A76" s="55"/>
      <c r="B76" s="28" t="s">
        <v>93</v>
      </c>
      <c r="C76" s="28"/>
      <c r="D76" s="28" t="s">
        <v>13</v>
      </c>
      <c r="E76" s="28"/>
      <c r="F76" s="59"/>
      <c r="G76" s="51">
        <v>26</v>
      </c>
      <c r="H76" s="74"/>
      <c r="I76" s="51">
        <v>24.6</v>
      </c>
      <c r="J76" s="74"/>
      <c r="K76" s="51">
        <v>24.6</v>
      </c>
      <c r="L76" s="74"/>
      <c r="M76" s="51">
        <v>25.5</v>
      </c>
      <c r="N76" s="74"/>
      <c r="O76" s="51">
        <v>26.1</v>
      </c>
      <c r="P76" s="74"/>
      <c r="Q76" s="51">
        <v>25.4</v>
      </c>
      <c r="R76" s="74"/>
      <c r="S76" s="51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 s="51"/>
      <c r="AI76" s="51"/>
      <c r="AJ76" s="51"/>
      <c r="AK76" s="51"/>
      <c r="AL76" s="51"/>
      <c r="AM76" s="51"/>
      <c r="AN76" s="51"/>
      <c r="BH76"/>
    </row>
    <row r="77" spans="1:60" s="53" customFormat="1" ht="12.75">
      <c r="A77" s="55"/>
      <c r="B77" s="28" t="s">
        <v>88</v>
      </c>
      <c r="C77" s="28"/>
      <c r="D77" s="28" t="s">
        <v>16</v>
      </c>
      <c r="E77" s="28"/>
      <c r="F77" s="59"/>
      <c r="G77" s="51">
        <v>327</v>
      </c>
      <c r="H77" s="74"/>
      <c r="I77" s="51">
        <v>322</v>
      </c>
      <c r="J77" s="74"/>
      <c r="K77" s="51">
        <v>323</v>
      </c>
      <c r="L77" s="74"/>
      <c r="M77" s="51">
        <v>320</v>
      </c>
      <c r="N77" s="74"/>
      <c r="O77" s="51">
        <v>308</v>
      </c>
      <c r="P77" s="74"/>
      <c r="Q77" s="51">
        <v>320</v>
      </c>
      <c r="R77" s="74"/>
      <c r="S77" s="51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 s="51"/>
      <c r="AI77" s="51"/>
      <c r="AJ77" s="51"/>
      <c r="AK77" s="51"/>
      <c r="AL77" s="51"/>
      <c r="AM77" s="51"/>
      <c r="AN77" s="51"/>
      <c r="BH77"/>
    </row>
    <row r="78" spans="1:60" s="53" customFormat="1" ht="12.75">
      <c r="A78" s="55"/>
      <c r="F78" s="59"/>
      <c r="G78" s="51"/>
      <c r="H78" s="74"/>
      <c r="I78" s="51"/>
      <c r="J78" s="74"/>
      <c r="K78" s="51"/>
      <c r="L78" s="74"/>
      <c r="M78" s="51"/>
      <c r="N78" s="74"/>
      <c r="O78" s="51"/>
      <c r="P78" s="74"/>
      <c r="Q78" s="51"/>
      <c r="R78" s="74"/>
      <c r="S78" s="51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 s="51"/>
      <c r="AI78" s="51"/>
      <c r="AJ78" s="51"/>
      <c r="AK78" s="51"/>
      <c r="AL78" s="51"/>
      <c r="AM78" s="51"/>
      <c r="AN78" s="51"/>
      <c r="BH78"/>
    </row>
    <row r="79" spans="1:60" s="53" customFormat="1" ht="12.75">
      <c r="A79" s="55"/>
      <c r="B79" s="52" t="s">
        <v>94</v>
      </c>
      <c r="C79" s="53" t="s">
        <v>116</v>
      </c>
      <c r="D79" s="53" t="s">
        <v>263</v>
      </c>
      <c r="F79" s="59"/>
      <c r="G79" s="51"/>
      <c r="H79" s="74"/>
      <c r="I79" s="51"/>
      <c r="J79" s="74"/>
      <c r="K79" s="51"/>
      <c r="L79" s="74"/>
      <c r="M79" s="51"/>
      <c r="N79" s="74"/>
      <c r="O79" s="51"/>
      <c r="P79" s="74"/>
      <c r="Q79" s="51"/>
      <c r="R79" s="74"/>
      <c r="S79" s="51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 s="51"/>
      <c r="AI79" s="51"/>
      <c r="AJ79" s="51"/>
      <c r="AK79" s="51"/>
      <c r="AL79" s="51"/>
      <c r="AM79" s="51"/>
      <c r="AN79" s="51"/>
      <c r="BH79"/>
    </row>
    <row r="80" spans="1:60" s="53" customFormat="1" ht="12.75">
      <c r="A80" s="55"/>
      <c r="B80" s="28" t="s">
        <v>89</v>
      </c>
      <c r="C80" s="28"/>
      <c r="D80" s="28" t="s">
        <v>15</v>
      </c>
      <c r="E80" s="28"/>
      <c r="F80" s="59"/>
      <c r="G80" s="51">
        <v>45700</v>
      </c>
      <c r="H80" s="74"/>
      <c r="I80" s="51">
        <v>47200</v>
      </c>
      <c r="J80" s="74"/>
      <c r="K80" s="51">
        <v>47600</v>
      </c>
      <c r="L80" s="74"/>
      <c r="M80" s="51">
        <v>45100</v>
      </c>
      <c r="N80" s="74"/>
      <c r="O80" s="51">
        <v>47800</v>
      </c>
      <c r="P80" s="74"/>
      <c r="Q80" s="51">
        <v>46100</v>
      </c>
      <c r="R80" s="74"/>
      <c r="S80" s="51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 s="51"/>
      <c r="AI80" s="51"/>
      <c r="AJ80" s="51"/>
      <c r="AK80" s="51"/>
      <c r="AL80" s="51"/>
      <c r="AM80" s="51"/>
      <c r="AN80" s="51"/>
      <c r="BH80"/>
    </row>
    <row r="81" spans="1:60" s="53" customFormat="1" ht="12.75">
      <c r="A81" s="55"/>
      <c r="B81" s="28" t="s">
        <v>92</v>
      </c>
      <c r="C81" s="28"/>
      <c r="D81" s="28" t="s">
        <v>13</v>
      </c>
      <c r="E81" s="28"/>
      <c r="F81" s="59"/>
      <c r="G81" s="51">
        <v>12.1</v>
      </c>
      <c r="H81" s="74"/>
      <c r="I81" s="51">
        <v>11.8</v>
      </c>
      <c r="J81" s="74"/>
      <c r="K81" s="51">
        <v>11.8</v>
      </c>
      <c r="L81" s="74"/>
      <c r="M81" s="51">
        <v>12.3</v>
      </c>
      <c r="N81" s="74"/>
      <c r="O81" s="51">
        <v>11.2</v>
      </c>
      <c r="P81" s="74"/>
      <c r="Q81" s="51">
        <v>11.1</v>
      </c>
      <c r="R81" s="74"/>
      <c r="S81" s="5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 s="51"/>
      <c r="AI81" s="51"/>
      <c r="AJ81" s="51"/>
      <c r="AK81" s="51"/>
      <c r="AL81" s="51"/>
      <c r="AM81" s="51"/>
      <c r="AN81" s="51"/>
      <c r="BH81"/>
    </row>
    <row r="82" spans="1:60" s="53" customFormat="1" ht="12.75">
      <c r="A82" s="55"/>
      <c r="B82" s="28" t="s">
        <v>93</v>
      </c>
      <c r="C82" s="28"/>
      <c r="D82" s="28" t="s">
        <v>13</v>
      </c>
      <c r="E82" s="28"/>
      <c r="F82" s="59"/>
      <c r="G82" s="51">
        <v>26.6</v>
      </c>
      <c r="H82" s="74"/>
      <c r="I82" s="51">
        <v>25.5</v>
      </c>
      <c r="J82" s="74"/>
      <c r="K82" s="51">
        <v>25</v>
      </c>
      <c r="L82" s="74"/>
      <c r="M82" s="51">
        <v>25.8</v>
      </c>
      <c r="N82" s="74"/>
      <c r="O82" s="51">
        <v>25.4</v>
      </c>
      <c r="P82" s="74"/>
      <c r="Q82" s="51">
        <v>25.5</v>
      </c>
      <c r="R82" s="74"/>
      <c r="S82" s="51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 s="51"/>
      <c r="AI82" s="51"/>
      <c r="AJ82" s="51"/>
      <c r="AK82" s="51"/>
      <c r="AL82" s="51"/>
      <c r="AM82" s="51"/>
      <c r="AN82" s="51"/>
      <c r="BH82"/>
    </row>
    <row r="83" spans="1:60" s="53" customFormat="1" ht="12.75">
      <c r="A83" s="55"/>
      <c r="B83" s="28" t="s">
        <v>88</v>
      </c>
      <c r="C83" s="28"/>
      <c r="D83" s="28" t="s">
        <v>16</v>
      </c>
      <c r="E83" s="28"/>
      <c r="F83" s="59"/>
      <c r="G83" s="51">
        <v>328</v>
      </c>
      <c r="H83" s="74"/>
      <c r="I83" s="51">
        <v>323</v>
      </c>
      <c r="J83" s="74"/>
      <c r="K83" s="51">
        <v>324</v>
      </c>
      <c r="L83" s="74"/>
      <c r="M83" s="51">
        <v>321</v>
      </c>
      <c r="N83" s="74"/>
      <c r="O83" s="51">
        <v>311</v>
      </c>
      <c r="P83" s="74"/>
      <c r="Q83" s="51">
        <v>322</v>
      </c>
      <c r="R83" s="74"/>
      <c r="S83" s="51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 s="51"/>
      <c r="AI83" s="51"/>
      <c r="AJ83" s="51"/>
      <c r="AK83" s="51"/>
      <c r="AL83" s="51"/>
      <c r="AM83" s="51"/>
      <c r="AN83" s="51"/>
      <c r="BH83"/>
    </row>
    <row r="84" spans="1:60" s="52" customFormat="1" ht="12.75">
      <c r="A84" s="55"/>
      <c r="F84" s="74"/>
      <c r="H84" s="74"/>
      <c r="J84" s="74"/>
      <c r="L84" s="74"/>
      <c r="N84" s="74"/>
      <c r="P84" s="74"/>
      <c r="R84" s="7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BH84"/>
    </row>
    <row r="85" spans="1:60" s="52" customFormat="1" ht="12.75">
      <c r="A85" s="55"/>
      <c r="B85" s="52" t="s">
        <v>94</v>
      </c>
      <c r="C85" s="53" t="s">
        <v>202</v>
      </c>
      <c r="D85" s="52" t="s">
        <v>264</v>
      </c>
      <c r="F85" s="74"/>
      <c r="H85" s="74"/>
      <c r="J85" s="74"/>
      <c r="L85" s="74"/>
      <c r="N85" s="74"/>
      <c r="P85" s="74"/>
      <c r="R85" s="74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BH85"/>
    </row>
    <row r="86" spans="1:60" s="53" customFormat="1" ht="12.75">
      <c r="A86" s="55"/>
      <c r="B86" s="28" t="s">
        <v>89</v>
      </c>
      <c r="C86" s="28"/>
      <c r="D86" s="28" t="s">
        <v>15</v>
      </c>
      <c r="E86" s="28"/>
      <c r="F86" s="59"/>
      <c r="G86" s="51">
        <v>46800</v>
      </c>
      <c r="H86" s="74"/>
      <c r="I86" s="51">
        <v>47600</v>
      </c>
      <c r="J86" s="74"/>
      <c r="K86" s="51">
        <v>46400</v>
      </c>
      <c r="L86" s="74"/>
      <c r="M86" s="51">
        <v>45400</v>
      </c>
      <c r="N86" s="74"/>
      <c r="O86" s="51">
        <v>47200</v>
      </c>
      <c r="P86" s="74"/>
      <c r="Q86" s="51">
        <v>50100</v>
      </c>
      <c r="R86" s="74"/>
      <c r="S86" s="51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 s="51"/>
      <c r="AI86" s="51"/>
      <c r="AJ86" s="51"/>
      <c r="AK86" s="51"/>
      <c r="AL86" s="51"/>
      <c r="AM86" s="51"/>
      <c r="AN86" s="51"/>
      <c r="BH86"/>
    </row>
    <row r="87" spans="1:60" s="53" customFormat="1" ht="12.75">
      <c r="A87" s="55"/>
      <c r="B87" s="28" t="s">
        <v>92</v>
      </c>
      <c r="C87" s="28"/>
      <c r="D87" s="28" t="s">
        <v>13</v>
      </c>
      <c r="E87" s="28"/>
      <c r="F87" s="59"/>
      <c r="G87" s="51">
        <v>12.1</v>
      </c>
      <c r="H87" s="74"/>
      <c r="I87" s="51">
        <v>11.8</v>
      </c>
      <c r="J87" s="74"/>
      <c r="K87" s="51">
        <v>11.7</v>
      </c>
      <c r="L87" s="74"/>
      <c r="M87" s="51">
        <v>11.4</v>
      </c>
      <c r="N87" s="74"/>
      <c r="O87" s="51">
        <v>11.2</v>
      </c>
      <c r="P87" s="74"/>
      <c r="Q87" s="51">
        <v>11.3</v>
      </c>
      <c r="R87" s="74"/>
      <c r="S87" s="51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 s="51"/>
      <c r="AI87" s="51"/>
      <c r="AJ87" s="51"/>
      <c r="AK87" s="51"/>
      <c r="AL87" s="51"/>
      <c r="AM87" s="51"/>
      <c r="AN87" s="51"/>
      <c r="BH87"/>
    </row>
    <row r="88" spans="1:60" s="53" customFormat="1" ht="12.75">
      <c r="A88" s="55"/>
      <c r="B88" s="28" t="s">
        <v>93</v>
      </c>
      <c r="C88" s="28"/>
      <c r="D88" s="28" t="s">
        <v>13</v>
      </c>
      <c r="E88" s="28"/>
      <c r="F88" s="59"/>
      <c r="G88" s="51">
        <v>22.2</v>
      </c>
      <c r="H88" s="74"/>
      <c r="I88" s="51">
        <v>22.7</v>
      </c>
      <c r="J88" s="74"/>
      <c r="K88" s="51">
        <v>25.7</v>
      </c>
      <c r="L88" s="74"/>
      <c r="M88" s="51">
        <v>26.3</v>
      </c>
      <c r="N88" s="74"/>
      <c r="O88" s="51">
        <v>25.8</v>
      </c>
      <c r="P88" s="74"/>
      <c r="Q88" s="51">
        <v>22.5</v>
      </c>
      <c r="R88" s="74"/>
      <c r="S88" s="51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 s="51"/>
      <c r="AI88" s="51"/>
      <c r="AJ88" s="51"/>
      <c r="AK88" s="51"/>
      <c r="AL88" s="51"/>
      <c r="AM88" s="51"/>
      <c r="AN88" s="51"/>
      <c r="BH88"/>
    </row>
    <row r="89" spans="1:60" s="53" customFormat="1" ht="12.75">
      <c r="A89" s="55"/>
      <c r="B89" s="28" t="s">
        <v>88</v>
      </c>
      <c r="C89" s="28"/>
      <c r="D89" s="28" t="s">
        <v>16</v>
      </c>
      <c r="E89" s="28"/>
      <c r="F89" s="59"/>
      <c r="G89" s="51">
        <v>329</v>
      </c>
      <c r="H89" s="74"/>
      <c r="I89" s="51">
        <v>323</v>
      </c>
      <c r="J89" s="74"/>
      <c r="K89" s="51">
        <v>326</v>
      </c>
      <c r="L89" s="74"/>
      <c r="M89" s="51">
        <v>321</v>
      </c>
      <c r="N89" s="74"/>
      <c r="O89" s="51">
        <v>307</v>
      </c>
      <c r="P89" s="74"/>
      <c r="Q89" s="51">
        <v>318</v>
      </c>
      <c r="R89" s="74"/>
      <c r="S89" s="51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 s="51"/>
      <c r="AI89" s="51"/>
      <c r="AJ89" s="51"/>
      <c r="AK89" s="51"/>
      <c r="AL89" s="51"/>
      <c r="AM89" s="51"/>
      <c r="AN89" s="51"/>
      <c r="BH89"/>
    </row>
    <row r="90" spans="1:60" s="52" customFormat="1" ht="12.75">
      <c r="A90" s="55"/>
      <c r="F90" s="74"/>
      <c r="H90" s="74"/>
      <c r="J90" s="74"/>
      <c r="L90" s="74"/>
      <c r="N90" s="74"/>
      <c r="P90" s="74"/>
      <c r="R90" s="74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BH90"/>
    </row>
    <row r="91" spans="1:60" s="52" customFormat="1" ht="12.75">
      <c r="A91" s="55">
        <v>3</v>
      </c>
      <c r="B91" s="54" t="s">
        <v>192</v>
      </c>
      <c r="F91" s="74"/>
      <c r="G91" s="3" t="s">
        <v>122</v>
      </c>
      <c r="H91" s="3"/>
      <c r="I91" s="3" t="s">
        <v>123</v>
      </c>
      <c r="J91" s="3"/>
      <c r="K91" s="3" t="s">
        <v>124</v>
      </c>
      <c r="L91" s="3"/>
      <c r="M91" s="3" t="s">
        <v>196</v>
      </c>
      <c r="N91" s="3"/>
      <c r="O91" s="3" t="s">
        <v>197</v>
      </c>
      <c r="P91" s="3"/>
      <c r="Q91" s="3" t="s">
        <v>198</v>
      </c>
      <c r="R91" s="3"/>
      <c r="S91" s="3" t="s">
        <v>66</v>
      </c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BH91"/>
    </row>
    <row r="92" spans="1:60" s="52" customFormat="1" ht="12.75">
      <c r="A92" s="55"/>
      <c r="F92" s="74"/>
      <c r="H92" s="74"/>
      <c r="J92" s="74"/>
      <c r="L92" s="74"/>
      <c r="N92" s="74"/>
      <c r="P92" s="74"/>
      <c r="R92" s="74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BH92"/>
    </row>
    <row r="93" spans="1:60" s="50" customFormat="1" ht="12.75">
      <c r="A93" s="55"/>
      <c r="B93" s="50" t="s">
        <v>17</v>
      </c>
      <c r="C93" s="50" t="s">
        <v>261</v>
      </c>
      <c r="D93" s="50" t="s">
        <v>18</v>
      </c>
      <c r="E93" s="52" t="s">
        <v>14</v>
      </c>
      <c r="F93" s="74" t="s">
        <v>199</v>
      </c>
      <c r="G93" s="56">
        <v>0.007866744704</v>
      </c>
      <c r="H93" s="77" t="s">
        <v>199</v>
      </c>
      <c r="I93" s="56">
        <v>0.00539588686</v>
      </c>
      <c r="J93" s="77" t="s">
        <v>199</v>
      </c>
      <c r="K93" s="56">
        <v>0.0089600888832</v>
      </c>
      <c r="L93" s="74" t="s">
        <v>199</v>
      </c>
      <c r="N93" s="74" t="s">
        <v>199</v>
      </c>
      <c r="P93" s="74" t="s">
        <v>199</v>
      </c>
      <c r="R93" s="74" t="s">
        <v>199</v>
      </c>
      <c r="S93" s="50">
        <f aca="true" t="shared" si="4" ref="S93:S105">AVERAGE(G93,I93,K93)</f>
        <v>0.0074075734824</v>
      </c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BH93"/>
    </row>
    <row r="94" spans="1:60" s="52" customFormat="1" ht="12.75">
      <c r="A94" s="55"/>
      <c r="B94" s="52" t="s">
        <v>19</v>
      </c>
      <c r="C94" s="50" t="s">
        <v>263</v>
      </c>
      <c r="D94" s="52" t="s">
        <v>62</v>
      </c>
      <c r="E94" s="52" t="s">
        <v>14</v>
      </c>
      <c r="F94" s="74" t="s">
        <v>199</v>
      </c>
      <c r="G94" s="52">
        <v>31.46666666666667</v>
      </c>
      <c r="H94" s="74" t="s">
        <v>199</v>
      </c>
      <c r="I94" s="52">
        <v>9.945833333333333</v>
      </c>
      <c r="J94" s="74" t="s">
        <v>199</v>
      </c>
      <c r="K94" s="52">
        <v>5.502</v>
      </c>
      <c r="L94" s="74" t="s">
        <v>199</v>
      </c>
      <c r="N94" s="74" t="s">
        <v>199</v>
      </c>
      <c r="P94" s="74" t="s">
        <v>199</v>
      </c>
      <c r="R94" s="74" t="s">
        <v>199</v>
      </c>
      <c r="S94" s="52">
        <f t="shared" si="4"/>
        <v>15.638166666666669</v>
      </c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BH94"/>
    </row>
    <row r="95" spans="1:60" s="52" customFormat="1" ht="12.75">
      <c r="A95" s="55"/>
      <c r="B95" s="52" t="s">
        <v>64</v>
      </c>
      <c r="C95" s="50" t="s">
        <v>263</v>
      </c>
      <c r="D95" s="52" t="s">
        <v>62</v>
      </c>
      <c r="E95" s="52" t="s">
        <v>14</v>
      </c>
      <c r="F95" s="74" t="s">
        <v>199</v>
      </c>
      <c r="G95" s="52">
        <v>0.08</v>
      </c>
      <c r="H95" s="74" t="s">
        <v>199</v>
      </c>
      <c r="I95" s="52">
        <v>0.23333333333333336</v>
      </c>
      <c r="J95" s="74" t="s">
        <v>199</v>
      </c>
      <c r="K95" s="52">
        <v>0.266</v>
      </c>
      <c r="L95" s="74" t="s">
        <v>199</v>
      </c>
      <c r="N95" s="74" t="s">
        <v>199</v>
      </c>
      <c r="P95" s="74" t="s">
        <v>199</v>
      </c>
      <c r="R95" s="74" t="s">
        <v>199</v>
      </c>
      <c r="S95" s="52">
        <f t="shared" si="4"/>
        <v>0.19311111111111112</v>
      </c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BH95"/>
    </row>
    <row r="96" spans="1:60" s="52" customFormat="1" ht="12.75">
      <c r="A96" s="55"/>
      <c r="B96" s="52" t="s">
        <v>262</v>
      </c>
      <c r="C96" s="50" t="s">
        <v>263</v>
      </c>
      <c r="D96" s="52" t="s">
        <v>62</v>
      </c>
      <c r="E96" s="52" t="s">
        <v>14</v>
      </c>
      <c r="F96" s="74"/>
      <c r="G96" s="52">
        <f>G94+2*G95</f>
        <v>31.62666666666667</v>
      </c>
      <c r="H96" s="74"/>
      <c r="I96" s="52">
        <f>I94+2*I95</f>
        <v>10.4125</v>
      </c>
      <c r="J96" s="74"/>
      <c r="K96" s="52">
        <f>K94+2*K95</f>
        <v>6.034</v>
      </c>
      <c r="L96" s="74"/>
      <c r="N96" s="74"/>
      <c r="P96" s="74"/>
      <c r="R96" s="74"/>
      <c r="S96" s="52">
        <f t="shared" si="4"/>
        <v>16.02438888888889</v>
      </c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BH96"/>
    </row>
    <row r="97" spans="1:60" s="52" customFormat="1" ht="12.75">
      <c r="A97" s="55"/>
      <c r="B97" s="52" t="s">
        <v>95</v>
      </c>
      <c r="C97" s="52" t="s">
        <v>264</v>
      </c>
      <c r="D97" s="52" t="s">
        <v>65</v>
      </c>
      <c r="E97" s="52" t="s">
        <v>14</v>
      </c>
      <c r="F97" s="74" t="s">
        <v>12</v>
      </c>
      <c r="G97" s="52">
        <v>0.64669781075387</v>
      </c>
      <c r="H97" s="74" t="s">
        <v>12</v>
      </c>
      <c r="I97" s="52">
        <v>0.76150360442985</v>
      </c>
      <c r="J97" s="74" t="s">
        <v>12</v>
      </c>
      <c r="K97" s="52">
        <v>0.6772367862085976</v>
      </c>
      <c r="L97" s="74" t="s">
        <v>199</v>
      </c>
      <c r="N97" s="74" t="s">
        <v>199</v>
      </c>
      <c r="P97" s="74" t="s">
        <v>199</v>
      </c>
      <c r="R97" s="74">
        <v>100</v>
      </c>
      <c r="S97" s="52">
        <f t="shared" si="4"/>
        <v>0.6951460671307724</v>
      </c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BH97"/>
    </row>
    <row r="98" spans="1:60" s="52" customFormat="1" ht="12.75">
      <c r="A98" s="55"/>
      <c r="B98" s="52" t="s">
        <v>97</v>
      </c>
      <c r="C98" s="52" t="s">
        <v>264</v>
      </c>
      <c r="D98" s="52" t="s">
        <v>65</v>
      </c>
      <c r="E98" s="52" t="s">
        <v>14</v>
      </c>
      <c r="F98" s="74" t="s">
        <v>12</v>
      </c>
      <c r="G98" s="52">
        <v>0.064669781075387</v>
      </c>
      <c r="H98" s="74" t="s">
        <v>12</v>
      </c>
      <c r="I98" s="52">
        <v>0.076150360442985</v>
      </c>
      <c r="J98" s="74" t="s">
        <v>12</v>
      </c>
      <c r="K98" s="52">
        <v>0.06772367862085976</v>
      </c>
      <c r="L98" s="74" t="s">
        <v>199</v>
      </c>
      <c r="N98" s="74" t="s">
        <v>199</v>
      </c>
      <c r="P98" s="74" t="s">
        <v>199</v>
      </c>
      <c r="R98" s="74">
        <v>100</v>
      </c>
      <c r="S98" s="52">
        <f t="shared" si="4"/>
        <v>0.06951460671307726</v>
      </c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BH98"/>
    </row>
    <row r="99" spans="1:60" s="52" customFormat="1" ht="12.75">
      <c r="A99" s="55"/>
      <c r="B99" s="52" t="s">
        <v>102</v>
      </c>
      <c r="C99" s="52" t="s">
        <v>264</v>
      </c>
      <c r="D99" s="52" t="s">
        <v>65</v>
      </c>
      <c r="E99" s="52" t="s">
        <v>14</v>
      </c>
      <c r="F99" s="74" t="s">
        <v>199</v>
      </c>
      <c r="G99" s="52">
        <v>3.4792342218558208</v>
      </c>
      <c r="H99" s="74" t="s">
        <v>199</v>
      </c>
      <c r="I99" s="52">
        <v>1.3554764158851316</v>
      </c>
      <c r="J99" s="74" t="s">
        <v>199</v>
      </c>
      <c r="K99" s="52">
        <v>0.7517328326915435</v>
      </c>
      <c r="L99" s="74" t="s">
        <v>199</v>
      </c>
      <c r="N99" s="74" t="s">
        <v>199</v>
      </c>
      <c r="P99" s="74" t="s">
        <v>199</v>
      </c>
      <c r="R99" s="74" t="s">
        <v>199</v>
      </c>
      <c r="S99" s="52">
        <f t="shared" si="4"/>
        <v>1.8621478234774989</v>
      </c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BH99"/>
    </row>
    <row r="100" spans="1:60" s="52" customFormat="1" ht="12.75">
      <c r="A100" s="55"/>
      <c r="B100" s="52" t="s">
        <v>201</v>
      </c>
      <c r="C100" s="52" t="s">
        <v>265</v>
      </c>
      <c r="D100" s="52" t="s">
        <v>65</v>
      </c>
      <c r="E100" s="52" t="s">
        <v>14</v>
      </c>
      <c r="F100" s="74" t="s">
        <v>12</v>
      </c>
      <c r="G100" s="52">
        <v>0.152</v>
      </c>
      <c r="H100" s="74" t="s">
        <v>12</v>
      </c>
      <c r="I100" s="52">
        <v>0.18229166666666669</v>
      </c>
      <c r="J100" s="74" t="s">
        <v>12</v>
      </c>
      <c r="K100" s="52">
        <v>0.1806</v>
      </c>
      <c r="L100" s="74" t="s">
        <v>199</v>
      </c>
      <c r="N100" s="74" t="s">
        <v>199</v>
      </c>
      <c r="P100" s="74" t="s">
        <v>199</v>
      </c>
      <c r="R100" s="74">
        <v>100</v>
      </c>
      <c r="S100" s="52">
        <f t="shared" si="4"/>
        <v>0.17163055555555554</v>
      </c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BH100"/>
    </row>
    <row r="101" spans="1:60" s="52" customFormat="1" ht="12.75">
      <c r="A101" s="55"/>
      <c r="B101" s="52" t="s">
        <v>100</v>
      </c>
      <c r="C101" s="52" t="s">
        <v>264</v>
      </c>
      <c r="D101" s="52" t="s">
        <v>65</v>
      </c>
      <c r="E101" s="52" t="s">
        <v>14</v>
      </c>
      <c r="F101" s="74" t="s">
        <v>199</v>
      </c>
      <c r="G101" s="52">
        <v>19.465604103691486</v>
      </c>
      <c r="H101" s="74" t="s">
        <v>199</v>
      </c>
      <c r="I101" s="52">
        <v>15.686974251254894</v>
      </c>
      <c r="J101" s="74" t="s">
        <v>199</v>
      </c>
      <c r="K101" s="52">
        <v>12.461156866238195</v>
      </c>
      <c r="L101" s="74" t="s">
        <v>199</v>
      </c>
      <c r="N101" s="74" t="s">
        <v>199</v>
      </c>
      <c r="P101" s="74" t="s">
        <v>199</v>
      </c>
      <c r="R101" s="74" t="s">
        <v>199</v>
      </c>
      <c r="S101" s="52">
        <f t="shared" si="4"/>
        <v>15.87124507372819</v>
      </c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BH101"/>
    </row>
    <row r="102" spans="1:60" s="52" customFormat="1" ht="12.75">
      <c r="A102" s="55"/>
      <c r="B102" s="52" t="s">
        <v>107</v>
      </c>
      <c r="C102" s="52" t="s">
        <v>264</v>
      </c>
      <c r="D102" s="52" t="s">
        <v>65</v>
      </c>
      <c r="E102" s="52" t="s">
        <v>14</v>
      </c>
      <c r="F102" s="74" t="s">
        <v>12</v>
      </c>
      <c r="G102" s="52">
        <v>6.260034808097462</v>
      </c>
      <c r="H102" s="74" t="s">
        <v>12</v>
      </c>
      <c r="I102" s="52">
        <v>7.371354890880939</v>
      </c>
      <c r="J102" s="74" t="s">
        <v>199</v>
      </c>
      <c r="K102" s="52">
        <v>2.4888451893166</v>
      </c>
      <c r="L102" s="74" t="s">
        <v>199</v>
      </c>
      <c r="N102" s="74" t="s">
        <v>199</v>
      </c>
      <c r="P102" s="74" t="s">
        <v>199</v>
      </c>
      <c r="R102" s="74">
        <f>(G102+I102)/S102/3*100</f>
        <v>84.56073868300909</v>
      </c>
      <c r="S102" s="52">
        <f t="shared" si="4"/>
        <v>5.373411629431668</v>
      </c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BH102"/>
    </row>
    <row r="103" spans="1:60" s="52" customFormat="1" ht="12.75">
      <c r="A103" s="55"/>
      <c r="B103" s="52" t="s">
        <v>101</v>
      </c>
      <c r="C103" s="52" t="s">
        <v>264</v>
      </c>
      <c r="D103" s="52" t="s">
        <v>65</v>
      </c>
      <c r="E103" s="52" t="s">
        <v>14</v>
      </c>
      <c r="F103" s="74" t="s">
        <v>199</v>
      </c>
      <c r="G103" s="52">
        <v>7.430557845561966</v>
      </c>
      <c r="H103" s="74" t="s">
        <v>199</v>
      </c>
      <c r="I103" s="52">
        <v>12.252592995276274</v>
      </c>
      <c r="J103" s="74" t="s">
        <v>199</v>
      </c>
      <c r="K103" s="52">
        <v>13.334792320447288</v>
      </c>
      <c r="L103" s="74" t="s">
        <v>199</v>
      </c>
      <c r="N103" s="74" t="s">
        <v>199</v>
      </c>
      <c r="P103" s="74" t="s">
        <v>199</v>
      </c>
      <c r="R103" s="74" t="s">
        <v>199</v>
      </c>
      <c r="S103" s="52">
        <f t="shared" si="4"/>
        <v>11.005981053761843</v>
      </c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BH103"/>
    </row>
    <row r="104" spans="1:60" s="52" customFormat="1" ht="12.75">
      <c r="A104" s="55"/>
      <c r="B104" s="52" t="s">
        <v>72</v>
      </c>
      <c r="C104" s="52" t="s">
        <v>264</v>
      </c>
      <c r="D104" s="52" t="s">
        <v>65</v>
      </c>
      <c r="E104" s="52" t="s">
        <v>14</v>
      </c>
      <c r="F104" s="74"/>
      <c r="G104" s="52">
        <f>G101+G99</f>
        <v>22.94483832554731</v>
      </c>
      <c r="H104" s="74"/>
      <c r="I104" s="52">
        <f>I101+I99</f>
        <v>17.042450667140024</v>
      </c>
      <c r="J104" s="74"/>
      <c r="K104" s="52">
        <f>K101+K99</f>
        <v>13.212889698929738</v>
      </c>
      <c r="L104" s="74"/>
      <c r="N104" s="74"/>
      <c r="P104" s="74"/>
      <c r="R104" s="74"/>
      <c r="S104" s="52">
        <f t="shared" si="4"/>
        <v>17.73339289720569</v>
      </c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BH104"/>
    </row>
    <row r="105" spans="1:60" s="52" customFormat="1" ht="12.75">
      <c r="A105" s="55"/>
      <c r="B105" s="52" t="s">
        <v>73</v>
      </c>
      <c r="C105" s="52" t="s">
        <v>264</v>
      </c>
      <c r="D105" s="52" t="s">
        <v>65</v>
      </c>
      <c r="E105" s="52" t="s">
        <v>14</v>
      </c>
      <c r="F105" s="74">
        <f>(G97+G98)/G105*100</f>
        <v>100</v>
      </c>
      <c r="G105" s="52">
        <f>G97+G98</f>
        <v>0.711367591829257</v>
      </c>
      <c r="H105" s="74">
        <v>100</v>
      </c>
      <c r="I105" s="52">
        <f>I97+I98</f>
        <v>0.8376539648728349</v>
      </c>
      <c r="J105" s="74">
        <v>100</v>
      </c>
      <c r="K105" s="52">
        <f>K97+K98</f>
        <v>0.7449604648294574</v>
      </c>
      <c r="L105" s="74"/>
      <c r="N105" s="74"/>
      <c r="P105" s="74"/>
      <c r="R105" s="74">
        <v>100</v>
      </c>
      <c r="S105" s="52">
        <f t="shared" si="4"/>
        <v>0.7646606738438498</v>
      </c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BH105"/>
    </row>
    <row r="107" spans="1:60" s="53" customFormat="1" ht="12.75">
      <c r="A107" s="55"/>
      <c r="B107" s="52" t="s">
        <v>94</v>
      </c>
      <c r="C107" s="53" t="s">
        <v>205</v>
      </c>
      <c r="D107" s="53" t="s">
        <v>261</v>
      </c>
      <c r="F107" s="59"/>
      <c r="G107" s="51"/>
      <c r="H107" s="74"/>
      <c r="I107" s="51"/>
      <c r="J107" s="74"/>
      <c r="K107" s="51"/>
      <c r="L107" s="74"/>
      <c r="M107" s="51"/>
      <c r="N107" s="74"/>
      <c r="O107" s="51"/>
      <c r="P107" s="74"/>
      <c r="Q107" s="51"/>
      <c r="R107" s="74"/>
      <c r="S107" s="51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 s="51"/>
      <c r="AI107" s="51"/>
      <c r="AJ107" s="51"/>
      <c r="AK107" s="51"/>
      <c r="AL107" s="51"/>
      <c r="AM107" s="51"/>
      <c r="AN107" s="51"/>
      <c r="BH107"/>
    </row>
    <row r="108" spans="1:60" s="53" customFormat="1" ht="12.75">
      <c r="A108" s="55"/>
      <c r="B108" s="28" t="s">
        <v>89</v>
      </c>
      <c r="C108" s="28"/>
      <c r="D108" s="28" t="s">
        <v>15</v>
      </c>
      <c r="E108" s="28"/>
      <c r="F108" s="59"/>
      <c r="G108" s="51">
        <v>44700</v>
      </c>
      <c r="H108" s="74"/>
      <c r="I108" s="51">
        <v>44700</v>
      </c>
      <c r="J108" s="74"/>
      <c r="K108" s="51">
        <v>44100</v>
      </c>
      <c r="L108" s="74"/>
      <c r="M108" s="51"/>
      <c r="N108" s="74"/>
      <c r="O108" s="51"/>
      <c r="P108" s="74"/>
      <c r="Q108" s="51"/>
      <c r="R108" s="74"/>
      <c r="S108" s="51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 s="51"/>
      <c r="AI108" s="51"/>
      <c r="AJ108" s="51"/>
      <c r="AK108" s="51"/>
      <c r="AL108" s="51"/>
      <c r="AM108" s="51"/>
      <c r="AN108" s="51"/>
      <c r="BH108"/>
    </row>
    <row r="109" spans="1:60" s="53" customFormat="1" ht="12.75">
      <c r="A109" s="55"/>
      <c r="B109" s="28" t="s">
        <v>92</v>
      </c>
      <c r="C109" s="28"/>
      <c r="D109" s="28" t="s">
        <v>13</v>
      </c>
      <c r="E109" s="28"/>
      <c r="F109" s="59"/>
      <c r="G109" s="51">
        <v>10.5</v>
      </c>
      <c r="H109" s="74"/>
      <c r="I109" s="51">
        <v>11.4</v>
      </c>
      <c r="J109" s="74"/>
      <c r="K109" s="51">
        <v>11</v>
      </c>
      <c r="L109" s="74"/>
      <c r="M109" s="51"/>
      <c r="N109" s="74"/>
      <c r="O109" s="51"/>
      <c r="P109" s="74"/>
      <c r="Q109" s="51"/>
      <c r="R109" s="74"/>
      <c r="S109" s="51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 s="51"/>
      <c r="AI109" s="51"/>
      <c r="AJ109" s="51"/>
      <c r="AK109" s="51"/>
      <c r="AL109" s="51"/>
      <c r="AM109" s="51"/>
      <c r="AN109" s="51"/>
      <c r="BH109"/>
    </row>
    <row r="110" spans="1:60" s="53" customFormat="1" ht="12.75">
      <c r="A110" s="55"/>
      <c r="B110" s="28" t="s">
        <v>93</v>
      </c>
      <c r="C110" s="28"/>
      <c r="D110" s="28" t="s">
        <v>13</v>
      </c>
      <c r="E110" s="28"/>
      <c r="F110" s="59"/>
      <c r="G110" s="51">
        <v>24</v>
      </c>
      <c r="H110" s="74"/>
      <c r="I110" s="51">
        <v>26.2</v>
      </c>
      <c r="J110" s="74"/>
      <c r="K110" s="51">
        <v>26.5</v>
      </c>
      <c r="L110" s="74"/>
      <c r="M110" s="51"/>
      <c r="N110" s="74"/>
      <c r="O110" s="51"/>
      <c r="P110" s="74"/>
      <c r="Q110" s="51"/>
      <c r="R110" s="74"/>
      <c r="S110" s="51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 s="51"/>
      <c r="AI110" s="51"/>
      <c r="AJ110" s="51"/>
      <c r="AK110" s="51"/>
      <c r="AL110" s="51"/>
      <c r="AM110" s="51"/>
      <c r="AN110" s="51"/>
      <c r="BH110"/>
    </row>
    <row r="111" spans="1:60" s="53" customFormat="1" ht="12.75">
      <c r="A111" s="55"/>
      <c r="B111" s="28" t="s">
        <v>88</v>
      </c>
      <c r="C111" s="28"/>
      <c r="D111" s="28" t="s">
        <v>16</v>
      </c>
      <c r="E111" s="28"/>
      <c r="F111" s="59"/>
      <c r="G111" s="51">
        <v>314</v>
      </c>
      <c r="H111" s="74"/>
      <c r="I111" s="51">
        <v>316</v>
      </c>
      <c r="J111" s="74"/>
      <c r="K111" s="51">
        <v>313</v>
      </c>
      <c r="L111" s="74"/>
      <c r="M111" s="51"/>
      <c r="N111" s="74"/>
      <c r="O111" s="51"/>
      <c r="P111" s="74"/>
      <c r="Q111" s="51"/>
      <c r="R111" s="74"/>
      <c r="S111" s="5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 s="51"/>
      <c r="AI111" s="51"/>
      <c r="AJ111" s="51"/>
      <c r="AK111" s="51"/>
      <c r="AL111" s="51"/>
      <c r="AM111" s="51"/>
      <c r="AN111" s="51"/>
      <c r="BH111"/>
    </row>
    <row r="112" spans="1:60" s="53" customFormat="1" ht="12.75">
      <c r="A112" s="55"/>
      <c r="F112" s="59"/>
      <c r="G112" s="51"/>
      <c r="H112" s="74"/>
      <c r="I112" s="51"/>
      <c r="J112" s="74"/>
      <c r="K112" s="51"/>
      <c r="L112" s="74"/>
      <c r="M112" s="51"/>
      <c r="N112" s="74"/>
      <c r="O112" s="51"/>
      <c r="P112" s="74"/>
      <c r="Q112" s="51"/>
      <c r="R112" s="74"/>
      <c r="S112" s="51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 s="51"/>
      <c r="AI112" s="51"/>
      <c r="AJ112" s="51"/>
      <c r="AK112" s="51"/>
      <c r="AL112" s="51"/>
      <c r="AM112" s="51"/>
      <c r="AN112" s="51"/>
      <c r="BH112"/>
    </row>
    <row r="113" spans="1:60" s="53" customFormat="1" ht="12.75">
      <c r="A113" s="55"/>
      <c r="B113" s="52" t="s">
        <v>94</v>
      </c>
      <c r="C113" s="53" t="s">
        <v>204</v>
      </c>
      <c r="D113" s="53" t="s">
        <v>263</v>
      </c>
      <c r="F113" s="59"/>
      <c r="G113" s="51"/>
      <c r="H113" s="74"/>
      <c r="I113" s="51"/>
      <c r="J113" s="74"/>
      <c r="K113" s="51"/>
      <c r="L113" s="74"/>
      <c r="M113" s="51"/>
      <c r="N113" s="74"/>
      <c r="O113" s="51"/>
      <c r="P113" s="74"/>
      <c r="Q113" s="51"/>
      <c r="R113" s="74"/>
      <c r="S113" s="51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 s="51"/>
      <c r="AI113" s="51"/>
      <c r="AJ113" s="51"/>
      <c r="AK113" s="51"/>
      <c r="AL113" s="51"/>
      <c r="AM113" s="51"/>
      <c r="AN113" s="51"/>
      <c r="BH113"/>
    </row>
    <row r="114" spans="1:60" s="53" customFormat="1" ht="12.75">
      <c r="A114" s="55"/>
      <c r="B114" s="28" t="s">
        <v>89</v>
      </c>
      <c r="C114" s="28"/>
      <c r="D114" s="28" t="s">
        <v>15</v>
      </c>
      <c r="E114" s="28"/>
      <c r="F114" s="59"/>
      <c r="G114" s="51">
        <v>41200</v>
      </c>
      <c r="H114" s="74"/>
      <c r="I114" s="51">
        <v>39800</v>
      </c>
      <c r="J114" s="74"/>
      <c r="K114" s="51">
        <v>40100</v>
      </c>
      <c r="L114" s="74"/>
      <c r="M114" s="51"/>
      <c r="N114" s="74"/>
      <c r="O114" s="51"/>
      <c r="P114" s="74"/>
      <c r="Q114" s="51"/>
      <c r="R114" s="74"/>
      <c r="S114" s="51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 s="51"/>
      <c r="AI114" s="51"/>
      <c r="AJ114" s="51"/>
      <c r="AK114" s="51"/>
      <c r="AL114" s="51"/>
      <c r="AM114" s="51"/>
      <c r="AN114" s="51"/>
      <c r="BH114"/>
    </row>
    <row r="115" spans="1:60" s="53" customFormat="1" ht="12.75">
      <c r="A115" s="55"/>
      <c r="B115" s="28" t="s">
        <v>92</v>
      </c>
      <c r="C115" s="28"/>
      <c r="D115" s="28" t="s">
        <v>13</v>
      </c>
      <c r="E115" s="28"/>
      <c r="F115" s="59"/>
      <c r="G115" s="51">
        <v>10.5</v>
      </c>
      <c r="H115" s="74"/>
      <c r="I115" s="51">
        <v>11.4</v>
      </c>
      <c r="J115" s="74"/>
      <c r="K115" s="51">
        <v>11</v>
      </c>
      <c r="L115" s="74"/>
      <c r="M115" s="51"/>
      <c r="N115" s="74"/>
      <c r="O115" s="51"/>
      <c r="P115" s="74"/>
      <c r="Q115" s="51"/>
      <c r="R115" s="74"/>
      <c r="S115" s="51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 s="51"/>
      <c r="AI115" s="51"/>
      <c r="AJ115" s="51"/>
      <c r="AK115" s="51"/>
      <c r="AL115" s="51"/>
      <c r="AM115" s="51"/>
      <c r="AN115" s="51"/>
      <c r="BH115"/>
    </row>
    <row r="116" spans="1:60" s="53" customFormat="1" ht="12.75">
      <c r="A116" s="55"/>
      <c r="B116" s="28" t="s">
        <v>93</v>
      </c>
      <c r="C116" s="28"/>
      <c r="D116" s="28" t="s">
        <v>13</v>
      </c>
      <c r="E116" s="28"/>
      <c r="F116" s="59"/>
      <c r="G116" s="51">
        <v>23.5</v>
      </c>
      <c r="H116" s="74"/>
      <c r="I116" s="51">
        <v>25.9</v>
      </c>
      <c r="J116" s="74"/>
      <c r="K116" s="51">
        <v>26.2</v>
      </c>
      <c r="L116" s="74"/>
      <c r="M116" s="51"/>
      <c r="N116" s="74"/>
      <c r="O116" s="51"/>
      <c r="P116" s="74"/>
      <c r="Q116" s="51"/>
      <c r="R116" s="74"/>
      <c r="S116" s="51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 s="51"/>
      <c r="AI116" s="51"/>
      <c r="AJ116" s="51"/>
      <c r="AK116" s="51"/>
      <c r="AL116" s="51"/>
      <c r="AM116" s="51"/>
      <c r="AN116" s="51"/>
      <c r="BH116"/>
    </row>
    <row r="117" spans="1:60" s="53" customFormat="1" ht="12.75">
      <c r="A117" s="55"/>
      <c r="B117" s="28" t="s">
        <v>88</v>
      </c>
      <c r="C117" s="28"/>
      <c r="D117" s="28" t="s">
        <v>16</v>
      </c>
      <c r="E117" s="28"/>
      <c r="F117" s="59"/>
      <c r="G117" s="51">
        <v>316</v>
      </c>
      <c r="H117" s="74"/>
      <c r="I117" s="51">
        <v>314</v>
      </c>
      <c r="J117" s="74"/>
      <c r="K117" s="51">
        <v>312</v>
      </c>
      <c r="L117" s="74"/>
      <c r="M117" s="51"/>
      <c r="N117" s="74"/>
      <c r="O117" s="51"/>
      <c r="P117" s="74"/>
      <c r="Q117" s="51"/>
      <c r="R117" s="74"/>
      <c r="S117" s="51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 s="51"/>
      <c r="AI117" s="51"/>
      <c r="AJ117" s="51"/>
      <c r="AK117" s="51"/>
      <c r="AL117" s="51"/>
      <c r="AM117" s="51"/>
      <c r="AN117" s="51"/>
      <c r="BH117"/>
    </row>
    <row r="118" spans="1:60" s="53" customFormat="1" ht="12.75">
      <c r="A118" s="55"/>
      <c r="F118" s="59"/>
      <c r="G118" s="51"/>
      <c r="H118" s="74"/>
      <c r="I118" s="51"/>
      <c r="J118" s="74"/>
      <c r="K118" s="51"/>
      <c r="L118" s="74"/>
      <c r="M118" s="51"/>
      <c r="N118" s="74"/>
      <c r="O118" s="51"/>
      <c r="P118" s="74"/>
      <c r="Q118" s="51"/>
      <c r="R118" s="74"/>
      <c r="S118" s="51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 s="51"/>
      <c r="AI118" s="51"/>
      <c r="AJ118" s="51"/>
      <c r="AK118" s="51"/>
      <c r="AL118" s="51"/>
      <c r="AM118" s="51"/>
      <c r="AN118" s="51"/>
      <c r="BH118"/>
    </row>
    <row r="119" spans="1:60" s="53" customFormat="1" ht="12.75">
      <c r="A119" s="55"/>
      <c r="B119" s="52" t="s">
        <v>94</v>
      </c>
      <c r="C119" s="53" t="s">
        <v>116</v>
      </c>
      <c r="D119" s="53" t="s">
        <v>264</v>
      </c>
      <c r="F119" s="59"/>
      <c r="G119" s="51"/>
      <c r="H119" s="74"/>
      <c r="I119" s="51"/>
      <c r="J119" s="74"/>
      <c r="K119" s="51"/>
      <c r="L119" s="74"/>
      <c r="M119" s="51"/>
      <c r="N119" s="74"/>
      <c r="O119" s="51"/>
      <c r="P119" s="74"/>
      <c r="Q119" s="51"/>
      <c r="R119" s="74"/>
      <c r="S119" s="51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 s="51"/>
      <c r="AI119" s="51"/>
      <c r="AJ119" s="51"/>
      <c r="AK119" s="51"/>
      <c r="AL119" s="51"/>
      <c r="AM119" s="51"/>
      <c r="AN119" s="51"/>
      <c r="BH119"/>
    </row>
    <row r="120" spans="1:60" s="53" customFormat="1" ht="12.75">
      <c r="A120" s="55"/>
      <c r="B120" s="28" t="s">
        <v>89</v>
      </c>
      <c r="C120" s="28"/>
      <c r="D120" s="28" t="s">
        <v>15</v>
      </c>
      <c r="E120" s="28"/>
      <c r="F120" s="59"/>
      <c r="G120" s="51">
        <v>45800</v>
      </c>
      <c r="H120" s="74"/>
      <c r="I120" s="51">
        <v>43700</v>
      </c>
      <c r="J120" s="74"/>
      <c r="K120" s="51">
        <v>44800</v>
      </c>
      <c r="L120" s="74"/>
      <c r="M120" s="51"/>
      <c r="N120" s="74"/>
      <c r="O120" s="51"/>
      <c r="P120" s="74"/>
      <c r="Q120" s="51"/>
      <c r="R120" s="74"/>
      <c r="S120" s="51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 s="51"/>
      <c r="AI120" s="51"/>
      <c r="AJ120" s="51"/>
      <c r="AK120" s="51"/>
      <c r="AL120" s="51"/>
      <c r="AM120" s="51"/>
      <c r="AN120" s="51"/>
      <c r="BH120"/>
    </row>
    <row r="121" spans="1:60" s="53" customFormat="1" ht="12.75">
      <c r="A121" s="55"/>
      <c r="B121" s="28" t="s">
        <v>92</v>
      </c>
      <c r="C121" s="28"/>
      <c r="D121" s="28" t="s">
        <v>13</v>
      </c>
      <c r="E121" s="28"/>
      <c r="F121" s="59"/>
      <c r="G121" s="51">
        <v>10.5</v>
      </c>
      <c r="H121" s="74"/>
      <c r="I121" s="51">
        <v>11.4</v>
      </c>
      <c r="J121" s="74"/>
      <c r="K121" s="51">
        <v>11</v>
      </c>
      <c r="L121" s="74"/>
      <c r="M121" s="51"/>
      <c r="N121" s="74"/>
      <c r="O121" s="51"/>
      <c r="P121" s="74"/>
      <c r="Q121" s="51"/>
      <c r="R121" s="74"/>
      <c r="S121" s="5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 s="51"/>
      <c r="AI121" s="51"/>
      <c r="AJ121" s="51"/>
      <c r="AK121" s="51"/>
      <c r="AL121" s="51"/>
      <c r="AM121" s="51"/>
      <c r="AN121" s="51"/>
      <c r="BH121"/>
    </row>
    <row r="122" spans="1:60" s="53" customFormat="1" ht="12.75">
      <c r="A122" s="55"/>
      <c r="B122" s="28" t="s">
        <v>93</v>
      </c>
      <c r="C122" s="28"/>
      <c r="D122" s="28" t="s">
        <v>13</v>
      </c>
      <c r="E122" s="28"/>
      <c r="F122" s="59"/>
      <c r="G122" s="51">
        <v>24.2</v>
      </c>
      <c r="H122" s="74"/>
      <c r="I122" s="51">
        <v>25.8</v>
      </c>
      <c r="J122" s="74"/>
      <c r="K122" s="51">
        <v>26.2</v>
      </c>
      <c r="L122" s="74"/>
      <c r="M122" s="51"/>
      <c r="N122" s="74"/>
      <c r="O122" s="51"/>
      <c r="P122" s="74"/>
      <c r="Q122" s="51"/>
      <c r="R122" s="74"/>
      <c r="S122" s="51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 s="51"/>
      <c r="AI122" s="51"/>
      <c r="AJ122" s="51"/>
      <c r="AK122" s="51"/>
      <c r="AL122" s="51"/>
      <c r="AM122" s="51"/>
      <c r="AN122" s="51"/>
      <c r="BH122"/>
    </row>
    <row r="123" spans="1:60" s="53" customFormat="1" ht="15.75" customHeight="1">
      <c r="A123" s="55"/>
      <c r="B123" s="28" t="s">
        <v>88</v>
      </c>
      <c r="C123" s="28"/>
      <c r="D123" s="28" t="s">
        <v>16</v>
      </c>
      <c r="E123" s="28"/>
      <c r="F123" s="59"/>
      <c r="G123" s="51">
        <v>315</v>
      </c>
      <c r="H123" s="74"/>
      <c r="I123" s="51">
        <v>315</v>
      </c>
      <c r="J123" s="74"/>
      <c r="K123" s="51">
        <v>312</v>
      </c>
      <c r="L123" s="74"/>
      <c r="M123" s="51"/>
      <c r="N123" s="74"/>
      <c r="O123" s="51"/>
      <c r="P123" s="74"/>
      <c r="Q123" s="51"/>
      <c r="R123" s="74"/>
      <c r="S123" s="51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 s="51"/>
      <c r="AI123" s="51"/>
      <c r="AJ123" s="51"/>
      <c r="AK123" s="51"/>
      <c r="AL123" s="51"/>
      <c r="AM123" s="51"/>
      <c r="AN123" s="51"/>
      <c r="BH123"/>
    </row>
    <row r="125" spans="2:5" ht="12.75">
      <c r="B125" s="52" t="s">
        <v>94</v>
      </c>
      <c r="C125" s="53" t="s">
        <v>202</v>
      </c>
      <c r="D125" s="52" t="s">
        <v>265</v>
      </c>
      <c r="E125" s="52"/>
    </row>
    <row r="126" spans="1:60" s="53" customFormat="1" ht="12.75">
      <c r="A126" s="55"/>
      <c r="B126" s="28" t="s">
        <v>89</v>
      </c>
      <c r="C126" s="28"/>
      <c r="D126" s="28" t="s">
        <v>15</v>
      </c>
      <c r="E126" s="28"/>
      <c r="F126" s="59"/>
      <c r="G126" s="51">
        <v>47100</v>
      </c>
      <c r="H126" s="74"/>
      <c r="I126" s="51">
        <v>45200</v>
      </c>
      <c r="J126" s="74"/>
      <c r="K126" s="51">
        <v>46500</v>
      </c>
      <c r="L126" s="74"/>
      <c r="M126" s="51"/>
      <c r="N126" s="74"/>
      <c r="O126" s="51"/>
      <c r="P126" s="74"/>
      <c r="Q126" s="51"/>
      <c r="R126" s="74"/>
      <c r="S126" s="51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 s="51"/>
      <c r="AI126" s="51"/>
      <c r="AJ126" s="51"/>
      <c r="AK126" s="51"/>
      <c r="AL126" s="51"/>
      <c r="AM126" s="51"/>
      <c r="AN126" s="51"/>
      <c r="BH126"/>
    </row>
    <row r="127" spans="1:60" s="53" customFormat="1" ht="12.75">
      <c r="A127" s="55"/>
      <c r="B127" s="28" t="s">
        <v>92</v>
      </c>
      <c r="C127" s="28"/>
      <c r="D127" s="28" t="s">
        <v>13</v>
      </c>
      <c r="E127" s="28"/>
      <c r="F127" s="59"/>
      <c r="G127" s="51">
        <v>10.5</v>
      </c>
      <c r="H127" s="74"/>
      <c r="I127" s="51">
        <v>11.4</v>
      </c>
      <c r="J127" s="74"/>
      <c r="K127" s="51">
        <v>11</v>
      </c>
      <c r="L127" s="74"/>
      <c r="M127" s="51"/>
      <c r="N127" s="74"/>
      <c r="O127" s="51"/>
      <c r="P127" s="74"/>
      <c r="Q127" s="51"/>
      <c r="R127" s="74"/>
      <c r="S127" s="51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 s="51"/>
      <c r="AI127" s="51"/>
      <c r="AJ127" s="51"/>
      <c r="AK127" s="51"/>
      <c r="AL127" s="51"/>
      <c r="AM127" s="51"/>
      <c r="AN127" s="51"/>
      <c r="BH127"/>
    </row>
    <row r="128" spans="1:60" s="53" customFormat="1" ht="12.75">
      <c r="A128" s="55"/>
      <c r="B128" s="28" t="s">
        <v>93</v>
      </c>
      <c r="C128" s="28"/>
      <c r="D128" s="28" t="s">
        <v>13</v>
      </c>
      <c r="E128" s="28"/>
      <c r="F128" s="59"/>
      <c r="G128" s="51">
        <v>24.6</v>
      </c>
      <c r="H128" s="74"/>
      <c r="I128" s="51">
        <v>26.5</v>
      </c>
      <c r="J128" s="74"/>
      <c r="K128" s="51">
        <v>24.7</v>
      </c>
      <c r="L128" s="74"/>
      <c r="M128" s="51"/>
      <c r="N128" s="74"/>
      <c r="O128" s="51"/>
      <c r="P128" s="74"/>
      <c r="Q128" s="51"/>
      <c r="R128" s="74"/>
      <c r="S128" s="51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 s="51"/>
      <c r="AI128" s="51"/>
      <c r="AJ128" s="51"/>
      <c r="AK128" s="51"/>
      <c r="AL128" s="51"/>
      <c r="AM128" s="51"/>
      <c r="AN128" s="51"/>
      <c r="BH128"/>
    </row>
    <row r="129" spans="1:60" s="53" customFormat="1" ht="12.75">
      <c r="A129" s="55"/>
      <c r="B129" s="28" t="s">
        <v>88</v>
      </c>
      <c r="C129" s="28"/>
      <c r="D129" s="28" t="s">
        <v>16</v>
      </c>
      <c r="E129" s="28"/>
      <c r="F129" s="59"/>
      <c r="G129" s="51">
        <v>313</v>
      </c>
      <c r="H129" s="74"/>
      <c r="I129" s="51">
        <v>311</v>
      </c>
      <c r="J129" s="74"/>
      <c r="K129" s="51">
        <v>310</v>
      </c>
      <c r="L129" s="74"/>
      <c r="M129" s="51"/>
      <c r="N129" s="74"/>
      <c r="O129" s="51"/>
      <c r="P129" s="74"/>
      <c r="Q129" s="51"/>
      <c r="R129" s="74"/>
      <c r="S129" s="51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 s="51"/>
      <c r="AI129" s="51"/>
      <c r="AJ129" s="51"/>
      <c r="AK129" s="51"/>
      <c r="AL129" s="51"/>
      <c r="AM129" s="51"/>
      <c r="AN129" s="51"/>
      <c r="BH129"/>
    </row>
    <row r="130" spans="1:60" s="53" customFormat="1" ht="12.75">
      <c r="A130" s="55"/>
      <c r="F130" s="59"/>
      <c r="G130" s="51"/>
      <c r="H130" s="74"/>
      <c r="I130" s="51"/>
      <c r="J130" s="74"/>
      <c r="K130" s="51"/>
      <c r="L130" s="74"/>
      <c r="M130" s="51"/>
      <c r="N130" s="74"/>
      <c r="O130" s="51"/>
      <c r="P130" s="74"/>
      <c r="Q130" s="51"/>
      <c r="R130" s="74"/>
      <c r="S130" s="51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 s="51"/>
      <c r="AI130" s="51"/>
      <c r="AJ130" s="51"/>
      <c r="AK130" s="51"/>
      <c r="AL130" s="51"/>
      <c r="AM130" s="51"/>
      <c r="AN130" s="51"/>
      <c r="BH130"/>
    </row>
    <row r="131" spans="1:60" s="53" customFormat="1" ht="12.75">
      <c r="A131" s="55"/>
      <c r="B131" s="52" t="s">
        <v>94</v>
      </c>
      <c r="C131" s="53" t="s">
        <v>203</v>
      </c>
      <c r="D131" s="53" t="s">
        <v>266</v>
      </c>
      <c r="F131" s="59"/>
      <c r="G131" s="51"/>
      <c r="H131" s="74"/>
      <c r="I131" s="51"/>
      <c r="J131" s="74"/>
      <c r="K131" s="51"/>
      <c r="L131" s="74"/>
      <c r="M131" s="51"/>
      <c r="N131" s="74"/>
      <c r="O131" s="51"/>
      <c r="P131" s="74"/>
      <c r="Q131" s="51"/>
      <c r="R131" s="74"/>
      <c r="S131" s="5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 s="51"/>
      <c r="AI131" s="51"/>
      <c r="AJ131" s="51"/>
      <c r="AK131" s="51"/>
      <c r="AL131" s="51"/>
      <c r="AM131" s="51"/>
      <c r="AN131" s="51"/>
      <c r="BH131"/>
    </row>
    <row r="132" spans="1:60" s="53" customFormat="1" ht="12.75">
      <c r="A132" s="55"/>
      <c r="B132" s="28" t="s">
        <v>89</v>
      </c>
      <c r="C132" s="28"/>
      <c r="D132" s="28" t="s">
        <v>15</v>
      </c>
      <c r="E132" s="28"/>
      <c r="F132" s="59"/>
      <c r="G132" s="51">
        <v>45200</v>
      </c>
      <c r="H132" s="74"/>
      <c r="I132" s="51">
        <v>44500</v>
      </c>
      <c r="J132" s="74"/>
      <c r="K132" s="51">
        <v>46500</v>
      </c>
      <c r="L132" s="74"/>
      <c r="M132" s="51"/>
      <c r="N132" s="74"/>
      <c r="O132" s="51"/>
      <c r="P132" s="74"/>
      <c r="Q132" s="51"/>
      <c r="R132" s="74"/>
      <c r="S132" s="51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 s="51"/>
      <c r="AI132" s="51"/>
      <c r="AJ132" s="51"/>
      <c r="AK132" s="51"/>
      <c r="AL132" s="51"/>
      <c r="AM132" s="51"/>
      <c r="AN132" s="51"/>
      <c r="BH132"/>
    </row>
    <row r="133" spans="1:60" s="53" customFormat="1" ht="12.75">
      <c r="A133" s="55"/>
      <c r="B133" s="28" t="s">
        <v>92</v>
      </c>
      <c r="C133" s="28"/>
      <c r="D133" s="28" t="s">
        <v>13</v>
      </c>
      <c r="E133" s="28"/>
      <c r="F133" s="59"/>
      <c r="G133" s="51">
        <v>10.5</v>
      </c>
      <c r="H133" s="74"/>
      <c r="I133" s="51">
        <v>11.4</v>
      </c>
      <c r="J133" s="74"/>
      <c r="K133" s="51">
        <v>11</v>
      </c>
      <c r="L133" s="74"/>
      <c r="M133" s="51"/>
      <c r="N133" s="74"/>
      <c r="O133" s="51"/>
      <c r="P133" s="74"/>
      <c r="Q133" s="51"/>
      <c r="R133" s="74"/>
      <c r="S133" s="51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 s="51"/>
      <c r="AI133" s="51"/>
      <c r="AJ133" s="51"/>
      <c r="AK133" s="51"/>
      <c r="AL133" s="51"/>
      <c r="AM133" s="51"/>
      <c r="AN133" s="51"/>
      <c r="BH133"/>
    </row>
    <row r="134" spans="1:60" s="53" customFormat="1" ht="12.75">
      <c r="A134" s="55"/>
      <c r="B134" s="28" t="s">
        <v>93</v>
      </c>
      <c r="C134" s="28"/>
      <c r="D134" s="28" t="s">
        <v>13</v>
      </c>
      <c r="E134" s="28"/>
      <c r="F134" s="59"/>
      <c r="G134" s="51">
        <v>22.3</v>
      </c>
      <c r="H134" s="74"/>
      <c r="I134" s="51">
        <v>25.1</v>
      </c>
      <c r="J134" s="74"/>
      <c r="K134" s="51">
        <v>25.2</v>
      </c>
      <c r="L134" s="74"/>
      <c r="M134" s="51"/>
      <c r="N134" s="74"/>
      <c r="O134" s="51"/>
      <c r="P134" s="74"/>
      <c r="Q134" s="51"/>
      <c r="R134" s="74"/>
      <c r="S134" s="51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 s="51"/>
      <c r="AI134" s="51"/>
      <c r="AJ134" s="51"/>
      <c r="AK134" s="51"/>
      <c r="AL134" s="51"/>
      <c r="AM134" s="51"/>
      <c r="AN134" s="51"/>
      <c r="BH134"/>
    </row>
    <row r="135" spans="1:60" s="53" customFormat="1" ht="12.75">
      <c r="A135" s="55"/>
      <c r="B135" s="28" t="s">
        <v>88</v>
      </c>
      <c r="C135" s="28"/>
      <c r="D135" s="28" t="s">
        <v>16</v>
      </c>
      <c r="E135" s="28"/>
      <c r="F135" s="59"/>
      <c r="G135" s="51">
        <v>312</v>
      </c>
      <c r="H135" s="74"/>
      <c r="I135" s="51">
        <v>309</v>
      </c>
      <c r="J135" s="74"/>
      <c r="K135" s="51">
        <v>309</v>
      </c>
      <c r="L135" s="74"/>
      <c r="M135" s="51"/>
      <c r="N135" s="74"/>
      <c r="O135" s="51"/>
      <c r="P135" s="74"/>
      <c r="Q135" s="51"/>
      <c r="R135" s="74"/>
      <c r="S135" s="51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 s="51"/>
      <c r="AI135" s="51"/>
      <c r="AJ135" s="51"/>
      <c r="AK135" s="51"/>
      <c r="AL135" s="51"/>
      <c r="AM135" s="51"/>
      <c r="AN135" s="51"/>
      <c r="BH135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R83"/>
  <sheetViews>
    <sheetView workbookViewId="0" topLeftCell="B1">
      <selection activeCell="C1" sqref="C1"/>
    </sheetView>
  </sheetViews>
  <sheetFormatPr defaultColWidth="9.140625" defaultRowHeight="12.75"/>
  <cols>
    <col min="1" max="1" width="3.421875" style="4" hidden="1" customWidth="1"/>
    <col min="2" max="2" width="25.00390625" style="9" customWidth="1"/>
    <col min="3" max="3" width="5.00390625" style="9" customWidth="1"/>
    <col min="4" max="4" width="8.57421875" style="9" customWidth="1"/>
    <col min="5" max="5" width="2.8515625" style="5" customWidth="1"/>
    <col min="6" max="6" width="10.8515625" style="38" customWidth="1"/>
    <col min="7" max="7" width="2.7109375" style="38" customWidth="1"/>
    <col min="8" max="8" width="10.140625" style="38" customWidth="1"/>
    <col min="9" max="9" width="2.57421875" style="38" customWidth="1"/>
    <col min="10" max="10" width="10.00390625" style="38" customWidth="1"/>
    <col min="11" max="11" width="2.421875" style="38" customWidth="1"/>
    <col min="12" max="12" width="10.140625" style="4" customWidth="1"/>
    <col min="13" max="13" width="2.7109375" style="4" customWidth="1"/>
    <col min="14" max="14" width="9.28125" style="5" customWidth="1"/>
    <col min="15" max="15" width="2.7109375" style="5" customWidth="1"/>
    <col min="16" max="16" width="8.8515625" style="5" customWidth="1"/>
    <col min="17" max="17" width="2.421875" style="5" customWidth="1"/>
    <col min="18" max="18" width="11.421875" style="5" customWidth="1"/>
    <col min="19" max="19" width="2.421875" style="5" customWidth="1"/>
    <col min="20" max="20" width="9.57421875" style="38" customWidth="1"/>
    <col min="21" max="21" width="2.00390625" style="38" customWidth="1"/>
    <col min="22" max="22" width="9.421875" style="5" customWidth="1"/>
    <col min="23" max="23" width="2.00390625" style="5" customWidth="1"/>
    <col min="24" max="24" width="10.8515625" style="5" customWidth="1"/>
    <col min="25" max="25" width="2.140625" style="5" customWidth="1"/>
    <col min="26" max="26" width="11.421875" style="5" customWidth="1"/>
    <col min="27" max="27" width="2.00390625" style="5" customWidth="1"/>
    <col min="28" max="28" width="10.00390625" style="4" customWidth="1"/>
    <col min="29" max="29" width="1.8515625" style="4" customWidth="1"/>
    <col min="30" max="30" width="12.140625" style="5" customWidth="1"/>
    <col min="31" max="31" width="2.57421875" style="5" customWidth="1"/>
    <col min="32" max="32" width="11.7109375" style="5" customWidth="1"/>
    <col min="33" max="33" width="2.28125" style="5" customWidth="1"/>
    <col min="34" max="34" width="12.140625" style="5" customWidth="1"/>
    <col min="35" max="35" width="2.140625" style="5" customWidth="1"/>
    <col min="36" max="36" width="11.28125" style="4" customWidth="1"/>
    <col min="37" max="37" width="2.8515625" style="4" customWidth="1"/>
    <col min="38" max="38" width="11.57421875" style="4" customWidth="1"/>
    <col min="39" max="39" width="2.00390625" style="4" customWidth="1"/>
    <col min="40" max="40" width="12.00390625" style="4" customWidth="1"/>
    <col min="41" max="41" width="2.28125" style="4" customWidth="1"/>
    <col min="42" max="42" width="11.28125" style="4" customWidth="1"/>
    <col min="43" max="43" width="2.140625" style="4" customWidth="1"/>
    <col min="44" max="44" width="12.8515625" style="4" customWidth="1"/>
    <col min="45" max="16384" width="8.8515625" style="4" customWidth="1"/>
  </cols>
  <sheetData>
    <row r="1" spans="2:3" ht="12.75">
      <c r="B1" s="37" t="s">
        <v>252</v>
      </c>
      <c r="C1" s="37"/>
    </row>
    <row r="3" spans="1:44" ht="12.75">
      <c r="A3" s="4" t="s">
        <v>106</v>
      </c>
      <c r="B3" s="37" t="s">
        <v>145</v>
      </c>
      <c r="C3" s="9" t="str">
        <f>'emiss 1'!C4</f>
        <v>Max comb temp, max metals, chlorine</v>
      </c>
      <c r="F3" s="5" t="s">
        <v>122</v>
      </c>
      <c r="G3" s="5"/>
      <c r="H3" s="5" t="s">
        <v>123</v>
      </c>
      <c r="I3" s="5"/>
      <c r="J3" s="5" t="s">
        <v>124</v>
      </c>
      <c r="K3" s="5"/>
      <c r="L3" s="5" t="s">
        <v>66</v>
      </c>
      <c r="M3" s="5"/>
      <c r="N3" s="5" t="s">
        <v>122</v>
      </c>
      <c r="P3" s="5" t="s">
        <v>123</v>
      </c>
      <c r="R3" s="5" t="s">
        <v>124</v>
      </c>
      <c r="T3" s="5" t="s">
        <v>66</v>
      </c>
      <c r="U3" s="5"/>
      <c r="V3" s="5" t="s">
        <v>122</v>
      </c>
      <c r="X3" s="5" t="s">
        <v>123</v>
      </c>
      <c r="Z3" s="5" t="s">
        <v>124</v>
      </c>
      <c r="AB3" s="5" t="s">
        <v>66</v>
      </c>
      <c r="AC3" s="5"/>
      <c r="AD3" s="5" t="s">
        <v>122</v>
      </c>
      <c r="AF3" s="5" t="s">
        <v>123</v>
      </c>
      <c r="AH3" s="5" t="s">
        <v>124</v>
      </c>
      <c r="AJ3" s="5" t="s">
        <v>66</v>
      </c>
      <c r="AK3" s="5"/>
      <c r="AL3" s="5" t="s">
        <v>122</v>
      </c>
      <c r="AM3" s="5"/>
      <c r="AN3" s="5" t="s">
        <v>123</v>
      </c>
      <c r="AO3" s="5"/>
      <c r="AP3" s="5" t="s">
        <v>124</v>
      </c>
      <c r="AQ3" s="5"/>
      <c r="AR3" s="5" t="s">
        <v>66</v>
      </c>
    </row>
    <row r="4" spans="2:44" ht="12.75">
      <c r="B4" s="37"/>
      <c r="F4" s="5"/>
      <c r="G4" s="5"/>
      <c r="H4" s="5"/>
      <c r="I4" s="5"/>
      <c r="J4" s="5"/>
      <c r="K4" s="5"/>
      <c r="L4" s="5"/>
      <c r="M4" s="5"/>
      <c r="T4" s="5"/>
      <c r="U4" s="5"/>
      <c r="AB4" s="5"/>
      <c r="AC4" s="5"/>
      <c r="AJ4" s="5"/>
      <c r="AK4" s="5"/>
      <c r="AL4" s="5"/>
      <c r="AM4" s="5"/>
      <c r="AN4" s="5"/>
      <c r="AO4" s="5"/>
      <c r="AP4" s="5"/>
      <c r="AQ4" s="5"/>
      <c r="AR4" s="5"/>
    </row>
    <row r="5" spans="2:44" ht="12.75">
      <c r="B5" s="9" t="s">
        <v>285</v>
      </c>
      <c r="F5" s="5" t="s">
        <v>289</v>
      </c>
      <c r="G5" s="5"/>
      <c r="H5" s="5" t="s">
        <v>289</v>
      </c>
      <c r="I5" s="5"/>
      <c r="J5" s="5" t="s">
        <v>289</v>
      </c>
      <c r="K5" s="5"/>
      <c r="L5" s="5" t="s">
        <v>289</v>
      </c>
      <c r="M5" s="5"/>
      <c r="N5" s="5" t="s">
        <v>290</v>
      </c>
      <c r="P5" s="5" t="s">
        <v>290</v>
      </c>
      <c r="R5" s="5" t="s">
        <v>290</v>
      </c>
      <c r="T5" s="5" t="s">
        <v>290</v>
      </c>
      <c r="U5" s="5"/>
      <c r="V5" s="5" t="s">
        <v>291</v>
      </c>
      <c r="X5" s="5" t="s">
        <v>291</v>
      </c>
      <c r="Z5" s="5" t="s">
        <v>291</v>
      </c>
      <c r="AB5" s="5" t="s">
        <v>291</v>
      </c>
      <c r="AC5" s="5"/>
      <c r="AD5" s="5" t="s">
        <v>292</v>
      </c>
      <c r="AF5" s="5" t="s">
        <v>292</v>
      </c>
      <c r="AH5" s="5" t="s">
        <v>292</v>
      </c>
      <c r="AJ5" s="5" t="s">
        <v>292</v>
      </c>
      <c r="AK5" s="5"/>
      <c r="AL5" s="5" t="s">
        <v>293</v>
      </c>
      <c r="AM5" s="5"/>
      <c r="AN5" s="5" t="s">
        <v>293</v>
      </c>
      <c r="AO5" s="5"/>
      <c r="AP5" s="5" t="s">
        <v>293</v>
      </c>
      <c r="AQ5" s="5"/>
      <c r="AR5" s="5" t="s">
        <v>293</v>
      </c>
    </row>
    <row r="6" spans="2:44" ht="12.75">
      <c r="B6" s="9" t="s">
        <v>286</v>
      </c>
      <c r="F6" s="5" t="s">
        <v>287</v>
      </c>
      <c r="G6" s="5"/>
      <c r="H6" s="5" t="s">
        <v>287</v>
      </c>
      <c r="I6" s="5"/>
      <c r="J6" s="5" t="s">
        <v>287</v>
      </c>
      <c r="K6" s="5"/>
      <c r="L6" s="5" t="s">
        <v>287</v>
      </c>
      <c r="M6" s="5"/>
      <c r="N6" s="5" t="s">
        <v>121</v>
      </c>
      <c r="P6" s="5" t="s">
        <v>121</v>
      </c>
      <c r="R6" s="5" t="s">
        <v>121</v>
      </c>
      <c r="T6" s="5" t="s">
        <v>121</v>
      </c>
      <c r="U6" s="5"/>
      <c r="V6" s="5" t="s">
        <v>288</v>
      </c>
      <c r="X6" s="5" t="s">
        <v>288</v>
      </c>
      <c r="Z6" s="5" t="s">
        <v>288</v>
      </c>
      <c r="AB6" s="5" t="s">
        <v>288</v>
      </c>
      <c r="AC6" s="5"/>
      <c r="AD6" s="5" t="s">
        <v>63</v>
      </c>
      <c r="AF6" s="5" t="s">
        <v>63</v>
      </c>
      <c r="AH6" s="5" t="s">
        <v>63</v>
      </c>
      <c r="AJ6" s="5" t="s">
        <v>63</v>
      </c>
      <c r="AK6" s="5"/>
      <c r="AL6" s="5" t="s">
        <v>29</v>
      </c>
      <c r="AM6" s="5"/>
      <c r="AN6" s="5" t="s">
        <v>29</v>
      </c>
      <c r="AO6" s="5"/>
      <c r="AP6" s="5" t="s">
        <v>29</v>
      </c>
      <c r="AQ6" s="5"/>
      <c r="AR6" s="5" t="s">
        <v>29</v>
      </c>
    </row>
    <row r="7" spans="2:44" ht="12.75">
      <c r="B7" s="9" t="s">
        <v>297</v>
      </c>
      <c r="F7" s="5" t="s">
        <v>298</v>
      </c>
      <c r="G7" s="5"/>
      <c r="H7" s="5" t="s">
        <v>298</v>
      </c>
      <c r="I7" s="5"/>
      <c r="J7" s="5" t="s">
        <v>298</v>
      </c>
      <c r="K7" s="5"/>
      <c r="L7" s="5" t="s">
        <v>298</v>
      </c>
      <c r="M7" s="5"/>
      <c r="N7" s="5" t="s">
        <v>121</v>
      </c>
      <c r="P7" s="5" t="s">
        <v>121</v>
      </c>
      <c r="R7" s="5" t="s">
        <v>121</v>
      </c>
      <c r="T7" s="5" t="s">
        <v>121</v>
      </c>
      <c r="U7" s="5"/>
      <c r="V7" s="5" t="s">
        <v>74</v>
      </c>
      <c r="X7" s="5" t="s">
        <v>74</v>
      </c>
      <c r="Z7" s="5" t="s">
        <v>74</v>
      </c>
      <c r="AB7" s="5" t="s">
        <v>74</v>
      </c>
      <c r="AC7" s="5"/>
      <c r="AD7" s="5" t="s">
        <v>63</v>
      </c>
      <c r="AF7" s="5" t="s">
        <v>63</v>
      </c>
      <c r="AH7" s="5" t="s">
        <v>63</v>
      </c>
      <c r="AJ7" s="5" t="s">
        <v>63</v>
      </c>
      <c r="AK7" s="5"/>
      <c r="AL7" s="5" t="s">
        <v>29</v>
      </c>
      <c r="AM7" s="5"/>
      <c r="AN7" s="5" t="s">
        <v>29</v>
      </c>
      <c r="AO7" s="5"/>
      <c r="AP7" s="5" t="s">
        <v>29</v>
      </c>
      <c r="AQ7" s="5"/>
      <c r="AR7" s="5" t="s">
        <v>29</v>
      </c>
    </row>
    <row r="8" spans="2:44" ht="12.75">
      <c r="B8" s="9" t="s">
        <v>105</v>
      </c>
      <c r="F8" s="5" t="s">
        <v>120</v>
      </c>
      <c r="G8" s="5"/>
      <c r="H8" s="5" t="s">
        <v>120</v>
      </c>
      <c r="I8" s="5"/>
      <c r="J8" s="5" t="s">
        <v>120</v>
      </c>
      <c r="K8" s="5"/>
      <c r="L8" s="5" t="s">
        <v>120</v>
      </c>
      <c r="M8" s="5"/>
      <c r="N8" s="5" t="s">
        <v>121</v>
      </c>
      <c r="P8" s="5" t="s">
        <v>121</v>
      </c>
      <c r="R8" s="5" t="s">
        <v>121</v>
      </c>
      <c r="T8" s="5" t="s">
        <v>121</v>
      </c>
      <c r="U8" s="5"/>
      <c r="V8" s="5" t="s">
        <v>134</v>
      </c>
      <c r="X8" s="5" t="s">
        <v>134</v>
      </c>
      <c r="Z8" s="5" t="s">
        <v>134</v>
      </c>
      <c r="AB8" s="5" t="s">
        <v>134</v>
      </c>
      <c r="AC8" s="5"/>
      <c r="AD8" s="5" t="s">
        <v>63</v>
      </c>
      <c r="AF8" s="5" t="s">
        <v>63</v>
      </c>
      <c r="AH8" s="5" t="s">
        <v>63</v>
      </c>
      <c r="AJ8" s="5" t="s">
        <v>63</v>
      </c>
      <c r="AK8" s="5"/>
      <c r="AL8" s="5" t="s">
        <v>29</v>
      </c>
      <c r="AM8" s="5"/>
      <c r="AN8" s="5" t="s">
        <v>29</v>
      </c>
      <c r="AO8" s="5"/>
      <c r="AP8" s="5" t="s">
        <v>29</v>
      </c>
      <c r="AQ8" s="5"/>
      <c r="AR8" s="5" t="s">
        <v>29</v>
      </c>
    </row>
    <row r="9" spans="2:36" ht="12.75">
      <c r="B9" s="9" t="s">
        <v>108</v>
      </c>
      <c r="D9" s="9" t="s">
        <v>119</v>
      </c>
      <c r="F9" s="78">
        <v>45100000</v>
      </c>
      <c r="G9" s="78"/>
      <c r="H9" s="78">
        <v>45600000</v>
      </c>
      <c r="I9" s="78"/>
      <c r="J9" s="78">
        <v>46700000</v>
      </c>
      <c r="K9" s="78"/>
      <c r="L9" s="78">
        <f aca="true" t="shared" si="0" ref="L9:L24">AVERAGE(F9:J9)</f>
        <v>45800000</v>
      </c>
      <c r="M9" s="78"/>
      <c r="N9" s="78">
        <v>562000</v>
      </c>
      <c r="O9" s="78"/>
      <c r="P9" s="78">
        <v>563000</v>
      </c>
      <c r="Q9" s="78"/>
      <c r="R9" s="78">
        <v>562000</v>
      </c>
      <c r="S9" s="78"/>
      <c r="T9" s="78">
        <f>AVERAGE(N9:R9)</f>
        <v>562333.3333333334</v>
      </c>
      <c r="U9" s="78"/>
      <c r="V9" s="79">
        <v>2700000</v>
      </c>
      <c r="W9" s="79"/>
      <c r="X9" s="79">
        <v>2220000</v>
      </c>
      <c r="Y9" s="79"/>
      <c r="Z9" s="79">
        <v>2210000</v>
      </c>
      <c r="AA9" s="79"/>
      <c r="AB9" s="79">
        <f aca="true" t="shared" si="1" ref="AB9:AB24">AVERAGE(V9:Z9)</f>
        <v>2376666.6666666665</v>
      </c>
      <c r="AC9" s="44"/>
      <c r="AD9"/>
      <c r="AE9"/>
      <c r="AF9"/>
      <c r="AG9"/>
      <c r="AH9"/>
      <c r="AI9"/>
      <c r="AJ9"/>
    </row>
    <row r="10" spans="2:36" ht="12.75">
      <c r="B10" s="9" t="s">
        <v>296</v>
      </c>
      <c r="D10" s="9" t="s">
        <v>212</v>
      </c>
      <c r="F10" s="78"/>
      <c r="G10" s="78"/>
      <c r="H10" s="78"/>
      <c r="I10" s="78"/>
      <c r="J10" s="78"/>
      <c r="K10" s="78"/>
      <c r="L10" s="78"/>
      <c r="M10" s="78"/>
      <c r="N10" s="78">
        <f>N11*1000000/N9*454</f>
        <v>12198.220640569396</v>
      </c>
      <c r="O10" s="78"/>
      <c r="P10" s="78">
        <f>P11*1000000/P9*454</f>
        <v>12337.833037300177</v>
      </c>
      <c r="Q10" s="78"/>
      <c r="R10" s="78">
        <f>R11*1000000/R9*454</f>
        <v>11794.306049822064</v>
      </c>
      <c r="S10" s="78"/>
      <c r="T10" s="78">
        <f>T11*1000000/T9*454</f>
        <v>12110.254890337877</v>
      </c>
      <c r="U10" s="78"/>
      <c r="V10" s="78">
        <f>V11*1000000/V9*454</f>
        <v>11770.37037037037</v>
      </c>
      <c r="W10" s="79"/>
      <c r="X10" s="78">
        <f>X11*1000000/X9*454</f>
        <v>13088.288288288288</v>
      </c>
      <c r="Y10" s="79"/>
      <c r="Z10" s="78">
        <f>Z11*1000000/Z9*454</f>
        <v>13147.511312217195</v>
      </c>
      <c r="AA10" s="79"/>
      <c r="AB10" s="78">
        <f>AB11*1000000/AB9*454</f>
        <v>12607.573632538571</v>
      </c>
      <c r="AC10" s="44"/>
      <c r="AD10"/>
      <c r="AE10"/>
      <c r="AF10"/>
      <c r="AG10"/>
      <c r="AH10"/>
      <c r="AI10"/>
      <c r="AJ10"/>
    </row>
    <row r="11" spans="2:44" ht="12.75">
      <c r="B11" s="9" t="s">
        <v>137</v>
      </c>
      <c r="D11" s="9" t="s">
        <v>68</v>
      </c>
      <c r="F11">
        <v>0</v>
      </c>
      <c r="G11"/>
      <c r="H11">
        <v>0</v>
      </c>
      <c r="I11"/>
      <c r="J11">
        <v>0</v>
      </c>
      <c r="K11"/>
      <c r="L11" s="1">
        <f t="shared" si="0"/>
        <v>0</v>
      </c>
      <c r="M11" s="1"/>
      <c r="N11" s="24">
        <v>15.1</v>
      </c>
      <c r="O11" s="24"/>
      <c r="P11" s="24">
        <v>15.3</v>
      </c>
      <c r="Q11" s="24"/>
      <c r="R11" s="24">
        <v>14.6</v>
      </c>
      <c r="S11" s="24"/>
      <c r="T11" s="24">
        <f>AVERAGE(N11:R11)</f>
        <v>15</v>
      </c>
      <c r="U11" s="44"/>
      <c r="V11" s="62">
        <v>70</v>
      </c>
      <c r="W11" s="62"/>
      <c r="X11" s="62">
        <v>64</v>
      </c>
      <c r="Y11" s="62"/>
      <c r="Z11" s="62">
        <v>64</v>
      </c>
      <c r="AA11" s="62"/>
      <c r="AB11" s="61">
        <f t="shared" si="1"/>
        <v>66</v>
      </c>
      <c r="AC11" s="44"/>
      <c r="AD11"/>
      <c r="AE11"/>
      <c r="AF11"/>
      <c r="AG11"/>
      <c r="AH11"/>
      <c r="AI11"/>
      <c r="AJ11"/>
      <c r="AK11" s="38"/>
      <c r="AL11" s="58">
        <f>AD11+V11+N11+F11</f>
        <v>85.1</v>
      </c>
      <c r="AM11" s="58"/>
      <c r="AN11" s="58">
        <f>AF11+X11+P11+H11</f>
        <v>79.3</v>
      </c>
      <c r="AO11" s="58"/>
      <c r="AP11" s="58">
        <f>AH11+Z11+R11+J11</f>
        <v>78.6</v>
      </c>
      <c r="AQ11" s="58"/>
      <c r="AR11" s="58">
        <f>AJ11+AB11+T11+L11</f>
        <v>81</v>
      </c>
    </row>
    <row r="12" spans="2:43" ht="12.75">
      <c r="B12" s="9" t="s">
        <v>20</v>
      </c>
      <c r="D12" s="9" t="s">
        <v>119</v>
      </c>
      <c r="F12">
        <v>649.5</v>
      </c>
      <c r="G12"/>
      <c r="H12">
        <v>563.6</v>
      </c>
      <c r="I12"/>
      <c r="J12">
        <v>565.5</v>
      </c>
      <c r="K12"/>
      <c r="L12" s="23">
        <f t="shared" si="0"/>
        <v>592.8666666666667</v>
      </c>
      <c r="M12" s="23"/>
      <c r="N12">
        <v>731.2</v>
      </c>
      <c r="O12"/>
      <c r="P12">
        <v>759.3</v>
      </c>
      <c r="Q12"/>
      <c r="R12">
        <v>787.43</v>
      </c>
      <c r="S12"/>
      <c r="T12" s="1">
        <f aca="true" t="shared" si="2" ref="T12:T24">AVERAGE(N12:R12)</f>
        <v>759.31</v>
      </c>
      <c r="U12" s="1"/>
      <c r="V12" s="63">
        <f>59184-AD12</f>
        <v>31144.96</v>
      </c>
      <c r="W12" s="63"/>
      <c r="X12" s="63">
        <f>44832-AF12</f>
        <v>6037.699999999997</v>
      </c>
      <c r="Y12" s="63"/>
      <c r="Z12" s="63">
        <f>45041-AH12</f>
        <v>6237.620000000003</v>
      </c>
      <c r="AA12" s="63"/>
      <c r="AB12" s="63">
        <f t="shared" si="1"/>
        <v>14473.426666666666</v>
      </c>
      <c r="AC12" s="1"/>
      <c r="AD12" s="78">
        <f>61.76*454</f>
        <v>28039.04</v>
      </c>
      <c r="AE12" s="78"/>
      <c r="AF12" s="78">
        <f>85.45*454</f>
        <v>38794.3</v>
      </c>
      <c r="AG12" s="78"/>
      <c r="AH12" s="78">
        <f>85.47*454</f>
        <v>38803.38</v>
      </c>
      <c r="AI12" s="78"/>
      <c r="AJ12" s="78">
        <f>AVERAGE(AD12:AH12)</f>
        <v>35212.24</v>
      </c>
      <c r="AK12" s="38"/>
      <c r="AL12" s="38"/>
      <c r="AM12" s="38"/>
      <c r="AN12" s="38"/>
      <c r="AO12" s="38"/>
      <c r="AP12" s="38"/>
      <c r="AQ12" s="38"/>
    </row>
    <row r="13" spans="2:43" ht="12.75">
      <c r="B13" s="9" t="s">
        <v>99</v>
      </c>
      <c r="D13" s="9" t="s">
        <v>119</v>
      </c>
      <c r="F13">
        <v>22.6</v>
      </c>
      <c r="G13"/>
      <c r="H13">
        <v>25.6</v>
      </c>
      <c r="I13"/>
      <c r="J13">
        <v>26.7</v>
      </c>
      <c r="K13"/>
      <c r="L13" s="23">
        <f t="shared" si="0"/>
        <v>24.96666666666667</v>
      </c>
      <c r="M13" s="23"/>
      <c r="N13">
        <v>0.59</v>
      </c>
      <c r="O13"/>
      <c r="P13">
        <v>1.5</v>
      </c>
      <c r="Q13"/>
      <c r="R13">
        <v>1.4</v>
      </c>
      <c r="S13"/>
      <c r="T13" s="1">
        <f t="shared" si="2"/>
        <v>1.1633333333333333</v>
      </c>
      <c r="U13" s="1"/>
      <c r="V13" s="62">
        <v>57</v>
      </c>
      <c r="W13" s="62"/>
      <c r="X13" s="62">
        <v>1</v>
      </c>
      <c r="Y13" s="62"/>
      <c r="Z13" s="62">
        <v>1</v>
      </c>
      <c r="AA13" s="62"/>
      <c r="AB13" s="63">
        <f t="shared" si="1"/>
        <v>19.666666666666668</v>
      </c>
      <c r="AC13" s="1"/>
      <c r="AD13" s="78"/>
      <c r="AE13" s="78"/>
      <c r="AF13" s="78"/>
      <c r="AG13" s="78"/>
      <c r="AH13" s="78"/>
      <c r="AI13" s="78"/>
      <c r="AJ13" s="78"/>
      <c r="AK13" s="38"/>
      <c r="AL13" s="38"/>
      <c r="AM13" s="38"/>
      <c r="AN13" s="38"/>
      <c r="AO13" s="38"/>
      <c r="AP13" s="38"/>
      <c r="AQ13" s="38"/>
    </row>
    <row r="14" spans="2:43" ht="12.75">
      <c r="B14" s="9" t="s">
        <v>95</v>
      </c>
      <c r="D14" s="9" t="s">
        <v>119</v>
      </c>
      <c r="F14">
        <v>39.5</v>
      </c>
      <c r="G14"/>
      <c r="H14">
        <v>53.17</v>
      </c>
      <c r="I14"/>
      <c r="J14">
        <v>59.36</v>
      </c>
      <c r="K14"/>
      <c r="L14" s="23">
        <f t="shared" si="0"/>
        <v>50.67666666666667</v>
      </c>
      <c r="M14" s="23"/>
      <c r="N14">
        <v>7.71</v>
      </c>
      <c r="O14"/>
      <c r="P14">
        <v>13.84</v>
      </c>
      <c r="Q14"/>
      <c r="R14">
        <v>13.4</v>
      </c>
      <c r="S14"/>
      <c r="T14" s="1">
        <f t="shared" si="2"/>
        <v>11.65</v>
      </c>
      <c r="U14" s="1"/>
      <c r="V14" s="63">
        <f>292-AD14</f>
        <v>1.4399999999999977</v>
      </c>
      <c r="W14" s="63"/>
      <c r="X14" s="63">
        <f>298-AF14</f>
        <v>2.8999999999999773</v>
      </c>
      <c r="Y14" s="63"/>
      <c r="Z14" s="63">
        <f>299-AH14</f>
        <v>3.8999999999999773</v>
      </c>
      <c r="AA14" s="63"/>
      <c r="AB14" s="63">
        <f t="shared" si="1"/>
        <v>2.7466666666666506</v>
      </c>
      <c r="AC14" s="1"/>
      <c r="AD14" s="78">
        <f>0.64*454</f>
        <v>290.56</v>
      </c>
      <c r="AE14" s="78"/>
      <c r="AF14" s="78">
        <f>0.65*454</f>
        <v>295.1</v>
      </c>
      <c r="AG14" s="78"/>
      <c r="AH14" s="78">
        <f>0.65*454</f>
        <v>295.1</v>
      </c>
      <c r="AI14" s="78"/>
      <c r="AJ14" s="78">
        <f>AVERAGE(AD14:AH14)</f>
        <v>293.5866666666667</v>
      </c>
      <c r="AK14" s="38"/>
      <c r="AL14" s="38"/>
      <c r="AM14" s="38"/>
      <c r="AN14" s="38"/>
      <c r="AO14" s="38"/>
      <c r="AP14" s="38"/>
      <c r="AQ14" s="38"/>
    </row>
    <row r="15" spans="2:43" ht="12.75">
      <c r="B15" s="9" t="s">
        <v>96</v>
      </c>
      <c r="D15" s="9" t="s">
        <v>119</v>
      </c>
      <c r="F15">
        <v>192.2</v>
      </c>
      <c r="G15"/>
      <c r="H15">
        <v>226.35</v>
      </c>
      <c r="I15"/>
      <c r="J15">
        <v>246.3</v>
      </c>
      <c r="K15"/>
      <c r="L15" s="23">
        <f t="shared" si="0"/>
        <v>221.61666666666665</v>
      </c>
      <c r="M15" s="23"/>
      <c r="N15">
        <v>45.3</v>
      </c>
      <c r="O15"/>
      <c r="P15">
        <v>33.75</v>
      </c>
      <c r="Q15"/>
      <c r="R15">
        <v>65.24</v>
      </c>
      <c r="S15"/>
      <c r="T15" s="1">
        <f t="shared" si="2"/>
        <v>48.096666666666664</v>
      </c>
      <c r="U15" s="1"/>
      <c r="V15" s="62">
        <v>490</v>
      </c>
      <c r="W15" s="62"/>
      <c r="X15" s="62">
        <v>32</v>
      </c>
      <c r="Y15" s="62"/>
      <c r="Z15" s="62">
        <v>39</v>
      </c>
      <c r="AA15" s="62"/>
      <c r="AB15" s="63">
        <f t="shared" si="1"/>
        <v>187</v>
      </c>
      <c r="AC15" s="1"/>
      <c r="AD15" s="78"/>
      <c r="AE15" s="78"/>
      <c r="AF15" s="78"/>
      <c r="AG15" s="78"/>
      <c r="AH15" s="78"/>
      <c r="AI15" s="78"/>
      <c r="AJ15" s="78"/>
      <c r="AK15" s="38"/>
      <c r="AL15" s="38"/>
      <c r="AM15" s="38"/>
      <c r="AN15" s="38"/>
      <c r="AO15" s="38"/>
      <c r="AP15" s="38"/>
      <c r="AQ15" s="38"/>
    </row>
    <row r="16" spans="2:43" ht="12.75">
      <c r="B16" s="9" t="s">
        <v>97</v>
      </c>
      <c r="D16" s="9" t="s">
        <v>119</v>
      </c>
      <c r="F16">
        <v>7.53</v>
      </c>
      <c r="G16"/>
      <c r="H16">
        <v>7.67</v>
      </c>
      <c r="I16"/>
      <c r="J16">
        <v>8.65</v>
      </c>
      <c r="K16"/>
      <c r="L16" s="23">
        <f t="shared" si="0"/>
        <v>7.95</v>
      </c>
      <c r="M16" s="23"/>
      <c r="N16">
        <v>0.83</v>
      </c>
      <c r="O16"/>
      <c r="P16">
        <v>0.95</v>
      </c>
      <c r="Q16"/>
      <c r="R16">
        <v>0.81</v>
      </c>
      <c r="S16"/>
      <c r="T16" s="1">
        <f t="shared" si="2"/>
        <v>0.8633333333333333</v>
      </c>
      <c r="U16" s="1"/>
      <c r="V16" s="63">
        <f>64-AD16</f>
        <v>0.4399999999999906</v>
      </c>
      <c r="W16" s="63"/>
      <c r="X16" s="63">
        <f>64-AF16</f>
        <v>0.4399999999999906</v>
      </c>
      <c r="Y16" s="63"/>
      <c r="Z16" s="63">
        <f>64-AH16</f>
        <v>0.4399999999999906</v>
      </c>
      <c r="AA16" s="63"/>
      <c r="AB16" s="63">
        <f t="shared" si="1"/>
        <v>0.4399999999999906</v>
      </c>
      <c r="AC16" s="1"/>
      <c r="AD16" s="78">
        <f>0.14*454</f>
        <v>63.56000000000001</v>
      </c>
      <c r="AE16" s="78"/>
      <c r="AF16" s="78">
        <f>0.14*454</f>
        <v>63.56000000000001</v>
      </c>
      <c r="AG16" s="78"/>
      <c r="AH16" s="78">
        <f>0.14*454</f>
        <v>63.56000000000001</v>
      </c>
      <c r="AI16" s="78"/>
      <c r="AJ16" s="78">
        <f>AVERAGE(AD16:AH16)</f>
        <v>63.56000000000001</v>
      </c>
      <c r="AK16" s="38"/>
      <c r="AL16" s="38"/>
      <c r="AM16" s="38"/>
      <c r="AN16" s="38"/>
      <c r="AO16" s="38"/>
      <c r="AP16" s="38"/>
      <c r="AQ16" s="38"/>
    </row>
    <row r="17" spans="2:43" ht="12.75">
      <c r="B17" s="9" t="s">
        <v>102</v>
      </c>
      <c r="D17" s="9" t="s">
        <v>119</v>
      </c>
      <c r="F17">
        <v>0</v>
      </c>
      <c r="G17"/>
      <c r="H17">
        <v>0</v>
      </c>
      <c r="I17"/>
      <c r="J17">
        <v>0</v>
      </c>
      <c r="K17"/>
      <c r="L17" s="23">
        <f t="shared" si="0"/>
        <v>0</v>
      </c>
      <c r="M17" s="23"/>
      <c r="N17">
        <v>0</v>
      </c>
      <c r="O17"/>
      <c r="P17">
        <v>0</v>
      </c>
      <c r="Q17"/>
      <c r="R17">
        <v>0</v>
      </c>
      <c r="S17"/>
      <c r="T17" s="1">
        <f t="shared" si="2"/>
        <v>0</v>
      </c>
      <c r="U17" s="1"/>
      <c r="V17" s="63">
        <f>967-AD17</f>
        <v>4.519999999999982</v>
      </c>
      <c r="W17" s="63"/>
      <c r="X17" s="63">
        <f>981-AF17</f>
        <v>0.35999999999989996</v>
      </c>
      <c r="Y17" s="63"/>
      <c r="Z17" s="63">
        <f>981-AH17</f>
        <v>0.35999999999989996</v>
      </c>
      <c r="AA17" s="63"/>
      <c r="AB17" s="63">
        <f t="shared" si="1"/>
        <v>1.746666666666594</v>
      </c>
      <c r="AC17" s="1"/>
      <c r="AD17" s="78">
        <f>2.12*454</f>
        <v>962.48</v>
      </c>
      <c r="AE17" s="78"/>
      <c r="AF17" s="78">
        <f>2.16*454</f>
        <v>980.6400000000001</v>
      </c>
      <c r="AG17" s="78"/>
      <c r="AH17" s="78">
        <f>2.16*454</f>
        <v>980.6400000000001</v>
      </c>
      <c r="AI17" s="78"/>
      <c r="AJ17" s="78">
        <f>AVERAGE(AD17:AH17)</f>
        <v>974.5866666666667</v>
      </c>
      <c r="AK17" s="38"/>
      <c r="AL17" s="38"/>
      <c r="AM17" s="38"/>
      <c r="AN17" s="38"/>
      <c r="AO17" s="38"/>
      <c r="AP17" s="38"/>
      <c r="AQ17" s="38"/>
    </row>
    <row r="18" spans="2:43" ht="12.75">
      <c r="B18" s="9" t="s">
        <v>104</v>
      </c>
      <c r="D18" s="9" t="s">
        <v>119</v>
      </c>
      <c r="F18">
        <v>180.4</v>
      </c>
      <c r="G18"/>
      <c r="H18">
        <v>345.92</v>
      </c>
      <c r="I18"/>
      <c r="J18">
        <v>309.87</v>
      </c>
      <c r="K18"/>
      <c r="L18" s="23">
        <f t="shared" si="0"/>
        <v>278.73</v>
      </c>
      <c r="M18" s="23"/>
      <c r="N18">
        <v>2.58</v>
      </c>
      <c r="O18"/>
      <c r="P18">
        <v>7.51</v>
      </c>
      <c r="Q18"/>
      <c r="R18">
        <v>6.64</v>
      </c>
      <c r="S18"/>
      <c r="T18" s="1">
        <f t="shared" si="2"/>
        <v>5.576666666666667</v>
      </c>
      <c r="U18" s="1"/>
      <c r="V18" s="63">
        <f>3035-AD18</f>
        <v>70.38000000000011</v>
      </c>
      <c r="W18" s="63"/>
      <c r="X18" s="63">
        <f>2993-AF18</f>
        <v>1.1399999999998727</v>
      </c>
      <c r="Y18" s="63"/>
      <c r="Z18" s="63">
        <f>2990-AH18</f>
        <v>2.6799999999998363</v>
      </c>
      <c r="AA18" s="63"/>
      <c r="AB18" s="63">
        <f>AVERAGE(V18:Z18)</f>
        <v>24.733333333333274</v>
      </c>
      <c r="AC18" s="1"/>
      <c r="AD18" s="78">
        <f>6.53*454</f>
        <v>2964.62</v>
      </c>
      <c r="AE18" s="78"/>
      <c r="AF18" s="78">
        <f>6.59*454</f>
        <v>2991.86</v>
      </c>
      <c r="AG18" s="78"/>
      <c r="AH18" s="78">
        <f>6.58*454</f>
        <v>2987.32</v>
      </c>
      <c r="AI18" s="78"/>
      <c r="AJ18" s="78">
        <f>AVERAGE(AD18:AH18)</f>
        <v>2981.2666666666664</v>
      </c>
      <c r="AK18" s="38"/>
      <c r="AL18" s="38"/>
      <c r="AM18" s="38"/>
      <c r="AN18" s="38"/>
      <c r="AO18" s="38"/>
      <c r="AP18" s="38"/>
      <c r="AQ18" s="38"/>
    </row>
    <row r="19" spans="2:43" ht="12.75">
      <c r="B19" s="9" t="s">
        <v>100</v>
      </c>
      <c r="D19" s="9" t="s">
        <v>119</v>
      </c>
      <c r="F19">
        <v>128.1</v>
      </c>
      <c r="G19"/>
      <c r="H19">
        <v>157.67</v>
      </c>
      <c r="I19"/>
      <c r="J19">
        <v>160.3</v>
      </c>
      <c r="K19"/>
      <c r="L19" s="23">
        <f t="shared" si="0"/>
        <v>148.69</v>
      </c>
      <c r="M19" s="23"/>
      <c r="N19">
        <v>6.3</v>
      </c>
      <c r="O19"/>
      <c r="P19">
        <v>6.58</v>
      </c>
      <c r="Q19"/>
      <c r="R19">
        <v>7.14</v>
      </c>
      <c r="S19"/>
      <c r="T19" s="1">
        <f t="shared" si="2"/>
        <v>6.673333333333333</v>
      </c>
      <c r="U19" s="1"/>
      <c r="V19" s="63">
        <f>5708-AD19</f>
        <v>137.42000000000007</v>
      </c>
      <c r="W19" s="63"/>
      <c r="X19" s="63">
        <f>5871-AF19</f>
        <v>5.319999999999709</v>
      </c>
      <c r="Y19" s="63"/>
      <c r="Z19" s="63">
        <f>5872-AH19</f>
        <v>6.319999999999709</v>
      </c>
      <c r="AA19" s="63"/>
      <c r="AB19" s="63">
        <f t="shared" si="1"/>
        <v>49.6866666666665</v>
      </c>
      <c r="AC19" s="1"/>
      <c r="AD19" s="78">
        <f>12.27*454</f>
        <v>5570.58</v>
      </c>
      <c r="AE19" s="78"/>
      <c r="AF19" s="78">
        <f>12.92*454</f>
        <v>5865.68</v>
      </c>
      <c r="AG19" s="78"/>
      <c r="AH19" s="78">
        <f>12.92*454</f>
        <v>5865.68</v>
      </c>
      <c r="AI19" s="78"/>
      <c r="AJ19" s="78">
        <f>AVERAGE(AD19:AH19)</f>
        <v>5767.313333333334</v>
      </c>
      <c r="AK19" s="38"/>
      <c r="AL19" s="38"/>
      <c r="AM19" s="38"/>
      <c r="AN19" s="38"/>
      <c r="AO19" s="38"/>
      <c r="AP19" s="38"/>
      <c r="AQ19" s="38"/>
    </row>
    <row r="20" spans="2:43" ht="12.75">
      <c r="B20" s="9" t="s">
        <v>107</v>
      </c>
      <c r="D20" s="9" t="s">
        <v>119</v>
      </c>
      <c r="F20">
        <v>0.9</v>
      </c>
      <c r="G20"/>
      <c r="H20">
        <v>0.68</v>
      </c>
      <c r="I20"/>
      <c r="J20">
        <v>0.93</v>
      </c>
      <c r="K20"/>
      <c r="L20" s="23">
        <f t="shared" si="0"/>
        <v>0.8366666666666668</v>
      </c>
      <c r="M20" s="23"/>
      <c r="N20">
        <v>0.11</v>
      </c>
      <c r="O20"/>
      <c r="P20">
        <v>0.11</v>
      </c>
      <c r="Q20"/>
      <c r="R20">
        <v>0.11</v>
      </c>
      <c r="S20"/>
      <c r="T20" s="1">
        <f t="shared" si="2"/>
        <v>0.11</v>
      </c>
      <c r="U20" s="1"/>
      <c r="V20" s="63">
        <f>0.05*V9/1000000</f>
        <v>0.135</v>
      </c>
      <c r="W20" s="63"/>
      <c r="X20" s="63">
        <f>0.045*X9/1000000</f>
        <v>0.0999</v>
      </c>
      <c r="Y20" s="63"/>
      <c r="Z20" s="63">
        <f>0.04*Z9/1000000</f>
        <v>0.0884</v>
      </c>
      <c r="AA20" s="63"/>
      <c r="AB20" s="63">
        <f t="shared" si="1"/>
        <v>0.10776666666666668</v>
      </c>
      <c r="AC20" s="1"/>
      <c r="AD20" s="78">
        <v>14.1</v>
      </c>
      <c r="AE20" s="78"/>
      <c r="AF20" s="78">
        <v>14.1</v>
      </c>
      <c r="AG20" s="78"/>
      <c r="AH20" s="78">
        <v>14.1</v>
      </c>
      <c r="AI20" s="78"/>
      <c r="AJ20" s="78">
        <f>AVERAGE(AD20:AH20)</f>
        <v>14.1</v>
      </c>
      <c r="AK20" s="38"/>
      <c r="AL20" s="38"/>
      <c r="AM20" s="38"/>
      <c r="AN20" s="38"/>
      <c r="AO20" s="38"/>
      <c r="AP20" s="38"/>
      <c r="AQ20" s="38"/>
    </row>
    <row r="21" spans="2:43" ht="12.75">
      <c r="B21" s="9" t="s">
        <v>103</v>
      </c>
      <c r="D21" s="9" t="s">
        <v>119</v>
      </c>
      <c r="F21">
        <v>22.6</v>
      </c>
      <c r="G21"/>
      <c r="H21">
        <v>22.82</v>
      </c>
      <c r="I21"/>
      <c r="J21">
        <v>23.37</v>
      </c>
      <c r="K21"/>
      <c r="L21" s="23">
        <f t="shared" si="0"/>
        <v>22.930000000000003</v>
      </c>
      <c r="M21" s="23"/>
      <c r="N21">
        <v>0.28</v>
      </c>
      <c r="O21"/>
      <c r="P21">
        <v>0.28</v>
      </c>
      <c r="Q21"/>
      <c r="R21">
        <v>0.28</v>
      </c>
      <c r="S21"/>
      <c r="T21" s="1">
        <f t="shared" si="2"/>
        <v>0.28</v>
      </c>
      <c r="U21" s="1"/>
      <c r="V21" s="62">
        <v>7</v>
      </c>
      <c r="W21" s="62"/>
      <c r="X21" s="62">
        <v>2</v>
      </c>
      <c r="Y21" s="62"/>
      <c r="Z21" s="62">
        <v>2</v>
      </c>
      <c r="AA21" s="62"/>
      <c r="AB21" s="63">
        <f t="shared" si="1"/>
        <v>3.6666666666666665</v>
      </c>
      <c r="AC21" s="1"/>
      <c r="AD21"/>
      <c r="AE21"/>
      <c r="AF21"/>
      <c r="AG21"/>
      <c r="AH21"/>
      <c r="AI21"/>
      <c r="AJ21"/>
      <c r="AK21" s="38"/>
      <c r="AL21" s="38"/>
      <c r="AM21" s="38"/>
      <c r="AN21" s="38"/>
      <c r="AO21" s="38"/>
      <c r="AP21" s="38"/>
      <c r="AQ21" s="38"/>
    </row>
    <row r="22" spans="2:43" ht="12.75">
      <c r="B22" s="9" t="s">
        <v>98</v>
      </c>
      <c r="D22" s="9" t="s">
        <v>119</v>
      </c>
      <c r="F22">
        <v>22.6</v>
      </c>
      <c r="G22"/>
      <c r="H22">
        <v>22.82</v>
      </c>
      <c r="I22"/>
      <c r="J22">
        <v>23.37</v>
      </c>
      <c r="K22"/>
      <c r="L22" s="23">
        <f t="shared" si="0"/>
        <v>22.930000000000003</v>
      </c>
      <c r="M22" s="23"/>
      <c r="N22">
        <v>0.42</v>
      </c>
      <c r="O22"/>
      <c r="P22">
        <v>0.3</v>
      </c>
      <c r="Q22"/>
      <c r="R22">
        <v>0.28</v>
      </c>
      <c r="S22"/>
      <c r="T22" s="1">
        <f t="shared" si="2"/>
        <v>0.3333333333333333</v>
      </c>
      <c r="U22" s="1"/>
      <c r="V22" s="62">
        <v>3</v>
      </c>
      <c r="W22" s="62"/>
      <c r="X22" s="62">
        <v>2</v>
      </c>
      <c r="Y22" s="62"/>
      <c r="Z22" s="62">
        <v>2</v>
      </c>
      <c r="AA22" s="62"/>
      <c r="AB22" s="63">
        <f t="shared" si="1"/>
        <v>2.3333333333333335</v>
      </c>
      <c r="AC22" s="1"/>
      <c r="AD22"/>
      <c r="AE22"/>
      <c r="AF22"/>
      <c r="AG22"/>
      <c r="AH22"/>
      <c r="AI22"/>
      <c r="AJ22" s="44"/>
      <c r="AK22" s="38"/>
      <c r="AL22" s="38"/>
      <c r="AM22" s="38"/>
      <c r="AN22" s="38"/>
      <c r="AO22" s="38"/>
      <c r="AP22" s="38"/>
      <c r="AQ22" s="38"/>
    </row>
    <row r="23" spans="2:43" ht="12.75">
      <c r="B23" s="9" t="s">
        <v>101</v>
      </c>
      <c r="D23" s="9" t="s">
        <v>119</v>
      </c>
      <c r="F23">
        <v>336.1</v>
      </c>
      <c r="G23"/>
      <c r="H23">
        <v>538.73</v>
      </c>
      <c r="I23"/>
      <c r="J23">
        <v>383.71</v>
      </c>
      <c r="K23"/>
      <c r="L23" s="23">
        <f t="shared" si="0"/>
        <v>419.5133333333333</v>
      </c>
      <c r="M23" s="23"/>
      <c r="N23">
        <v>9</v>
      </c>
      <c r="O23"/>
      <c r="P23">
        <v>10.3</v>
      </c>
      <c r="Q23"/>
      <c r="R23">
        <v>9.96</v>
      </c>
      <c r="S23"/>
      <c r="T23" s="1">
        <f t="shared" si="2"/>
        <v>9.753333333333334</v>
      </c>
      <c r="U23" s="1"/>
      <c r="V23" s="62">
        <v>91</v>
      </c>
      <c r="W23" s="62"/>
      <c r="X23" s="62">
        <v>1</v>
      </c>
      <c r="Y23" s="62"/>
      <c r="Z23" s="62">
        <v>1.1</v>
      </c>
      <c r="AA23" s="62"/>
      <c r="AB23" s="63">
        <f t="shared" si="1"/>
        <v>31.03333333333333</v>
      </c>
      <c r="AC23" s="1"/>
      <c r="AD23"/>
      <c r="AE23"/>
      <c r="AF23"/>
      <c r="AG23"/>
      <c r="AH23"/>
      <c r="AI23"/>
      <c r="AJ23"/>
      <c r="AK23" s="38"/>
      <c r="AL23" s="38"/>
      <c r="AM23" s="38"/>
      <c r="AN23" s="38"/>
      <c r="AO23" s="38"/>
      <c r="AP23" s="38"/>
      <c r="AQ23" s="38"/>
    </row>
    <row r="24" spans="2:43" ht="12.75">
      <c r="B24" s="9" t="s">
        <v>135</v>
      </c>
      <c r="D24" s="9" t="s">
        <v>119</v>
      </c>
      <c r="F24">
        <v>22.6</v>
      </c>
      <c r="G24"/>
      <c r="H24">
        <v>22.82</v>
      </c>
      <c r="I24"/>
      <c r="J24">
        <v>23.37</v>
      </c>
      <c r="K24"/>
      <c r="L24" s="23">
        <f t="shared" si="0"/>
        <v>22.930000000000003</v>
      </c>
      <c r="M24" s="23"/>
      <c r="N24">
        <v>1.88</v>
      </c>
      <c r="O24"/>
      <c r="P24">
        <v>3.11</v>
      </c>
      <c r="Q24"/>
      <c r="R24">
        <v>2.95</v>
      </c>
      <c r="S24"/>
      <c r="T24" s="1">
        <f t="shared" si="2"/>
        <v>2.646666666666667</v>
      </c>
      <c r="U24" s="1"/>
      <c r="V24" s="62">
        <v>4</v>
      </c>
      <c r="W24" s="62"/>
      <c r="X24" s="62">
        <v>2</v>
      </c>
      <c r="Y24" s="62"/>
      <c r="Z24" s="62">
        <v>2.2</v>
      </c>
      <c r="AA24" s="62"/>
      <c r="AB24" s="63">
        <f t="shared" si="1"/>
        <v>2.733333333333333</v>
      </c>
      <c r="AC24" s="1"/>
      <c r="AD24"/>
      <c r="AE24"/>
      <c r="AF24"/>
      <c r="AG24"/>
      <c r="AH24"/>
      <c r="AI24"/>
      <c r="AJ24"/>
      <c r="AK24" s="38"/>
      <c r="AL24" s="38"/>
      <c r="AM24" s="38"/>
      <c r="AN24" s="38"/>
      <c r="AO24" s="38"/>
      <c r="AP24" s="38"/>
      <c r="AQ24" s="38"/>
    </row>
    <row r="26" spans="2:44" ht="12.75">
      <c r="B26" s="16" t="s">
        <v>67</v>
      </c>
      <c r="D26" s="9" t="s">
        <v>15</v>
      </c>
      <c r="F26" s="78">
        <f>'emiss 1'!$G$35</f>
        <v>48519</v>
      </c>
      <c r="G26" s="78"/>
      <c r="H26" s="78">
        <f>'emiss 1'!$I$35</f>
        <v>48203</v>
      </c>
      <c r="I26" s="78"/>
      <c r="J26" s="78">
        <f>'emiss 1'!$K$35</f>
        <v>48243</v>
      </c>
      <c r="K26" s="78"/>
      <c r="L26" s="78">
        <f>'emiss 1'!$M$35</f>
        <v>48321.666666666664</v>
      </c>
      <c r="M26" s="78"/>
      <c r="N26" s="78">
        <f>'emiss 1'!$G$35</f>
        <v>48519</v>
      </c>
      <c r="O26" s="78"/>
      <c r="P26" s="78">
        <f>'emiss 1'!$I$35</f>
        <v>48203</v>
      </c>
      <c r="Q26" s="78"/>
      <c r="R26" s="78">
        <f>'emiss 1'!$K$35</f>
        <v>48243</v>
      </c>
      <c r="S26" s="78"/>
      <c r="T26" s="78">
        <f>'emiss 1'!$M$35</f>
        <v>48321.666666666664</v>
      </c>
      <c r="U26" s="78"/>
      <c r="V26" s="78">
        <f>'emiss 1'!$G$35</f>
        <v>48519</v>
      </c>
      <c r="W26" s="78"/>
      <c r="X26" s="78">
        <f>'emiss 1'!$I$35</f>
        <v>48203</v>
      </c>
      <c r="Y26" s="78"/>
      <c r="Z26" s="78">
        <f>'emiss 1'!$K$35</f>
        <v>48243</v>
      </c>
      <c r="AA26" s="78"/>
      <c r="AB26" s="78">
        <f>'emiss 1'!$M$35</f>
        <v>48321.666666666664</v>
      </c>
      <c r="AC26" s="78"/>
      <c r="AD26" s="78">
        <f>'emiss 1'!$G$35</f>
        <v>48519</v>
      </c>
      <c r="AE26" s="78"/>
      <c r="AF26" s="78">
        <f>'emiss 1'!$I$35</f>
        <v>48203</v>
      </c>
      <c r="AG26" s="78"/>
      <c r="AH26" s="78">
        <f>'emiss 1'!$K$35</f>
        <v>48243</v>
      </c>
      <c r="AI26" s="78"/>
      <c r="AJ26" s="78">
        <f>'emiss 1'!$M$35</f>
        <v>48321.666666666664</v>
      </c>
      <c r="AK26"/>
      <c r="AL26"/>
      <c r="AM26"/>
      <c r="AN26"/>
      <c r="AO26"/>
      <c r="AP26"/>
      <c r="AQ26"/>
      <c r="AR26"/>
    </row>
    <row r="27" spans="2:44" ht="12.75">
      <c r="B27" s="16" t="s">
        <v>60</v>
      </c>
      <c r="D27" s="9" t="s">
        <v>13</v>
      </c>
      <c r="F27" s="1">
        <f>'emiss 1'!$G$36</f>
        <v>12.1</v>
      </c>
      <c r="G27" s="1"/>
      <c r="H27">
        <f>'emiss 1'!$I$36</f>
        <v>12.1</v>
      </c>
      <c r="I27"/>
      <c r="J27">
        <f>'emiss 1'!$K$36</f>
        <v>11.8</v>
      </c>
      <c r="K27"/>
      <c r="L27" s="1">
        <f>'emiss 1'!$M$36</f>
        <v>12</v>
      </c>
      <c r="M27" s="1"/>
      <c r="N27" s="1">
        <f>'emiss 1'!$G$36</f>
        <v>12.1</v>
      </c>
      <c r="O27" s="1"/>
      <c r="P27">
        <f>'emiss 1'!$I$36</f>
        <v>12.1</v>
      </c>
      <c r="Q27"/>
      <c r="R27">
        <f>'emiss 1'!$K$36</f>
        <v>11.8</v>
      </c>
      <c r="S27"/>
      <c r="T27" s="1">
        <f>'emiss 1'!$M$36</f>
        <v>12</v>
      </c>
      <c r="U27" s="1"/>
      <c r="V27" s="1">
        <f>'emiss 1'!$G$36</f>
        <v>12.1</v>
      </c>
      <c r="W27" s="1"/>
      <c r="X27">
        <f>'emiss 1'!$I$36</f>
        <v>12.1</v>
      </c>
      <c r="Y27"/>
      <c r="Z27">
        <f>'emiss 1'!$K$36</f>
        <v>11.8</v>
      </c>
      <c r="AA27"/>
      <c r="AB27" s="1">
        <f>'emiss 1'!$M$36</f>
        <v>12</v>
      </c>
      <c r="AC27" s="1"/>
      <c r="AD27" s="1">
        <f>'emiss 1'!$G$36</f>
        <v>12.1</v>
      </c>
      <c r="AE27" s="1"/>
      <c r="AF27">
        <f>'emiss 1'!$I$36</f>
        <v>12.1</v>
      </c>
      <c r="AG27"/>
      <c r="AH27">
        <f>'emiss 1'!$K$36</f>
        <v>11.8</v>
      </c>
      <c r="AI27"/>
      <c r="AJ27" s="1">
        <f>'emiss 1'!$M$36</f>
        <v>12</v>
      </c>
      <c r="AK27"/>
      <c r="AL27"/>
      <c r="AM27"/>
      <c r="AN27"/>
      <c r="AO27"/>
      <c r="AP27"/>
      <c r="AQ27"/>
      <c r="AR27"/>
    </row>
    <row r="28" ht="12.75">
      <c r="AR28" s="14"/>
    </row>
    <row r="29" spans="2:44" ht="12.75">
      <c r="B29" s="41" t="s">
        <v>85</v>
      </c>
      <c r="C29" s="41"/>
      <c r="AR29" s="14"/>
    </row>
    <row r="30" spans="2:44" ht="12.75">
      <c r="B30" s="9" t="s">
        <v>20</v>
      </c>
      <c r="D30" s="9" t="s">
        <v>65</v>
      </c>
      <c r="F30" s="80">
        <f aca="true" t="shared" si="3" ref="F30:J42">F12*1000000/F$26/60/0.0283*(21-7)/(21-F$27)</f>
        <v>12401.312667530594</v>
      </c>
      <c r="G30" s="80"/>
      <c r="H30" s="80">
        <f t="shared" si="3"/>
        <v>10831.71587017392</v>
      </c>
      <c r="I30" s="80"/>
      <c r="J30" s="80">
        <f t="shared" si="3"/>
        <v>10505.115339128515</v>
      </c>
      <c r="K30" s="80"/>
      <c r="L30" s="80">
        <f aca="true" t="shared" si="4" ref="L30:AJ30">L12*1000000/L$26/60/0.0283*(21-7)/(21-L$27)</f>
        <v>11239.913485112433</v>
      </c>
      <c r="M30" s="80"/>
      <c r="N30" s="80">
        <f t="shared" si="4"/>
        <v>13961.262236333134</v>
      </c>
      <c r="O30" s="80"/>
      <c r="P30" s="80">
        <f t="shared" si="4"/>
        <v>14592.835096208408</v>
      </c>
      <c r="Q30" s="80"/>
      <c r="R30" s="80">
        <f t="shared" si="4"/>
        <v>14627.839030044152</v>
      </c>
      <c r="S30" s="80"/>
      <c r="T30" s="80">
        <f t="shared" si="4"/>
        <v>14395.443677691532</v>
      </c>
      <c r="U30" s="80"/>
      <c r="V30" s="80">
        <f t="shared" si="4"/>
        <v>594670.3417671035</v>
      </c>
      <c r="W30" s="80"/>
      <c r="X30" s="80">
        <f t="shared" si="4"/>
        <v>116037.35079728364</v>
      </c>
      <c r="Y30" s="80"/>
      <c r="Z30" s="80">
        <f t="shared" si="4"/>
        <v>115874.30157675479</v>
      </c>
      <c r="AA30" s="80"/>
      <c r="AB30" s="80">
        <f t="shared" si="4"/>
        <v>274395.6992574821</v>
      </c>
      <c r="AC30" s="80"/>
      <c r="AD30" s="80">
        <f t="shared" si="4"/>
        <v>535367.0545610425</v>
      </c>
      <c r="AE30" s="80"/>
      <c r="AF30" s="80">
        <f t="shared" si="4"/>
        <v>745579.9059302487</v>
      </c>
      <c r="AG30" s="80"/>
      <c r="AH30" s="80">
        <f t="shared" si="4"/>
        <v>720838.1652485105</v>
      </c>
      <c r="AI30" s="80"/>
      <c r="AJ30" s="80">
        <f t="shared" si="4"/>
        <v>667574.2683296108</v>
      </c>
      <c r="AK30" s="80"/>
      <c r="AL30" s="81">
        <f aca="true" t="shared" si="5" ref="AL30:AL42">AD30+V30+N30+F30</f>
        <v>1156399.9712320098</v>
      </c>
      <c r="AM30" s="81"/>
      <c r="AN30" s="81">
        <f aca="true" t="shared" si="6" ref="AN30:AN42">AF30+X30+P30+H30</f>
        <v>887041.8076939145</v>
      </c>
      <c r="AO30" s="81"/>
      <c r="AP30" s="81">
        <f aca="true" t="shared" si="7" ref="AP30:AP42">AH30+Z30+R30+J30</f>
        <v>861845.421194438</v>
      </c>
      <c r="AQ30" s="81"/>
      <c r="AR30" s="81">
        <f>AJ30+AB30+T30+L30</f>
        <v>967605.3247498969</v>
      </c>
    </row>
    <row r="31" spans="2:44" ht="12.75">
      <c r="B31" s="9" t="s">
        <v>99</v>
      </c>
      <c r="D31" s="9" t="s">
        <v>65</v>
      </c>
      <c r="F31" s="80">
        <f t="shared" si="3"/>
        <v>431.51603739213454</v>
      </c>
      <c r="G31" s="80"/>
      <c r="H31" s="80">
        <f t="shared" si="3"/>
        <v>492.00128863813416</v>
      </c>
      <c r="I31" s="80"/>
      <c r="J31" s="80">
        <f t="shared" si="3"/>
        <v>495.9974881604445</v>
      </c>
      <c r="K31" s="80"/>
      <c r="L31" s="80">
        <f aca="true" t="shared" si="8" ref="L31:R42">L13*1000000/L$26/60/0.0283*(21-7)/(21-L$27)</f>
        <v>473.33268865114195</v>
      </c>
      <c r="M31" s="80"/>
      <c r="N31" s="80">
        <f t="shared" si="8"/>
        <v>11.265241684130949</v>
      </c>
      <c r="O31" s="80"/>
      <c r="P31" s="80">
        <f t="shared" si="8"/>
        <v>28.828200506140668</v>
      </c>
      <c r="Q31" s="80"/>
      <c r="R31" s="80">
        <f t="shared" si="8"/>
        <v>26.007358929761136</v>
      </c>
      <c r="S31" s="80"/>
      <c r="T31" s="80">
        <f aca="true" t="shared" si="9" ref="T31:Z42">T13*1000000/T$26/60/0.0283*(21-7)/(21-T$27)</f>
        <v>22.05515465143505</v>
      </c>
      <c r="U31" s="80"/>
      <c r="V31" s="80">
        <f t="shared" si="9"/>
        <v>1088.3369084668884</v>
      </c>
      <c r="W31" s="80"/>
      <c r="X31" s="80">
        <f t="shared" si="9"/>
        <v>19.218800337427115</v>
      </c>
      <c r="Y31" s="80"/>
      <c r="Z31" s="80">
        <f t="shared" si="9"/>
        <v>18.57668494982938</v>
      </c>
      <c r="AA31" s="80"/>
      <c r="AB31" s="80">
        <f aca="true" t="shared" si="10" ref="AB31:AH42">AB13*1000000/AB$26/60/0.0283*(21-7)/(21-AB$27)</f>
        <v>372.8521846517673</v>
      </c>
      <c r="AC31" s="80"/>
      <c r="AD31" s="80">
        <f t="shared" si="10"/>
        <v>0</v>
      </c>
      <c r="AE31" s="80"/>
      <c r="AF31" s="80">
        <f t="shared" si="10"/>
        <v>0</v>
      </c>
      <c r="AG31" s="80"/>
      <c r="AH31" s="80">
        <f t="shared" si="10"/>
        <v>0</v>
      </c>
      <c r="AI31" s="80"/>
      <c r="AJ31" s="80">
        <f aca="true" t="shared" si="11" ref="AJ31:AJ42">AJ13*1000000/AJ$26/60/0.0283*(21-7)/(21-AJ$27)</f>
        <v>0</v>
      </c>
      <c r="AK31" s="80"/>
      <c r="AL31" s="81">
        <f t="shared" si="5"/>
        <v>1531.118187543154</v>
      </c>
      <c r="AM31" s="81"/>
      <c r="AN31" s="81">
        <f t="shared" si="6"/>
        <v>540.0482894817019</v>
      </c>
      <c r="AO31" s="81"/>
      <c r="AP31" s="81">
        <f t="shared" si="7"/>
        <v>540.581532040035</v>
      </c>
      <c r="AQ31" s="81"/>
      <c r="AR31" s="81">
        <f aca="true" t="shared" si="12" ref="AR31:AR42">AJ31+AB31+T31+L31</f>
        <v>868.2400279543442</v>
      </c>
    </row>
    <row r="32" spans="2:44" ht="12.75">
      <c r="B32" s="9" t="s">
        <v>95</v>
      </c>
      <c r="D32" s="9" t="s">
        <v>65</v>
      </c>
      <c r="F32" s="80">
        <f t="shared" si="3"/>
        <v>754.1983839375805</v>
      </c>
      <c r="G32" s="80"/>
      <c r="H32" s="80">
        <f t="shared" si="3"/>
        <v>1021.8636139409996</v>
      </c>
      <c r="I32" s="80"/>
      <c r="J32" s="80">
        <f t="shared" si="3"/>
        <v>1102.712018621872</v>
      </c>
      <c r="K32" s="80"/>
      <c r="L32" s="80">
        <f t="shared" si="8"/>
        <v>960.7579259764102</v>
      </c>
      <c r="M32" s="80"/>
      <c r="N32" s="80">
        <f t="shared" si="8"/>
        <v>147.21188709262645</v>
      </c>
      <c r="O32" s="80"/>
      <c r="P32" s="80">
        <f t="shared" si="8"/>
        <v>265.9881966699912</v>
      </c>
      <c r="Q32" s="80"/>
      <c r="R32" s="80">
        <f t="shared" si="8"/>
        <v>248.92757832771377</v>
      </c>
      <c r="S32" s="80"/>
      <c r="T32" s="80">
        <f t="shared" si="9"/>
        <v>220.86752294202148</v>
      </c>
      <c r="U32" s="80"/>
      <c r="V32" s="80">
        <f t="shared" si="9"/>
        <v>27.494827161268706</v>
      </c>
      <c r="W32" s="80"/>
      <c r="X32" s="80">
        <f t="shared" si="9"/>
        <v>55.734520978538185</v>
      </c>
      <c r="Y32" s="80"/>
      <c r="Z32" s="80">
        <f t="shared" si="9"/>
        <v>72.44907130433417</v>
      </c>
      <c r="AA32" s="80"/>
      <c r="AB32" s="80">
        <f t="shared" si="10"/>
        <v>52.07291528017873</v>
      </c>
      <c r="AC32" s="80"/>
      <c r="AD32" s="80">
        <f t="shared" si="10"/>
        <v>5547.845124984896</v>
      </c>
      <c r="AE32" s="80"/>
      <c r="AF32" s="80">
        <f t="shared" si="10"/>
        <v>5671.467979574741</v>
      </c>
      <c r="AG32" s="80"/>
      <c r="AH32" s="80">
        <f t="shared" si="10"/>
        <v>5481.97972869465</v>
      </c>
      <c r="AI32" s="80"/>
      <c r="AJ32" s="80">
        <f t="shared" si="11"/>
        <v>5565.987968710011</v>
      </c>
      <c r="AK32" s="80"/>
      <c r="AL32" s="81">
        <f t="shared" si="5"/>
        <v>6476.750223176371</v>
      </c>
      <c r="AM32" s="81"/>
      <c r="AN32" s="81">
        <f t="shared" si="6"/>
        <v>7015.054311164269</v>
      </c>
      <c r="AO32" s="81"/>
      <c r="AP32" s="81">
        <f t="shared" si="7"/>
        <v>6906.068396948569</v>
      </c>
      <c r="AQ32" s="81"/>
      <c r="AR32" s="81">
        <f t="shared" si="12"/>
        <v>6799.686332908621</v>
      </c>
    </row>
    <row r="33" spans="2:44" ht="12.75">
      <c r="B33" s="9" t="s">
        <v>96</v>
      </c>
      <c r="D33" s="9" t="s">
        <v>65</v>
      </c>
      <c r="F33" s="80">
        <f t="shared" si="3"/>
        <v>3669.795680830455</v>
      </c>
      <c r="G33" s="80"/>
      <c r="H33" s="80">
        <f t="shared" si="3"/>
        <v>4350.175456376627</v>
      </c>
      <c r="I33" s="80"/>
      <c r="J33" s="80">
        <f t="shared" si="3"/>
        <v>4575.437503142977</v>
      </c>
      <c r="K33" s="80"/>
      <c r="L33" s="80">
        <f t="shared" si="8"/>
        <v>4201.538558741145</v>
      </c>
      <c r="M33" s="80"/>
      <c r="N33" s="80">
        <f t="shared" si="8"/>
        <v>864.9414377815796</v>
      </c>
      <c r="O33" s="80"/>
      <c r="P33" s="80">
        <f t="shared" si="8"/>
        <v>648.634511388165</v>
      </c>
      <c r="Q33" s="80"/>
      <c r="R33" s="80">
        <f t="shared" si="8"/>
        <v>1211.9429261268685</v>
      </c>
      <c r="S33" s="80"/>
      <c r="T33" s="80">
        <f t="shared" si="9"/>
        <v>911.8447749729409</v>
      </c>
      <c r="U33" s="80"/>
      <c r="V33" s="80">
        <f t="shared" si="9"/>
        <v>9355.878686820617</v>
      </c>
      <c r="W33" s="80"/>
      <c r="X33" s="80">
        <f t="shared" si="9"/>
        <v>615.0016107976677</v>
      </c>
      <c r="Y33" s="80"/>
      <c r="Z33" s="80">
        <f t="shared" si="9"/>
        <v>724.490713043346</v>
      </c>
      <c r="AA33" s="80"/>
      <c r="AB33" s="80">
        <f t="shared" si="10"/>
        <v>3545.2555184684998</v>
      </c>
      <c r="AC33" s="80"/>
      <c r="AD33" s="80">
        <f t="shared" si="10"/>
        <v>0</v>
      </c>
      <c r="AE33" s="80"/>
      <c r="AF33" s="80">
        <f t="shared" si="10"/>
        <v>0</v>
      </c>
      <c r="AG33" s="80"/>
      <c r="AH33" s="80">
        <f t="shared" si="10"/>
        <v>0</v>
      </c>
      <c r="AI33" s="80"/>
      <c r="AJ33" s="80">
        <f t="shared" si="11"/>
        <v>0</v>
      </c>
      <c r="AK33" s="80"/>
      <c r="AL33" s="81">
        <f t="shared" si="5"/>
        <v>13890.615805432652</v>
      </c>
      <c r="AM33" s="81"/>
      <c r="AN33" s="81">
        <f t="shared" si="6"/>
        <v>5613.8115785624595</v>
      </c>
      <c r="AO33" s="81"/>
      <c r="AP33" s="81">
        <f t="shared" si="7"/>
        <v>6511.871142313192</v>
      </c>
      <c r="AQ33" s="81"/>
      <c r="AR33" s="81">
        <f t="shared" si="12"/>
        <v>8658.638852182587</v>
      </c>
    </row>
    <row r="34" spans="2:44" ht="12.75">
      <c r="B34" s="9" t="s">
        <v>97</v>
      </c>
      <c r="D34" s="9" t="s">
        <v>65</v>
      </c>
      <c r="F34" s="80">
        <f t="shared" si="3"/>
        <v>143.77503369746788</v>
      </c>
      <c r="G34" s="80"/>
      <c r="H34" s="80">
        <f t="shared" si="3"/>
        <v>147.40819858806597</v>
      </c>
      <c r="I34" s="80"/>
      <c r="J34" s="80">
        <f t="shared" si="3"/>
        <v>160.68832481602416</v>
      </c>
      <c r="K34" s="80"/>
      <c r="L34" s="80">
        <f t="shared" si="8"/>
        <v>150.7207559990619</v>
      </c>
      <c r="M34" s="80"/>
      <c r="N34" s="80">
        <f t="shared" si="8"/>
        <v>15.84771287767574</v>
      </c>
      <c r="O34" s="80"/>
      <c r="P34" s="80">
        <f t="shared" si="8"/>
        <v>18.25786032055576</v>
      </c>
      <c r="Q34" s="80"/>
      <c r="R34" s="80">
        <f t="shared" si="8"/>
        <v>15.047114809361796</v>
      </c>
      <c r="S34" s="80"/>
      <c r="T34" s="80">
        <f t="shared" si="9"/>
        <v>16.367578953357242</v>
      </c>
      <c r="U34" s="80"/>
      <c r="V34" s="80">
        <f t="shared" si="9"/>
        <v>8.401197188165275</v>
      </c>
      <c r="W34" s="80"/>
      <c r="X34" s="80">
        <f t="shared" si="9"/>
        <v>8.456272148467749</v>
      </c>
      <c r="Y34" s="80"/>
      <c r="Z34" s="80">
        <f t="shared" si="9"/>
        <v>8.173741377924754</v>
      </c>
      <c r="AA34" s="80"/>
      <c r="AB34" s="80">
        <f t="shared" si="10"/>
        <v>8.34177769051394</v>
      </c>
      <c r="AC34" s="80"/>
      <c r="AD34" s="80">
        <f t="shared" si="10"/>
        <v>1213.591121090446</v>
      </c>
      <c r="AE34" s="80"/>
      <c r="AF34" s="80">
        <f t="shared" si="10"/>
        <v>1221.5469494468673</v>
      </c>
      <c r="AG34" s="80"/>
      <c r="AH34" s="80">
        <f t="shared" si="10"/>
        <v>1180.7340954111557</v>
      </c>
      <c r="AI34" s="80"/>
      <c r="AJ34" s="80">
        <f t="shared" si="11"/>
        <v>1205.0077045660848</v>
      </c>
      <c r="AK34" s="80"/>
      <c r="AL34" s="81">
        <f t="shared" si="5"/>
        <v>1381.615064853755</v>
      </c>
      <c r="AM34" s="81"/>
      <c r="AN34" s="81">
        <f t="shared" si="6"/>
        <v>1395.6692805039568</v>
      </c>
      <c r="AO34" s="81"/>
      <c r="AP34" s="81">
        <f t="shared" si="7"/>
        <v>1364.6432764144663</v>
      </c>
      <c r="AQ34" s="81"/>
      <c r="AR34" s="81">
        <f t="shared" si="12"/>
        <v>1380.4378172090178</v>
      </c>
    </row>
    <row r="35" spans="2:44" ht="12.75">
      <c r="B35" s="9" t="s">
        <v>102</v>
      </c>
      <c r="D35" s="9" t="s">
        <v>65</v>
      </c>
      <c r="F35" s="80">
        <f t="shared" si="3"/>
        <v>0</v>
      </c>
      <c r="G35" s="80"/>
      <c r="H35" s="80">
        <f t="shared" si="3"/>
        <v>0</v>
      </c>
      <c r="I35" s="80"/>
      <c r="J35" s="80">
        <f t="shared" si="3"/>
        <v>0</v>
      </c>
      <c r="K35" s="80"/>
      <c r="L35" s="80">
        <f t="shared" si="8"/>
        <v>0</v>
      </c>
      <c r="M35" s="80"/>
      <c r="N35" s="80">
        <f t="shared" si="8"/>
        <v>0</v>
      </c>
      <c r="O35" s="80"/>
      <c r="P35" s="80">
        <f t="shared" si="8"/>
        <v>0</v>
      </c>
      <c r="Q35" s="80"/>
      <c r="R35" s="80">
        <f t="shared" si="8"/>
        <v>0</v>
      </c>
      <c r="S35" s="80"/>
      <c r="T35" s="80">
        <f t="shared" si="9"/>
        <v>0</v>
      </c>
      <c r="U35" s="80"/>
      <c r="V35" s="80">
        <f t="shared" si="9"/>
        <v>86.30320747842657</v>
      </c>
      <c r="W35" s="80"/>
      <c r="X35" s="80">
        <f t="shared" si="9"/>
        <v>6.918768121471837</v>
      </c>
      <c r="Y35" s="80"/>
      <c r="Z35" s="80">
        <f t="shared" si="9"/>
        <v>6.687606581936718</v>
      </c>
      <c r="AA35" s="80"/>
      <c r="AB35" s="80">
        <f t="shared" si="10"/>
        <v>33.1143296199183</v>
      </c>
      <c r="AC35" s="80"/>
      <c r="AD35" s="80">
        <f t="shared" si="10"/>
        <v>18377.236976512464</v>
      </c>
      <c r="AE35" s="80"/>
      <c r="AF35" s="80">
        <f t="shared" si="10"/>
        <v>18846.724362894525</v>
      </c>
      <c r="AG35" s="80"/>
      <c r="AH35" s="80">
        <f t="shared" si="10"/>
        <v>18217.04032920069</v>
      </c>
      <c r="AI35" s="80"/>
      <c r="AJ35" s="80">
        <f t="shared" si="11"/>
        <v>18476.784803346633</v>
      </c>
      <c r="AK35" s="80"/>
      <c r="AL35" s="81">
        <f t="shared" si="5"/>
        <v>18463.540183990892</v>
      </c>
      <c r="AM35" s="81"/>
      <c r="AN35" s="81">
        <f t="shared" si="6"/>
        <v>18853.643131015997</v>
      </c>
      <c r="AO35" s="81"/>
      <c r="AP35" s="81">
        <f t="shared" si="7"/>
        <v>18223.727935782626</v>
      </c>
      <c r="AQ35" s="81"/>
      <c r="AR35" s="81">
        <f t="shared" si="12"/>
        <v>18509.89913296655</v>
      </c>
    </row>
    <row r="36" spans="2:44" ht="12.75">
      <c r="B36" s="9" t="s">
        <v>104</v>
      </c>
      <c r="D36" s="9" t="s">
        <v>65</v>
      </c>
      <c r="F36" s="80">
        <f t="shared" si="3"/>
        <v>3444.490847147835</v>
      </c>
      <c r="G36" s="80"/>
      <c r="H36" s="80">
        <f t="shared" si="3"/>
        <v>6648.167412722786</v>
      </c>
      <c r="I36" s="80"/>
      <c r="J36" s="80">
        <f t="shared" si="3"/>
        <v>5756.357365403631</v>
      </c>
      <c r="K36" s="80"/>
      <c r="L36" s="80">
        <f t="shared" si="8"/>
        <v>5284.32658108409</v>
      </c>
      <c r="M36" s="80"/>
      <c r="N36" s="80">
        <f t="shared" si="8"/>
        <v>49.26156533060652</v>
      </c>
      <c r="O36" s="80"/>
      <c r="P36" s="80">
        <f t="shared" si="8"/>
        <v>144.33319053407763</v>
      </c>
      <c r="Q36" s="80"/>
      <c r="R36" s="80">
        <f t="shared" si="8"/>
        <v>123.3491880668671</v>
      </c>
      <c r="S36" s="80"/>
      <c r="T36" s="80">
        <f t="shared" si="9"/>
        <v>105.72571269871302</v>
      </c>
      <c r="U36" s="80"/>
      <c r="V36" s="80">
        <f t="shared" si="9"/>
        <v>1343.8096775070123</v>
      </c>
      <c r="W36" s="80"/>
      <c r="X36" s="80">
        <f t="shared" si="9"/>
        <v>21.909432384664463</v>
      </c>
      <c r="Y36" s="80"/>
      <c r="Z36" s="80">
        <f t="shared" si="9"/>
        <v>49.7855156655397</v>
      </c>
      <c r="AA36" s="80"/>
      <c r="AB36" s="80">
        <f t="shared" si="10"/>
        <v>468.9090186637469</v>
      </c>
      <c r="AC36" s="80"/>
      <c r="AD36" s="80">
        <f t="shared" si="10"/>
        <v>56605.35729086151</v>
      </c>
      <c r="AE36" s="80"/>
      <c r="AF36" s="80">
        <f t="shared" si="10"/>
        <v>57499.95997753469</v>
      </c>
      <c r="AG36" s="80"/>
      <c r="AH36" s="80">
        <f t="shared" si="10"/>
        <v>55494.50248432431</v>
      </c>
      <c r="AI36" s="80"/>
      <c r="AJ36" s="80">
        <f t="shared" si="11"/>
        <v>56520.59947607588</v>
      </c>
      <c r="AK36" s="80"/>
      <c r="AL36" s="81">
        <f t="shared" si="5"/>
        <v>61442.919380846964</v>
      </c>
      <c r="AM36" s="81"/>
      <c r="AN36" s="81">
        <f t="shared" si="6"/>
        <v>64314.370013176216</v>
      </c>
      <c r="AO36" s="81"/>
      <c r="AP36" s="81">
        <f t="shared" si="7"/>
        <v>61423.99455346035</v>
      </c>
      <c r="AQ36" s="81"/>
      <c r="AR36" s="81">
        <f t="shared" si="12"/>
        <v>62379.56078852242</v>
      </c>
    </row>
    <row r="37" spans="2:44" ht="12.75">
      <c r="B37" s="9" t="s">
        <v>100</v>
      </c>
      <c r="D37" s="9" t="s">
        <v>65</v>
      </c>
      <c r="F37" s="80">
        <f t="shared" si="3"/>
        <v>2445.893999554533</v>
      </c>
      <c r="G37" s="80"/>
      <c r="H37" s="80">
        <f t="shared" si="3"/>
        <v>3030.228249202133</v>
      </c>
      <c r="I37" s="80"/>
      <c r="J37" s="80">
        <f t="shared" si="3"/>
        <v>2977.84259745765</v>
      </c>
      <c r="K37" s="80"/>
      <c r="L37" s="80">
        <f t="shared" si="8"/>
        <v>2818.952101823964</v>
      </c>
      <c r="M37" s="80"/>
      <c r="N37" s="80">
        <f t="shared" si="8"/>
        <v>120.28986883055079</v>
      </c>
      <c r="O37" s="80"/>
      <c r="P37" s="80">
        <f t="shared" si="8"/>
        <v>126.4597062202704</v>
      </c>
      <c r="Q37" s="80"/>
      <c r="R37" s="80">
        <f t="shared" si="8"/>
        <v>132.63753054178179</v>
      </c>
      <c r="S37" s="80"/>
      <c r="T37" s="80">
        <f t="shared" si="9"/>
        <v>126.51696163946411</v>
      </c>
      <c r="U37" s="80"/>
      <c r="V37" s="80">
        <f t="shared" si="9"/>
        <v>2623.8466309038567</v>
      </c>
      <c r="W37" s="80"/>
      <c r="X37" s="80">
        <f t="shared" si="9"/>
        <v>102.24401779510666</v>
      </c>
      <c r="Y37" s="80"/>
      <c r="Z37" s="80">
        <f t="shared" si="9"/>
        <v>117.40464888291629</v>
      </c>
      <c r="AA37" s="80"/>
      <c r="AB37" s="80">
        <f t="shared" si="10"/>
        <v>941.9889261727502</v>
      </c>
      <c r="AC37" s="80"/>
      <c r="AD37" s="80">
        <f t="shared" si="10"/>
        <v>106362.5932555698</v>
      </c>
      <c r="AE37" s="80"/>
      <c r="AF37" s="80">
        <f t="shared" si="10"/>
        <v>112731.33276323946</v>
      </c>
      <c r="AG37" s="80"/>
      <c r="AH37" s="80">
        <f t="shared" si="10"/>
        <v>108964.88937651522</v>
      </c>
      <c r="AI37" s="80"/>
      <c r="AJ37" s="80">
        <f t="shared" si="11"/>
        <v>109340.10385955594</v>
      </c>
      <c r="AK37" s="80"/>
      <c r="AL37" s="81">
        <f t="shared" si="5"/>
        <v>111552.62375485875</v>
      </c>
      <c r="AM37" s="81"/>
      <c r="AN37" s="81">
        <f t="shared" si="6"/>
        <v>115990.26473645697</v>
      </c>
      <c r="AO37" s="81"/>
      <c r="AP37" s="81">
        <f t="shared" si="7"/>
        <v>112192.77415339756</v>
      </c>
      <c r="AQ37" s="81"/>
      <c r="AR37" s="81">
        <f t="shared" si="12"/>
        <v>113227.56184919212</v>
      </c>
    </row>
    <row r="38" spans="2:44" ht="12.75">
      <c r="B38" s="9" t="s">
        <v>107</v>
      </c>
      <c r="D38" s="9" t="s">
        <v>65</v>
      </c>
      <c r="F38" s="80">
        <f t="shared" si="3"/>
        <v>17.184266975792976</v>
      </c>
      <c r="G38" s="80"/>
      <c r="H38" s="80">
        <f t="shared" si="3"/>
        <v>13.068784229450438</v>
      </c>
      <c r="I38" s="80"/>
      <c r="J38" s="80">
        <f t="shared" si="3"/>
        <v>17.276317003341326</v>
      </c>
      <c r="K38" s="80"/>
      <c r="L38" s="80">
        <f t="shared" si="8"/>
        <v>15.862016669083662</v>
      </c>
      <c r="M38" s="80"/>
      <c r="N38" s="80">
        <f t="shared" si="8"/>
        <v>2.100299297041363</v>
      </c>
      <c r="O38" s="80"/>
      <c r="P38" s="80">
        <f t="shared" si="8"/>
        <v>2.114068037116982</v>
      </c>
      <c r="Q38" s="80"/>
      <c r="R38" s="80">
        <f t="shared" si="8"/>
        <v>2.0434353444812317</v>
      </c>
      <c r="S38" s="80"/>
      <c r="T38" s="80">
        <f t="shared" si="9"/>
        <v>2.0854444226285294</v>
      </c>
      <c r="U38" s="80"/>
      <c r="V38" s="80">
        <f t="shared" si="9"/>
        <v>2.5776400463689457</v>
      </c>
      <c r="W38" s="80"/>
      <c r="X38" s="80">
        <f t="shared" si="9"/>
        <v>1.9199581537089687</v>
      </c>
      <c r="Y38" s="80"/>
      <c r="Z38" s="80">
        <f t="shared" si="9"/>
        <v>1.6421789495649173</v>
      </c>
      <c r="AA38" s="80"/>
      <c r="AB38" s="80">
        <f t="shared" si="10"/>
        <v>2.043103581320617</v>
      </c>
      <c r="AC38" s="80"/>
      <c r="AD38" s="80">
        <f t="shared" si="10"/>
        <v>269.2201826207566</v>
      </c>
      <c r="AE38" s="80"/>
      <c r="AF38" s="80">
        <f t="shared" si="10"/>
        <v>270.9850847577223</v>
      </c>
      <c r="AG38" s="80"/>
      <c r="AH38" s="80">
        <f t="shared" si="10"/>
        <v>261.9312577925943</v>
      </c>
      <c r="AI38" s="80"/>
      <c r="AJ38" s="80">
        <f t="shared" si="11"/>
        <v>267.3160578096569</v>
      </c>
      <c r="AK38" s="80"/>
      <c r="AL38" s="81">
        <f t="shared" si="5"/>
        <v>291.0823889399599</v>
      </c>
      <c r="AM38" s="81"/>
      <c r="AN38" s="81">
        <f t="shared" si="6"/>
        <v>288.0878951779987</v>
      </c>
      <c r="AO38" s="81"/>
      <c r="AP38" s="81">
        <f t="shared" si="7"/>
        <v>282.8931890899818</v>
      </c>
      <c r="AQ38" s="81"/>
      <c r="AR38" s="81">
        <f t="shared" si="12"/>
        <v>287.30662248268976</v>
      </c>
    </row>
    <row r="39" spans="2:44" ht="12.75">
      <c r="B39" s="9" t="s">
        <v>103</v>
      </c>
      <c r="D39" s="9" t="s">
        <v>65</v>
      </c>
      <c r="F39" s="80">
        <f t="shared" si="3"/>
        <v>431.51603739213454</v>
      </c>
      <c r="G39" s="80"/>
      <c r="H39" s="80">
        <f t="shared" si="3"/>
        <v>438.5730237000867</v>
      </c>
      <c r="I39" s="80"/>
      <c r="J39" s="80">
        <f t="shared" si="3"/>
        <v>434.1371272775126</v>
      </c>
      <c r="K39" s="80"/>
      <c r="L39" s="80">
        <f t="shared" si="8"/>
        <v>434.7203691897472</v>
      </c>
      <c r="M39" s="80"/>
      <c r="N39" s="80">
        <f t="shared" si="8"/>
        <v>5.346216392468925</v>
      </c>
      <c r="O39" s="80"/>
      <c r="P39" s="80">
        <f t="shared" si="8"/>
        <v>5.381264094479591</v>
      </c>
      <c r="Q39" s="80"/>
      <c r="R39" s="80">
        <f t="shared" si="8"/>
        <v>5.201471785952227</v>
      </c>
      <c r="S39" s="80"/>
      <c r="T39" s="80">
        <f t="shared" si="9"/>
        <v>5.30840398487262</v>
      </c>
      <c r="U39" s="80"/>
      <c r="V39" s="80">
        <f t="shared" si="9"/>
        <v>133.65540981172308</v>
      </c>
      <c r="W39" s="80"/>
      <c r="X39" s="80">
        <f t="shared" si="9"/>
        <v>38.43760067485423</v>
      </c>
      <c r="Y39" s="80"/>
      <c r="Z39" s="80">
        <f t="shared" si="9"/>
        <v>37.15336989965876</v>
      </c>
      <c r="AA39" s="80"/>
      <c r="AB39" s="80">
        <f t="shared" si="10"/>
        <v>69.51481408761764</v>
      </c>
      <c r="AC39" s="80"/>
      <c r="AD39" s="80">
        <f t="shared" si="10"/>
        <v>0</v>
      </c>
      <c r="AE39" s="80"/>
      <c r="AF39" s="80">
        <f t="shared" si="10"/>
        <v>0</v>
      </c>
      <c r="AG39" s="80"/>
      <c r="AH39" s="80">
        <f t="shared" si="10"/>
        <v>0</v>
      </c>
      <c r="AI39" s="80"/>
      <c r="AJ39" s="80">
        <f t="shared" si="11"/>
        <v>0</v>
      </c>
      <c r="AK39" s="80"/>
      <c r="AL39" s="81">
        <f t="shared" si="5"/>
        <v>570.5176635963265</v>
      </c>
      <c r="AM39" s="81"/>
      <c r="AN39" s="81">
        <f t="shared" si="6"/>
        <v>482.3918884694205</v>
      </c>
      <c r="AO39" s="81"/>
      <c r="AP39" s="81">
        <f t="shared" si="7"/>
        <v>476.4919689631236</v>
      </c>
      <c r="AQ39" s="81"/>
      <c r="AR39" s="81">
        <f t="shared" si="12"/>
        <v>509.54358726223745</v>
      </c>
    </row>
    <row r="40" spans="2:44" ht="12.75">
      <c r="B40" s="9" t="s">
        <v>98</v>
      </c>
      <c r="D40" s="9" t="s">
        <v>65</v>
      </c>
      <c r="F40" s="80">
        <f t="shared" si="3"/>
        <v>431.51603739213454</v>
      </c>
      <c r="G40" s="80"/>
      <c r="H40" s="80">
        <f t="shared" si="3"/>
        <v>438.5730237000867</v>
      </c>
      <c r="I40" s="80"/>
      <c r="J40" s="80">
        <f t="shared" si="3"/>
        <v>434.1371272775126</v>
      </c>
      <c r="K40" s="80"/>
      <c r="L40" s="80">
        <f t="shared" si="8"/>
        <v>434.7203691897472</v>
      </c>
      <c r="M40" s="80"/>
      <c r="N40" s="80">
        <f t="shared" si="8"/>
        <v>8.019324588703387</v>
      </c>
      <c r="O40" s="80"/>
      <c r="P40" s="80">
        <f t="shared" si="8"/>
        <v>5.765640101228135</v>
      </c>
      <c r="Q40" s="80"/>
      <c r="R40" s="80">
        <f t="shared" si="8"/>
        <v>5.201471785952227</v>
      </c>
      <c r="S40" s="80"/>
      <c r="T40" s="80">
        <f t="shared" si="9"/>
        <v>6.319528553419785</v>
      </c>
      <c r="U40" s="80"/>
      <c r="V40" s="80">
        <f t="shared" si="9"/>
        <v>57.2808899193099</v>
      </c>
      <c r="W40" s="80"/>
      <c r="X40" s="80">
        <f t="shared" si="9"/>
        <v>38.43760067485423</v>
      </c>
      <c r="Y40" s="80"/>
      <c r="Z40" s="80">
        <f t="shared" si="9"/>
        <v>37.15336989965876</v>
      </c>
      <c r="AA40" s="80"/>
      <c r="AB40" s="80">
        <f t="shared" si="10"/>
        <v>44.236699873938505</v>
      </c>
      <c r="AC40" s="80"/>
      <c r="AD40" s="80">
        <f t="shared" si="10"/>
        <v>0</v>
      </c>
      <c r="AE40" s="80"/>
      <c r="AF40" s="80">
        <f t="shared" si="10"/>
        <v>0</v>
      </c>
      <c r="AG40" s="80"/>
      <c r="AH40" s="80">
        <f t="shared" si="10"/>
        <v>0</v>
      </c>
      <c r="AI40" s="80"/>
      <c r="AJ40" s="80">
        <f t="shared" si="11"/>
        <v>0</v>
      </c>
      <c r="AK40" s="80"/>
      <c r="AL40" s="81">
        <f t="shared" si="5"/>
        <v>496.8162519001478</v>
      </c>
      <c r="AM40" s="81"/>
      <c r="AN40" s="81">
        <f t="shared" si="6"/>
        <v>482.7762644761691</v>
      </c>
      <c r="AO40" s="81"/>
      <c r="AP40" s="81">
        <f t="shared" si="7"/>
        <v>476.4919689631236</v>
      </c>
      <c r="AQ40" s="81"/>
      <c r="AR40" s="81">
        <f t="shared" si="12"/>
        <v>485.2765976171055</v>
      </c>
    </row>
    <row r="41" spans="2:44" ht="12.75">
      <c r="B41" s="9" t="s">
        <v>101</v>
      </c>
      <c r="D41" s="9" t="s">
        <v>65</v>
      </c>
      <c r="F41" s="80">
        <f t="shared" si="3"/>
        <v>6417.36903396002</v>
      </c>
      <c r="G41" s="80"/>
      <c r="H41" s="80">
        <f t="shared" si="3"/>
        <v>10353.74430578211</v>
      </c>
      <c r="I41" s="80"/>
      <c r="J41" s="80">
        <f t="shared" si="3"/>
        <v>7128.059782099031</v>
      </c>
      <c r="K41" s="80"/>
      <c r="L41" s="80">
        <f t="shared" si="8"/>
        <v>7953.379465620936</v>
      </c>
      <c r="M41" s="80"/>
      <c r="N41" s="80">
        <f t="shared" si="8"/>
        <v>171.84266975792974</v>
      </c>
      <c r="O41" s="80"/>
      <c r="P41" s="80">
        <f t="shared" si="8"/>
        <v>197.95364347549926</v>
      </c>
      <c r="Q41" s="80"/>
      <c r="R41" s="80">
        <f t="shared" si="8"/>
        <v>185.02378210030065</v>
      </c>
      <c r="S41" s="80"/>
      <c r="T41" s="80">
        <f t="shared" si="9"/>
        <v>184.90940547306292</v>
      </c>
      <c r="U41" s="80"/>
      <c r="V41" s="80">
        <f t="shared" si="9"/>
        <v>1737.5203275524004</v>
      </c>
      <c r="W41" s="80"/>
      <c r="X41" s="80">
        <f t="shared" si="9"/>
        <v>19.218800337427115</v>
      </c>
      <c r="Y41" s="80"/>
      <c r="Z41" s="80">
        <f t="shared" si="9"/>
        <v>20.434353444812317</v>
      </c>
      <c r="AA41" s="80"/>
      <c r="AB41" s="80">
        <f t="shared" si="10"/>
        <v>588.348108323382</v>
      </c>
      <c r="AC41" s="80"/>
      <c r="AD41" s="80">
        <f t="shared" si="10"/>
        <v>0</v>
      </c>
      <c r="AE41" s="80"/>
      <c r="AF41" s="80">
        <f t="shared" si="10"/>
        <v>0</v>
      </c>
      <c r="AG41" s="80"/>
      <c r="AH41" s="80">
        <f t="shared" si="10"/>
        <v>0</v>
      </c>
      <c r="AI41" s="80"/>
      <c r="AJ41" s="80">
        <f t="shared" si="11"/>
        <v>0</v>
      </c>
      <c r="AK41" s="80"/>
      <c r="AL41" s="81">
        <f t="shared" si="5"/>
        <v>8326.73203127035</v>
      </c>
      <c r="AM41" s="81"/>
      <c r="AN41" s="81">
        <f t="shared" si="6"/>
        <v>10570.916749595035</v>
      </c>
      <c r="AO41" s="81"/>
      <c r="AP41" s="81">
        <f t="shared" si="7"/>
        <v>7333.517917644143</v>
      </c>
      <c r="AQ41" s="81"/>
      <c r="AR41" s="81">
        <f t="shared" si="12"/>
        <v>8726.63697941738</v>
      </c>
    </row>
    <row r="42" spans="2:44" ht="12.75">
      <c r="B42" s="9" t="s">
        <v>135</v>
      </c>
      <c r="D42" s="9" t="s">
        <v>65</v>
      </c>
      <c r="F42" s="80">
        <f t="shared" si="3"/>
        <v>431.51603739213454</v>
      </c>
      <c r="G42" s="80"/>
      <c r="H42" s="80">
        <f t="shared" si="3"/>
        <v>438.5730237000867</v>
      </c>
      <c r="I42" s="80"/>
      <c r="J42" s="80">
        <f t="shared" si="3"/>
        <v>434.1371272775126</v>
      </c>
      <c r="K42" s="80"/>
      <c r="L42" s="80">
        <f t="shared" si="8"/>
        <v>434.7203691897472</v>
      </c>
      <c r="M42" s="80"/>
      <c r="N42" s="80">
        <f t="shared" si="8"/>
        <v>35.89602434943421</v>
      </c>
      <c r="O42" s="80"/>
      <c r="P42" s="80">
        <f t="shared" si="8"/>
        <v>59.770469049398315</v>
      </c>
      <c r="Q42" s="80"/>
      <c r="R42" s="80">
        <f t="shared" si="8"/>
        <v>54.801220601996675</v>
      </c>
      <c r="S42" s="80"/>
      <c r="T42" s="80">
        <f t="shared" si="9"/>
        <v>50.17705671415311</v>
      </c>
      <c r="U42" s="80"/>
      <c r="V42" s="80">
        <f t="shared" si="9"/>
        <v>76.37451989241322</v>
      </c>
      <c r="W42" s="80"/>
      <c r="X42" s="80">
        <f t="shared" si="9"/>
        <v>38.43760067485423</v>
      </c>
      <c r="Y42" s="80"/>
      <c r="Z42" s="80">
        <f t="shared" si="9"/>
        <v>40.86870688962463</v>
      </c>
      <c r="AA42" s="80"/>
      <c r="AB42" s="80">
        <f t="shared" si="10"/>
        <v>51.82013413804223</v>
      </c>
      <c r="AC42" s="80"/>
      <c r="AD42" s="80">
        <f t="shared" si="10"/>
        <v>0</v>
      </c>
      <c r="AE42" s="80"/>
      <c r="AF42" s="80">
        <f t="shared" si="10"/>
        <v>0</v>
      </c>
      <c r="AG42" s="80"/>
      <c r="AH42" s="80">
        <f t="shared" si="10"/>
        <v>0</v>
      </c>
      <c r="AI42" s="80"/>
      <c r="AJ42" s="80">
        <f t="shared" si="11"/>
        <v>0</v>
      </c>
      <c r="AK42" s="80"/>
      <c r="AL42" s="81">
        <f t="shared" si="5"/>
        <v>543.786581633982</v>
      </c>
      <c r="AM42" s="81"/>
      <c r="AN42" s="81">
        <f t="shared" si="6"/>
        <v>536.7810934243392</v>
      </c>
      <c r="AO42" s="81"/>
      <c r="AP42" s="81">
        <f t="shared" si="7"/>
        <v>529.8070547691339</v>
      </c>
      <c r="AQ42" s="81"/>
      <c r="AR42" s="81">
        <f t="shared" si="12"/>
        <v>536.7175600419425</v>
      </c>
    </row>
    <row r="43" spans="6:44" ht="12.75"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</row>
    <row r="44" spans="2:44" ht="12.75">
      <c r="B44" s="9" t="s">
        <v>72</v>
      </c>
      <c r="D44" s="9" t="s">
        <v>65</v>
      </c>
      <c r="F44" s="80">
        <f aca="true" t="shared" si="13" ref="F44:AJ44">F35+F37</f>
        <v>2445.893999554533</v>
      </c>
      <c r="G44" s="80"/>
      <c r="H44" s="80">
        <f t="shared" si="13"/>
        <v>3030.228249202133</v>
      </c>
      <c r="I44" s="80"/>
      <c r="J44" s="80">
        <f t="shared" si="13"/>
        <v>2977.84259745765</v>
      </c>
      <c r="K44" s="80"/>
      <c r="L44" s="80">
        <f t="shared" si="13"/>
        <v>2818.952101823964</v>
      </c>
      <c r="M44" s="80"/>
      <c r="N44" s="80">
        <f t="shared" si="13"/>
        <v>120.28986883055079</v>
      </c>
      <c r="O44" s="80"/>
      <c r="P44" s="80">
        <f t="shared" si="13"/>
        <v>126.4597062202704</v>
      </c>
      <c r="Q44" s="80"/>
      <c r="R44" s="80">
        <f t="shared" si="13"/>
        <v>132.63753054178179</v>
      </c>
      <c r="S44" s="80"/>
      <c r="T44" s="80">
        <f t="shared" si="13"/>
        <v>126.51696163946411</v>
      </c>
      <c r="U44" s="80"/>
      <c r="V44" s="80">
        <f t="shared" si="13"/>
        <v>2710.149838382283</v>
      </c>
      <c r="W44" s="80"/>
      <c r="X44" s="80">
        <f t="shared" si="13"/>
        <v>109.1627859165785</v>
      </c>
      <c r="Y44" s="80"/>
      <c r="Z44" s="80">
        <f t="shared" si="13"/>
        <v>124.09225546485301</v>
      </c>
      <c r="AA44" s="80"/>
      <c r="AB44" s="80">
        <f t="shared" si="13"/>
        <v>975.1032557926685</v>
      </c>
      <c r="AC44" s="80"/>
      <c r="AD44" s="80">
        <f t="shared" si="13"/>
        <v>124739.83023208225</v>
      </c>
      <c r="AE44" s="80"/>
      <c r="AF44" s="80">
        <f t="shared" si="13"/>
        <v>131578.057126134</v>
      </c>
      <c r="AG44" s="80"/>
      <c r="AH44" s="80">
        <f t="shared" si="13"/>
        <v>127181.92970571591</v>
      </c>
      <c r="AI44" s="80"/>
      <c r="AJ44" s="80">
        <f t="shared" si="13"/>
        <v>127816.88866290257</v>
      </c>
      <c r="AK44" s="81"/>
      <c r="AL44" s="80">
        <f>AL35+AL37</f>
        <v>130016.16393884964</v>
      </c>
      <c r="AM44" s="80"/>
      <c r="AN44" s="80">
        <f>AN35+AN37</f>
        <v>134843.90786747297</v>
      </c>
      <c r="AO44" s="80"/>
      <c r="AP44" s="80">
        <f>AP35+AP37</f>
        <v>130416.5020891802</v>
      </c>
      <c r="AQ44" s="80"/>
      <c r="AR44" s="80">
        <f>AR35+AR37</f>
        <v>131737.46098215866</v>
      </c>
    </row>
    <row r="45" spans="2:44" ht="12.75">
      <c r="B45" s="9" t="s">
        <v>73</v>
      </c>
      <c r="D45" s="9" t="s">
        <v>65</v>
      </c>
      <c r="F45" s="80">
        <f aca="true" t="shared" si="14" ref="F45:AJ45">F32+F34+F36</f>
        <v>4342.464264782883</v>
      </c>
      <c r="G45" s="80"/>
      <c r="H45" s="80">
        <f t="shared" si="14"/>
        <v>7817.439225251852</v>
      </c>
      <c r="I45" s="80"/>
      <c r="J45" s="80">
        <f t="shared" si="14"/>
        <v>7019.757708841527</v>
      </c>
      <c r="K45" s="80"/>
      <c r="L45" s="80">
        <f t="shared" si="14"/>
        <v>6395.805263059563</v>
      </c>
      <c r="M45" s="80"/>
      <c r="N45" s="80">
        <f t="shared" si="14"/>
        <v>212.32116530090872</v>
      </c>
      <c r="O45" s="80"/>
      <c r="P45" s="80">
        <f t="shared" si="14"/>
        <v>428.57924752462463</v>
      </c>
      <c r="Q45" s="80"/>
      <c r="R45" s="80">
        <f t="shared" si="14"/>
        <v>387.3238812039427</v>
      </c>
      <c r="S45" s="80"/>
      <c r="T45" s="80">
        <f t="shared" si="14"/>
        <v>342.96081459409174</v>
      </c>
      <c r="U45" s="80"/>
      <c r="V45" s="80">
        <f t="shared" si="14"/>
        <v>1379.7057018564462</v>
      </c>
      <c r="W45" s="80"/>
      <c r="X45" s="80">
        <f t="shared" si="14"/>
        <v>86.1002255116704</v>
      </c>
      <c r="Y45" s="80"/>
      <c r="Z45" s="80">
        <f t="shared" si="14"/>
        <v>130.40832834779863</v>
      </c>
      <c r="AA45" s="80"/>
      <c r="AB45" s="80">
        <f t="shared" si="14"/>
        <v>529.3237116344396</v>
      </c>
      <c r="AC45" s="80"/>
      <c r="AD45" s="80">
        <f t="shared" si="14"/>
        <v>63366.79353693685</v>
      </c>
      <c r="AE45" s="80"/>
      <c r="AF45" s="80">
        <f t="shared" si="14"/>
        <v>64392.974906556294</v>
      </c>
      <c r="AG45" s="80"/>
      <c r="AH45" s="80">
        <f t="shared" si="14"/>
        <v>62157.216308430114</v>
      </c>
      <c r="AI45" s="80"/>
      <c r="AJ45" s="80">
        <f t="shared" si="14"/>
        <v>63291.595149351975</v>
      </c>
      <c r="AK45" s="81"/>
      <c r="AL45" s="80">
        <f>AL32+AL34+AL36</f>
        <v>69301.2846688771</v>
      </c>
      <c r="AM45" s="80"/>
      <c r="AN45" s="80">
        <f>AN32+AN34+AN36</f>
        <v>72725.09360484444</v>
      </c>
      <c r="AO45" s="80"/>
      <c r="AP45" s="80">
        <f>AP32+AP34+AP36</f>
        <v>69694.70622682339</v>
      </c>
      <c r="AQ45" s="80"/>
      <c r="AR45" s="80">
        <f>AR32+AR34+AR36</f>
        <v>70559.68493864006</v>
      </c>
    </row>
    <row r="47" ht="12.75">
      <c r="B47" s="37" t="s">
        <v>146</v>
      </c>
    </row>
    <row r="48" ht="12.75">
      <c r="B48" s="37"/>
    </row>
    <row r="49" ht="12.75">
      <c r="B49" s="9" t="s">
        <v>105</v>
      </c>
    </row>
    <row r="50" spans="2:44" ht="12.75">
      <c r="B50" s="9" t="s">
        <v>108</v>
      </c>
      <c r="D50" s="9" t="s">
        <v>119</v>
      </c>
      <c r="F50"/>
      <c r="G50"/>
      <c r="H50"/>
      <c r="I50"/>
      <c r="J50"/>
      <c r="K50"/>
      <c r="L50" s="44"/>
      <c r="M50" s="44"/>
      <c r="N50"/>
      <c r="O50"/>
      <c r="P50"/>
      <c r="Q50"/>
      <c r="R50"/>
      <c r="S50"/>
      <c r="T50" s="44"/>
      <c r="U50" s="44"/>
      <c r="V50"/>
      <c r="W50"/>
      <c r="X50"/>
      <c r="Y50"/>
      <c r="Z50"/>
      <c r="AA50"/>
      <c r="AB50" s="44"/>
      <c r="AC50" s="44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</row>
    <row r="51" spans="2:44" ht="12.75">
      <c r="B51" s="9" t="s">
        <v>137</v>
      </c>
      <c r="D51" s="9" t="s">
        <v>68</v>
      </c>
      <c r="F51"/>
      <c r="G51"/>
      <c r="H51"/>
      <c r="I51"/>
      <c r="J51"/>
      <c r="K51"/>
      <c r="L51" s="44"/>
      <c r="M51" s="44"/>
      <c r="N51"/>
      <c r="O51"/>
      <c r="P51"/>
      <c r="Q51"/>
      <c r="R51"/>
      <c r="S51"/>
      <c r="T51" s="44"/>
      <c r="U51" s="44"/>
      <c r="V51"/>
      <c r="W51"/>
      <c r="X51"/>
      <c r="Y51"/>
      <c r="Z51"/>
      <c r="AA51"/>
      <c r="AB51" s="44"/>
      <c r="AC51" s="44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</row>
    <row r="52" spans="14:35" ht="12.75">
      <c r="N52" s="6"/>
      <c r="O52" s="6"/>
      <c r="P52" s="8"/>
      <c r="Q52" s="8"/>
      <c r="R52" s="8"/>
      <c r="S52" s="8"/>
      <c r="V52" s="4"/>
      <c r="W52" s="4"/>
      <c r="X52" s="38"/>
      <c r="Y52" s="38"/>
      <c r="Z52" s="38"/>
      <c r="AA52" s="38"/>
      <c r="AD52" s="6"/>
      <c r="AE52" s="6"/>
      <c r="AF52" s="8"/>
      <c r="AG52" s="8"/>
      <c r="AH52" s="8"/>
      <c r="AI52" s="8"/>
    </row>
    <row r="53" spans="2:44" ht="12.75">
      <c r="B53" s="37" t="s">
        <v>170</v>
      </c>
      <c r="F53" s="5" t="s">
        <v>122</v>
      </c>
      <c r="G53" s="5"/>
      <c r="H53" s="5" t="s">
        <v>123</v>
      </c>
      <c r="I53" s="5"/>
      <c r="J53" s="5" t="s">
        <v>124</v>
      </c>
      <c r="K53" s="5"/>
      <c r="L53" s="5" t="s">
        <v>66</v>
      </c>
      <c r="M53" s="5"/>
      <c r="N53" s="5" t="s">
        <v>122</v>
      </c>
      <c r="P53" s="5" t="s">
        <v>123</v>
      </c>
      <c r="R53" s="5" t="s">
        <v>124</v>
      </c>
      <c r="T53" s="5" t="s">
        <v>66</v>
      </c>
      <c r="U53" s="5"/>
      <c r="V53" s="5" t="s">
        <v>122</v>
      </c>
      <c r="X53" s="5" t="s">
        <v>123</v>
      </c>
      <c r="Z53" s="5" t="s">
        <v>124</v>
      </c>
      <c r="AB53" s="5" t="s">
        <v>66</v>
      </c>
      <c r="AC53" s="5"/>
      <c r="AD53" s="5" t="s">
        <v>122</v>
      </c>
      <c r="AF53" s="5" t="s">
        <v>123</v>
      </c>
      <c r="AH53" s="5" t="s">
        <v>124</v>
      </c>
      <c r="AJ53" s="5" t="s">
        <v>66</v>
      </c>
      <c r="AK53" s="5"/>
      <c r="AL53" s="5" t="s">
        <v>122</v>
      </c>
      <c r="AM53" s="5"/>
      <c r="AN53" s="5" t="s">
        <v>123</v>
      </c>
      <c r="AO53" s="5"/>
      <c r="AP53" s="5" t="s">
        <v>124</v>
      </c>
      <c r="AQ53" s="5"/>
      <c r="AR53" s="5" t="s">
        <v>66</v>
      </c>
    </row>
    <row r="55" spans="2:44" ht="12.75">
      <c r="B55" s="9" t="s">
        <v>285</v>
      </c>
      <c r="F55" s="5" t="s">
        <v>289</v>
      </c>
      <c r="G55" s="5"/>
      <c r="H55" s="5" t="s">
        <v>289</v>
      </c>
      <c r="I55" s="5"/>
      <c r="J55" s="5" t="s">
        <v>289</v>
      </c>
      <c r="K55" s="5"/>
      <c r="L55" s="5" t="s">
        <v>289</v>
      </c>
      <c r="M55" s="5"/>
      <c r="N55" s="5" t="s">
        <v>290</v>
      </c>
      <c r="P55" s="5" t="s">
        <v>290</v>
      </c>
      <c r="R55" s="5" t="s">
        <v>290</v>
      </c>
      <c r="T55" s="5" t="s">
        <v>290</v>
      </c>
      <c r="U55" s="5"/>
      <c r="V55" s="5" t="s">
        <v>291</v>
      </c>
      <c r="X55" s="5" t="s">
        <v>291</v>
      </c>
      <c r="Z55" s="5" t="s">
        <v>291</v>
      </c>
      <c r="AB55" s="5" t="s">
        <v>291</v>
      </c>
      <c r="AC55" s="5"/>
      <c r="AD55" s="5" t="s">
        <v>292</v>
      </c>
      <c r="AF55" s="5" t="s">
        <v>292</v>
      </c>
      <c r="AH55" s="5" t="s">
        <v>292</v>
      </c>
      <c r="AJ55" s="5" t="s">
        <v>292</v>
      </c>
      <c r="AK55" s="5"/>
      <c r="AL55" s="5" t="s">
        <v>293</v>
      </c>
      <c r="AM55" s="5"/>
      <c r="AN55" s="5" t="s">
        <v>293</v>
      </c>
      <c r="AO55" s="5"/>
      <c r="AP55" s="5" t="s">
        <v>293</v>
      </c>
      <c r="AQ55" s="5"/>
      <c r="AR55" s="5" t="s">
        <v>293</v>
      </c>
    </row>
    <row r="56" spans="2:44" ht="12.75">
      <c r="B56" s="9" t="s">
        <v>286</v>
      </c>
      <c r="F56" s="5" t="s">
        <v>287</v>
      </c>
      <c r="G56" s="5"/>
      <c r="H56" s="5" t="s">
        <v>287</v>
      </c>
      <c r="I56" s="5"/>
      <c r="J56" s="5" t="s">
        <v>287</v>
      </c>
      <c r="K56" s="5"/>
      <c r="L56" s="5" t="s">
        <v>287</v>
      </c>
      <c r="M56" s="5"/>
      <c r="N56" s="5" t="s">
        <v>121</v>
      </c>
      <c r="P56" s="5" t="s">
        <v>121</v>
      </c>
      <c r="R56" s="5" t="s">
        <v>121</v>
      </c>
      <c r="T56" s="5" t="s">
        <v>121</v>
      </c>
      <c r="U56" s="5"/>
      <c r="V56" s="5" t="s">
        <v>288</v>
      </c>
      <c r="X56" s="5" t="s">
        <v>288</v>
      </c>
      <c r="Z56" s="5" t="s">
        <v>288</v>
      </c>
      <c r="AB56" s="5" t="s">
        <v>288</v>
      </c>
      <c r="AC56" s="5"/>
      <c r="AD56" s="5" t="s">
        <v>63</v>
      </c>
      <c r="AF56" s="5" t="s">
        <v>63</v>
      </c>
      <c r="AH56" s="5" t="s">
        <v>63</v>
      </c>
      <c r="AJ56" s="5" t="s">
        <v>63</v>
      </c>
      <c r="AK56" s="5"/>
      <c r="AL56" s="5" t="s">
        <v>29</v>
      </c>
      <c r="AM56" s="5"/>
      <c r="AN56" s="5" t="s">
        <v>29</v>
      </c>
      <c r="AO56" s="5"/>
      <c r="AP56" s="5" t="s">
        <v>29</v>
      </c>
      <c r="AQ56" s="5"/>
      <c r="AR56" s="5" t="s">
        <v>29</v>
      </c>
    </row>
    <row r="57" spans="2:44" ht="12.75">
      <c r="B57" s="9" t="s">
        <v>297</v>
      </c>
      <c r="F57" s="5" t="s">
        <v>298</v>
      </c>
      <c r="G57" s="5"/>
      <c r="H57" s="5" t="s">
        <v>298</v>
      </c>
      <c r="I57" s="5"/>
      <c r="J57" s="5" t="s">
        <v>298</v>
      </c>
      <c r="K57" s="5"/>
      <c r="L57" s="5" t="s">
        <v>298</v>
      </c>
      <c r="M57" s="5"/>
      <c r="N57" s="5" t="s">
        <v>121</v>
      </c>
      <c r="P57" s="5" t="s">
        <v>121</v>
      </c>
      <c r="R57" s="5" t="s">
        <v>121</v>
      </c>
      <c r="T57" s="5" t="s">
        <v>121</v>
      </c>
      <c r="U57" s="5"/>
      <c r="V57" s="5" t="s">
        <v>74</v>
      </c>
      <c r="X57" s="5" t="s">
        <v>74</v>
      </c>
      <c r="Z57" s="5" t="s">
        <v>74</v>
      </c>
      <c r="AB57" s="5" t="s">
        <v>74</v>
      </c>
      <c r="AC57" s="5"/>
      <c r="AD57" s="5" t="s">
        <v>63</v>
      </c>
      <c r="AF57" s="5" t="s">
        <v>63</v>
      </c>
      <c r="AH57" s="5" t="s">
        <v>63</v>
      </c>
      <c r="AJ57" s="5" t="s">
        <v>63</v>
      </c>
      <c r="AK57" s="5"/>
      <c r="AL57" s="5" t="s">
        <v>29</v>
      </c>
      <c r="AM57" s="5"/>
      <c r="AN57" s="5" t="s">
        <v>29</v>
      </c>
      <c r="AO57" s="5"/>
      <c r="AP57" s="5" t="s">
        <v>29</v>
      </c>
      <c r="AQ57" s="5"/>
      <c r="AR57" s="5" t="s">
        <v>29</v>
      </c>
    </row>
    <row r="58" spans="2:44" ht="12.75">
      <c r="B58" s="9" t="s">
        <v>105</v>
      </c>
      <c r="F58" s="5" t="s">
        <v>120</v>
      </c>
      <c r="G58" s="5"/>
      <c r="H58" s="5" t="s">
        <v>120</v>
      </c>
      <c r="I58" s="5"/>
      <c r="J58" s="5" t="s">
        <v>120</v>
      </c>
      <c r="K58" s="5"/>
      <c r="L58" s="5" t="s">
        <v>120</v>
      </c>
      <c r="M58" s="5"/>
      <c r="N58" s="5" t="s">
        <v>121</v>
      </c>
      <c r="P58" s="5" t="s">
        <v>121</v>
      </c>
      <c r="R58" s="5" t="s">
        <v>121</v>
      </c>
      <c r="T58" s="5" t="s">
        <v>121</v>
      </c>
      <c r="U58" s="5"/>
      <c r="V58" s="5" t="s">
        <v>134</v>
      </c>
      <c r="X58" s="5" t="s">
        <v>134</v>
      </c>
      <c r="Z58" s="5" t="s">
        <v>134</v>
      </c>
      <c r="AB58" s="5" t="s">
        <v>134</v>
      </c>
      <c r="AC58" s="5"/>
      <c r="AD58" s="5" t="s">
        <v>63</v>
      </c>
      <c r="AF58" s="5" t="s">
        <v>63</v>
      </c>
      <c r="AH58" s="5" t="s">
        <v>63</v>
      </c>
      <c r="AJ58" s="5" t="s">
        <v>63</v>
      </c>
      <c r="AK58" s="5"/>
      <c r="AL58" s="5" t="s">
        <v>29</v>
      </c>
      <c r="AM58" s="5"/>
      <c r="AN58" s="5" t="s">
        <v>29</v>
      </c>
      <c r="AO58" s="5"/>
      <c r="AP58" s="5" t="s">
        <v>29</v>
      </c>
      <c r="AQ58" s="5"/>
      <c r="AR58" s="5" t="s">
        <v>29</v>
      </c>
    </row>
    <row r="59" spans="2:36" ht="12.75">
      <c r="B59" s="9" t="s">
        <v>108</v>
      </c>
      <c r="D59" s="9" t="s">
        <v>119</v>
      </c>
      <c r="F59" s="78">
        <v>38300000</v>
      </c>
      <c r="G59" s="78"/>
      <c r="H59" s="78">
        <v>38800000</v>
      </c>
      <c r="I59" s="78"/>
      <c r="J59" s="78">
        <f>38370000</f>
        <v>38370000</v>
      </c>
      <c r="K59" s="78"/>
      <c r="L59" s="78">
        <f aca="true" t="shared" si="15" ref="L59:L68">AVERAGE(F59:J59)</f>
        <v>38490000</v>
      </c>
      <c r="M59" s="78"/>
      <c r="N59" s="78">
        <v>417000</v>
      </c>
      <c r="O59" s="78"/>
      <c r="P59" s="78">
        <v>489900</v>
      </c>
      <c r="Q59" s="78"/>
      <c r="R59" s="78">
        <v>671000</v>
      </c>
      <c r="S59" s="78"/>
      <c r="T59" s="78">
        <f>AVERAGE(N59:R59)</f>
        <v>525966.6666666666</v>
      </c>
      <c r="U59" s="78"/>
      <c r="V59" s="78">
        <v>2930000</v>
      </c>
      <c r="W59" s="78"/>
      <c r="X59" s="78">
        <v>2999000</v>
      </c>
      <c r="Y59" s="78"/>
      <c r="Z59" s="78">
        <v>2780000</v>
      </c>
      <c r="AA59" s="78"/>
      <c r="AB59" s="78">
        <f aca="true" t="shared" si="16" ref="AB59:AB68">AVERAGE(V59:Z59)</f>
        <v>2903000</v>
      </c>
      <c r="AC59" s="44"/>
      <c r="AD59"/>
      <c r="AE59"/>
      <c r="AF59"/>
      <c r="AG59"/>
      <c r="AH59"/>
      <c r="AI59"/>
      <c r="AJ59"/>
    </row>
    <row r="60" spans="2:36" ht="12.75">
      <c r="B60" s="9" t="s">
        <v>296</v>
      </c>
      <c r="D60" s="9" t="s">
        <v>212</v>
      </c>
      <c r="F60" s="78"/>
      <c r="G60" s="78"/>
      <c r="H60" s="78"/>
      <c r="I60" s="78"/>
      <c r="J60" s="78"/>
      <c r="K60" s="78"/>
      <c r="L60" s="78"/>
      <c r="M60" s="78"/>
      <c r="N60" s="78">
        <f>N61*1000000/N59*454</f>
        <v>11976.019184652278</v>
      </c>
      <c r="O60" s="78"/>
      <c r="P60" s="78">
        <f>P61*1000000/P59*454</f>
        <v>12140.028577260666</v>
      </c>
      <c r="Q60" s="78"/>
      <c r="R60" s="78">
        <f>R61*1000000/R59*454</f>
        <v>12111.177347242921</v>
      </c>
      <c r="S60" s="78"/>
      <c r="T60" s="78">
        <f>T61*1000000/T59*454</f>
        <v>12084.415995943977</v>
      </c>
      <c r="U60" s="78"/>
      <c r="V60" s="78">
        <f>V61*1000000/V59*454</f>
        <v>13325.597269624574</v>
      </c>
      <c r="W60" s="78"/>
      <c r="X60" s="78">
        <f>X61*1000000/X59*454</f>
        <v>11807.935978659552</v>
      </c>
      <c r="Y60" s="78"/>
      <c r="Z60" s="78">
        <f>Z61*1000000/Z59*454</f>
        <v>11594.964028776978</v>
      </c>
      <c r="AA60" s="78"/>
      <c r="AB60" s="78">
        <f>AB61*1000000/AB59*454</f>
        <v>12250.545412791364</v>
      </c>
      <c r="AC60" s="44"/>
      <c r="AD60"/>
      <c r="AE60"/>
      <c r="AF60"/>
      <c r="AG60"/>
      <c r="AH60"/>
      <c r="AI60"/>
      <c r="AJ60"/>
    </row>
    <row r="61" spans="2:44" ht="12.75">
      <c r="B61" s="9" t="s">
        <v>137</v>
      </c>
      <c r="D61" s="9" t="s">
        <v>68</v>
      </c>
      <c r="F61" s="78">
        <v>0</v>
      </c>
      <c r="G61" s="78"/>
      <c r="H61" s="78">
        <v>0</v>
      </c>
      <c r="I61" s="78"/>
      <c r="J61" s="78">
        <v>0</v>
      </c>
      <c r="K61" s="78"/>
      <c r="L61" s="78">
        <f t="shared" si="15"/>
        <v>0</v>
      </c>
      <c r="M61" s="78"/>
      <c r="N61" s="78">
        <v>11</v>
      </c>
      <c r="O61" s="78"/>
      <c r="P61" s="78">
        <v>13.1</v>
      </c>
      <c r="Q61" s="78"/>
      <c r="R61" s="78">
        <v>17.9</v>
      </c>
      <c r="S61" s="78"/>
      <c r="T61" s="78">
        <f>AVERAGE(N61:R61)</f>
        <v>14</v>
      </c>
      <c r="U61" s="78"/>
      <c r="V61" s="78">
        <v>86</v>
      </c>
      <c r="W61" s="78"/>
      <c r="X61" s="78">
        <v>78</v>
      </c>
      <c r="Y61" s="78"/>
      <c r="Z61" s="78">
        <v>71</v>
      </c>
      <c r="AA61" s="78"/>
      <c r="AB61" s="78">
        <f t="shared" si="16"/>
        <v>78.33333333333333</v>
      </c>
      <c r="AC61" s="44"/>
      <c r="AD61"/>
      <c r="AE61"/>
      <c r="AF61"/>
      <c r="AG61"/>
      <c r="AH61"/>
      <c r="AI61"/>
      <c r="AJ61"/>
      <c r="AK61" s="38"/>
      <c r="AL61" s="58">
        <f>AD61+V61+N61+F61</f>
        <v>97</v>
      </c>
      <c r="AM61" s="58"/>
      <c r="AN61" s="58">
        <f>AF61+X61+P61+H61</f>
        <v>91.1</v>
      </c>
      <c r="AO61" s="58"/>
      <c r="AP61" s="58">
        <f>AH61+Z61+R61+J61</f>
        <v>88.9</v>
      </c>
      <c r="AQ61" s="58"/>
      <c r="AR61" s="58">
        <f>AJ61+AB61+T61+L61</f>
        <v>92.33333333333333</v>
      </c>
    </row>
    <row r="62" spans="2:43" ht="12.75">
      <c r="B62" s="9" t="s">
        <v>20</v>
      </c>
      <c r="D62" s="9" t="s">
        <v>119</v>
      </c>
      <c r="F62" s="78">
        <f>F59*0.0001</f>
        <v>3830</v>
      </c>
      <c r="G62" s="78"/>
      <c r="H62" s="78">
        <f>H59*AVERAGE(0.0001,0.0001)</f>
        <v>3880</v>
      </c>
      <c r="I62" s="78"/>
      <c r="J62" s="78">
        <f>J59*0.0001</f>
        <v>3837</v>
      </c>
      <c r="K62" s="78"/>
      <c r="L62" s="78">
        <f t="shared" si="15"/>
        <v>3849</v>
      </c>
      <c r="M62" s="78"/>
      <c r="N62" s="78">
        <f>N59*0.002</f>
        <v>834</v>
      </c>
      <c r="O62" s="78"/>
      <c r="P62" s="78">
        <f>P59*AVERAGE(0.0019,0.0017)</f>
        <v>881.8199999999999</v>
      </c>
      <c r="Q62" s="78"/>
      <c r="R62" s="78">
        <f>R59*0.0019</f>
        <v>1274.9</v>
      </c>
      <c r="S62" s="78"/>
      <c r="T62" s="78">
        <f aca="true" t="shared" si="17" ref="T62:T68">AVERAGE(N62:R62)</f>
        <v>996.9066666666668</v>
      </c>
      <c r="U62" s="78"/>
      <c r="V62" s="78">
        <f>V59*0.0077</f>
        <v>22561</v>
      </c>
      <c r="W62" s="78"/>
      <c r="X62" s="78">
        <f>X59*AVERAGE(0.0036,0.0052)</f>
        <v>13195.599999999999</v>
      </c>
      <c r="Y62" s="78"/>
      <c r="Z62" s="78">
        <f>Z59*0.0051</f>
        <v>14178.000000000002</v>
      </c>
      <c r="AA62" s="78"/>
      <c r="AB62" s="78">
        <f t="shared" si="16"/>
        <v>16644.866666666665</v>
      </c>
      <c r="AC62" s="1"/>
      <c r="AD62"/>
      <c r="AE62"/>
      <c r="AF62"/>
      <c r="AG62"/>
      <c r="AH62"/>
      <c r="AI62"/>
      <c r="AJ62" s="44"/>
      <c r="AK62" s="38"/>
      <c r="AL62" s="38"/>
      <c r="AM62" s="38"/>
      <c r="AN62" s="38"/>
      <c r="AO62" s="38"/>
      <c r="AP62" s="38"/>
      <c r="AQ62" s="38"/>
    </row>
    <row r="63" spans="2:43" ht="12.75">
      <c r="B63" s="9" t="s">
        <v>95</v>
      </c>
      <c r="D63" s="9" t="s">
        <v>119</v>
      </c>
      <c r="F63" s="1">
        <f>F59*0.51/1000000</f>
        <v>19.533</v>
      </c>
      <c r="G63" s="1"/>
      <c r="H63" s="1">
        <f>H59*AVERAGE(0.5,10.6)/1000000</f>
        <v>215.34</v>
      </c>
      <c r="I63" s="1"/>
      <c r="J63" s="1">
        <f>J59*0.5/1000000</f>
        <v>19.185</v>
      </c>
      <c r="K63" s="1"/>
      <c r="L63" s="23">
        <f t="shared" si="15"/>
        <v>84.68599999999999</v>
      </c>
      <c r="M63" s="23"/>
      <c r="N63" s="1">
        <f>N59*17.6/1000000</f>
        <v>7.339200000000001</v>
      </c>
      <c r="O63" s="1"/>
      <c r="P63" s="1">
        <f>P59*AVERAGE(15.7,15.2)/1000000</f>
        <v>7.568955</v>
      </c>
      <c r="Q63" s="1"/>
      <c r="R63" s="1">
        <f>R59*0.749/1000000</f>
        <v>0.502579</v>
      </c>
      <c r="S63" s="1"/>
      <c r="T63" s="1">
        <f t="shared" si="17"/>
        <v>5.136911333333334</v>
      </c>
      <c r="U63" s="1"/>
      <c r="V63" s="1">
        <f>V59*1.33/1000000</f>
        <v>3.8969</v>
      </c>
      <c r="W63" s="1"/>
      <c r="X63" s="1">
        <f>X59*AVERAGE(1.4,1.61)/1000000</f>
        <v>4.513495</v>
      </c>
      <c r="Y63" s="1"/>
      <c r="Z63" s="1">
        <f>Z59*2.77/1000000</f>
        <v>7.7006</v>
      </c>
      <c r="AA63" s="1"/>
      <c r="AB63" s="1">
        <f t="shared" si="16"/>
        <v>5.370331666666666</v>
      </c>
      <c r="AC63" s="1"/>
      <c r="AD63"/>
      <c r="AE63"/>
      <c r="AF63"/>
      <c r="AG63"/>
      <c r="AH63"/>
      <c r="AI63"/>
      <c r="AJ63" s="44"/>
      <c r="AK63" s="38"/>
      <c r="AL63" s="38"/>
      <c r="AM63" s="38"/>
      <c r="AN63" s="38"/>
      <c r="AO63" s="38"/>
      <c r="AP63" s="38"/>
      <c r="AQ63" s="38"/>
    </row>
    <row r="64" spans="2:43" ht="12.75">
      <c r="B64" s="9" t="s">
        <v>97</v>
      </c>
      <c r="D64" s="9" t="s">
        <v>119</v>
      </c>
      <c r="F64" s="1">
        <f>F59*0.166/1000000</f>
        <v>6.3578</v>
      </c>
      <c r="G64" s="1"/>
      <c r="H64" s="1">
        <f>H59*AVERAGE(0.161,1.09)/1000000</f>
        <v>24.269400000000005</v>
      </c>
      <c r="I64" s="1"/>
      <c r="J64" s="1">
        <f>J59*0.163/1000000</f>
        <v>6.25431</v>
      </c>
      <c r="K64" s="1"/>
      <c r="L64" s="23">
        <f t="shared" si="15"/>
        <v>12.29383666666667</v>
      </c>
      <c r="M64" s="23"/>
      <c r="N64" s="1">
        <f>N59*1.87/1000000</f>
        <v>0.77979</v>
      </c>
      <c r="O64" s="1"/>
      <c r="P64" s="1">
        <f>P59*AVERAGE(1.75,1.58)/1000000</f>
        <v>0.8156835</v>
      </c>
      <c r="Q64" s="1"/>
      <c r="R64" s="1">
        <f>R59*0.263/1000000</f>
        <v>0.176473</v>
      </c>
      <c r="S64" s="1"/>
      <c r="T64" s="1">
        <f t="shared" si="17"/>
        <v>0.5906488333333333</v>
      </c>
      <c r="U64" s="1"/>
      <c r="V64" s="1">
        <f>V59*0.005/1000000</f>
        <v>0.01465</v>
      </c>
      <c r="W64" s="1"/>
      <c r="X64" s="1">
        <f>X59*AVERAGE(0.005,0.005)/1000000</f>
        <v>0.014995</v>
      </c>
      <c r="Y64" s="1"/>
      <c r="Z64" s="1">
        <f>Z59*0.0104/1000000</f>
        <v>0.028912</v>
      </c>
      <c r="AA64" s="1"/>
      <c r="AB64" s="1">
        <f t="shared" si="16"/>
        <v>0.019518999999999998</v>
      </c>
      <c r="AC64" s="1"/>
      <c r="AD64"/>
      <c r="AE64"/>
      <c r="AF64"/>
      <c r="AG64"/>
      <c r="AH64"/>
      <c r="AI64"/>
      <c r="AJ64" s="44"/>
      <c r="AK64" s="38"/>
      <c r="AL64" s="38"/>
      <c r="AM64" s="38"/>
      <c r="AN64" s="38"/>
      <c r="AO64" s="38"/>
      <c r="AP64" s="38"/>
      <c r="AQ64" s="38"/>
    </row>
    <row r="65" spans="2:43" ht="12.75">
      <c r="B65" s="9" t="s">
        <v>102</v>
      </c>
      <c r="D65" s="9" t="s">
        <v>119</v>
      </c>
      <c r="F65" s="1">
        <f>F59*0.5/1000000</f>
        <v>19.15</v>
      </c>
      <c r="G65" s="1"/>
      <c r="H65" s="1">
        <f>H59*AVERAGE(0.5,0.5)/1000000</f>
        <v>19.4</v>
      </c>
      <c r="I65" s="1"/>
      <c r="J65" s="1">
        <f>J59*0.5/1000000</f>
        <v>19.185</v>
      </c>
      <c r="K65" s="1"/>
      <c r="L65" s="23">
        <f t="shared" si="15"/>
        <v>19.245</v>
      </c>
      <c r="M65" s="23"/>
      <c r="N65" s="1">
        <f>N59*0.5/1000000</f>
        <v>0.2085</v>
      </c>
      <c r="O65" s="1"/>
      <c r="P65" s="1">
        <f>P59*AVERAGE(0.5,0.5)/1000000</f>
        <v>0.24495</v>
      </c>
      <c r="Q65" s="1"/>
      <c r="R65" s="1">
        <f>R59*0.5/1000000</f>
        <v>0.3355</v>
      </c>
      <c r="S65" s="1"/>
      <c r="T65" s="1">
        <f t="shared" si="17"/>
        <v>0.26298333333333335</v>
      </c>
      <c r="U65" s="1"/>
      <c r="V65" s="1">
        <f>V59*52.6/1000000</f>
        <v>154.118</v>
      </c>
      <c r="W65" s="1"/>
      <c r="X65" s="1">
        <f>X59*AVERAGE(47,55.5)/1000000</f>
        <v>153.69875</v>
      </c>
      <c r="Y65" s="1"/>
      <c r="Z65" s="1">
        <f>Z59*6.77/1000000</f>
        <v>18.8206</v>
      </c>
      <c r="AA65" s="1"/>
      <c r="AB65" s="1">
        <f t="shared" si="16"/>
        <v>108.87911666666666</v>
      </c>
      <c r="AC65" s="1"/>
      <c r="AD65"/>
      <c r="AE65"/>
      <c r="AF65"/>
      <c r="AG65"/>
      <c r="AH65"/>
      <c r="AI65"/>
      <c r="AJ65" s="44"/>
      <c r="AK65" s="38"/>
      <c r="AL65" s="38"/>
      <c r="AM65" s="38"/>
      <c r="AN65" s="38"/>
      <c r="AO65" s="38"/>
      <c r="AP65" s="38"/>
      <c r="AQ65" s="38"/>
    </row>
    <row r="66" spans="2:43" ht="12.75">
      <c r="B66" s="9" t="s">
        <v>104</v>
      </c>
      <c r="D66" s="9" t="s">
        <v>119</v>
      </c>
      <c r="F66" s="1">
        <f>F59*2.17/1000000</f>
        <v>83.111</v>
      </c>
      <c r="G66" s="1"/>
      <c r="H66" s="1">
        <f>H59*AVERAGE(1.74,2.88)/1000000</f>
        <v>89.628</v>
      </c>
      <c r="I66" s="1"/>
      <c r="J66" s="1">
        <f>J59*2.09/1000000</f>
        <v>80.1933</v>
      </c>
      <c r="K66" s="1"/>
      <c r="L66" s="23">
        <f t="shared" si="15"/>
        <v>84.31076666666667</v>
      </c>
      <c r="M66" s="23"/>
      <c r="N66" s="1">
        <f>N59*9.6/1000000</f>
        <v>4.0032</v>
      </c>
      <c r="O66" s="1"/>
      <c r="P66" s="1">
        <f>P59*AVERAGE(5.91,5.18)/1000000</f>
        <v>2.7164955</v>
      </c>
      <c r="Q66" s="1"/>
      <c r="R66" s="1">
        <f>R59*3.18/1000000</f>
        <v>2.13378</v>
      </c>
      <c r="S66" s="1"/>
      <c r="T66" s="1">
        <f t="shared" si="17"/>
        <v>2.9511585</v>
      </c>
      <c r="U66" s="1"/>
      <c r="V66" s="1">
        <f>V59*13.4/1000000</f>
        <v>39.262</v>
      </c>
      <c r="W66" s="1"/>
      <c r="X66" s="1">
        <f>X59*AVERAGE(13.6,23.9)/1000000</f>
        <v>56.23125</v>
      </c>
      <c r="Y66" s="1"/>
      <c r="Z66" s="1">
        <f>Z59*25.4/1000000</f>
        <v>70.612</v>
      </c>
      <c r="AA66" s="1"/>
      <c r="AB66" s="1">
        <f t="shared" si="16"/>
        <v>55.36841666666667</v>
      </c>
      <c r="AC66" s="1"/>
      <c r="AD66">
        <f>6.11*454</f>
        <v>2773.94</v>
      </c>
      <c r="AE66"/>
      <c r="AF66">
        <f>6.11*454</f>
        <v>2773.94</v>
      </c>
      <c r="AG66"/>
      <c r="AH66">
        <f>6.42*454</f>
        <v>2914.68</v>
      </c>
      <c r="AI66"/>
      <c r="AJ66" s="44">
        <f>AVERAGE(AD66:AH66)</f>
        <v>2820.853333333333</v>
      </c>
      <c r="AK66" s="38"/>
      <c r="AL66" s="38"/>
      <c r="AM66" s="38"/>
      <c r="AN66" s="38"/>
      <c r="AO66" s="38"/>
      <c r="AP66" s="38"/>
      <c r="AQ66" s="38"/>
    </row>
    <row r="67" spans="2:43" ht="12.75">
      <c r="B67" s="9" t="s">
        <v>100</v>
      </c>
      <c r="D67" s="9" t="s">
        <v>119</v>
      </c>
      <c r="F67" s="1">
        <f>F59*2.05/1000000</f>
        <v>78.515</v>
      </c>
      <c r="G67" s="1"/>
      <c r="H67" s="1">
        <f>H59*AVERAGE(1.96,9.94)/1000000</f>
        <v>230.85999999999996</v>
      </c>
      <c r="I67" s="1"/>
      <c r="J67" s="1">
        <f>J59*2.01/1000000</f>
        <v>77.12369999999999</v>
      </c>
      <c r="K67" s="1"/>
      <c r="L67" s="23">
        <f t="shared" si="15"/>
        <v>128.83289999999997</v>
      </c>
      <c r="M67" s="23"/>
      <c r="N67" s="1">
        <f>N59*16.1/1000000</f>
        <v>6.713700000000001</v>
      </c>
      <c r="O67" s="1"/>
      <c r="P67" s="1">
        <f>P59*AVERAGE(14.4,13.7)/1000000</f>
        <v>6.883095</v>
      </c>
      <c r="Q67" s="1"/>
      <c r="R67" s="1">
        <f>R59*3.21/1000000</f>
        <v>2.15391</v>
      </c>
      <c r="S67" s="1"/>
      <c r="T67" s="1">
        <f t="shared" si="17"/>
        <v>5.250235</v>
      </c>
      <c r="U67" s="1"/>
      <c r="V67" s="1">
        <f>V59*30.8/1000000</f>
        <v>90.244</v>
      </c>
      <c r="W67" s="1"/>
      <c r="X67" s="1">
        <f>X59*AVERAGE(29.3,53.5)/1000000</f>
        <v>124.1586</v>
      </c>
      <c r="Y67" s="1"/>
      <c r="Z67" s="1">
        <f>Z59*166/1000000</f>
        <v>461.48</v>
      </c>
      <c r="AA67" s="1"/>
      <c r="AB67" s="1">
        <f t="shared" si="16"/>
        <v>225.29420000000002</v>
      </c>
      <c r="AC67" s="1"/>
      <c r="AD67">
        <f>5.54*454</f>
        <v>2515.16</v>
      </c>
      <c r="AE67"/>
      <c r="AF67">
        <f>5.54*454</f>
        <v>2515.16</v>
      </c>
      <c r="AG67"/>
      <c r="AH67">
        <f>4.92*454</f>
        <v>2233.68</v>
      </c>
      <c r="AI67"/>
      <c r="AJ67" s="44">
        <f>AVERAGE(AD67:AH67)</f>
        <v>2421.3333333333335</v>
      </c>
      <c r="AK67" s="38"/>
      <c r="AL67" s="38"/>
      <c r="AM67" s="38"/>
      <c r="AN67" s="38"/>
      <c r="AO67" s="38"/>
      <c r="AP67" s="38"/>
      <c r="AQ67" s="38"/>
    </row>
    <row r="68" spans="2:43" ht="12.75">
      <c r="B68" s="9" t="s">
        <v>107</v>
      </c>
      <c r="D68" s="9" t="s">
        <v>119</v>
      </c>
      <c r="F68" s="1">
        <f>F59*0.04/1000000</f>
        <v>1.532</v>
      </c>
      <c r="G68" s="1"/>
      <c r="H68" s="1">
        <f>H59*AVERAGE(0.04,0.04)/1000000</f>
        <v>1.552</v>
      </c>
      <c r="I68" s="1"/>
      <c r="J68" s="1">
        <f>J59*0.04/1000000</f>
        <v>1.5348</v>
      </c>
      <c r="K68" s="1"/>
      <c r="L68" s="23">
        <f t="shared" si="15"/>
        <v>1.5396</v>
      </c>
      <c r="M68" s="23"/>
      <c r="N68" s="1">
        <f>N59*0.4/1000000</f>
        <v>0.1668</v>
      </c>
      <c r="O68" s="1"/>
      <c r="P68" s="1">
        <f>P59*AVERAGE(0.3,0.3)/1000000</f>
        <v>0.14697</v>
      </c>
      <c r="Q68" s="1"/>
      <c r="R68" s="1">
        <f>R59*0.3/1000000</f>
        <v>0.2013</v>
      </c>
      <c r="S68" s="1"/>
      <c r="T68" s="1">
        <f t="shared" si="17"/>
        <v>0.17169</v>
      </c>
      <c r="U68" s="1"/>
      <c r="V68" s="1">
        <f>V59*0.035/1000000</f>
        <v>0.10255000000000002</v>
      </c>
      <c r="W68" s="1"/>
      <c r="X68" s="1">
        <f>X59*AVERAGE(0.03,0.03)/1000000</f>
        <v>0.08997</v>
      </c>
      <c r="Y68" s="1"/>
      <c r="Z68" s="1">
        <f>Z59*0.42/1000000</f>
        <v>1.1676</v>
      </c>
      <c r="AA68" s="1"/>
      <c r="AB68" s="1">
        <f t="shared" si="16"/>
        <v>0.45337333333333335</v>
      </c>
      <c r="AC68" s="1"/>
      <c r="AD68"/>
      <c r="AE68"/>
      <c r="AF68"/>
      <c r="AG68"/>
      <c r="AH68"/>
      <c r="AI68"/>
      <c r="AJ68" s="44"/>
      <c r="AK68" s="38"/>
      <c r="AL68" s="38"/>
      <c r="AM68" s="38"/>
      <c r="AN68" s="38"/>
      <c r="AO68" s="38"/>
      <c r="AP68" s="38"/>
      <c r="AQ68" s="38"/>
    </row>
    <row r="70" spans="2:44" ht="12.75">
      <c r="B70" s="16" t="s">
        <v>67</v>
      </c>
      <c r="D70" s="9" t="s">
        <v>15</v>
      </c>
      <c r="F70" s="78">
        <f>'emiss 1'!$G$130</f>
        <v>57523</v>
      </c>
      <c r="G70" s="78"/>
      <c r="H70" s="78">
        <f>'emiss 1'!$I$130</f>
        <v>54332</v>
      </c>
      <c r="I70" s="78"/>
      <c r="J70" s="78">
        <f>'emiss 1'!$K$130</f>
        <v>55356</v>
      </c>
      <c r="K70" s="78"/>
      <c r="L70" s="78">
        <f>'emiss 1'!$M$130</f>
        <v>55737</v>
      </c>
      <c r="M70" s="78"/>
      <c r="N70" s="78">
        <f>'emiss 1'!$G$130</f>
        <v>57523</v>
      </c>
      <c r="O70" s="78"/>
      <c r="P70" s="78">
        <f>'emiss 1'!$I$130</f>
        <v>54332</v>
      </c>
      <c r="Q70" s="78"/>
      <c r="R70" s="78">
        <f>'emiss 1'!$K$130</f>
        <v>55356</v>
      </c>
      <c r="S70" s="78"/>
      <c r="T70" s="78">
        <f>'emiss 1'!$M$130</f>
        <v>55737</v>
      </c>
      <c r="U70" s="78"/>
      <c r="V70" s="78">
        <f>'emiss 1'!$G$130</f>
        <v>57523</v>
      </c>
      <c r="W70" s="78"/>
      <c r="X70" s="78">
        <f>'emiss 1'!$I$130</f>
        <v>54332</v>
      </c>
      <c r="Y70" s="78"/>
      <c r="Z70" s="78">
        <f>'emiss 1'!$K$130</f>
        <v>55356</v>
      </c>
      <c r="AA70" s="78"/>
      <c r="AB70" s="78">
        <f>'emiss 1'!$M$130</f>
        <v>55737</v>
      </c>
      <c r="AC70" s="78"/>
      <c r="AD70" s="78">
        <f>'emiss 1'!$G$130</f>
        <v>57523</v>
      </c>
      <c r="AE70" s="78"/>
      <c r="AF70" s="78">
        <f>'emiss 1'!$I$130</f>
        <v>54332</v>
      </c>
      <c r="AG70" s="78"/>
      <c r="AH70" s="78">
        <f>'emiss 1'!$K$130</f>
        <v>55356</v>
      </c>
      <c r="AI70" s="78"/>
      <c r="AJ70" s="78">
        <f>'emiss 1'!$M$130</f>
        <v>55737</v>
      </c>
      <c r="AK70" s="78"/>
      <c r="AL70" s="78">
        <f>'emiss 1'!$G$130</f>
        <v>57523</v>
      </c>
      <c r="AM70" s="78"/>
      <c r="AN70" s="78">
        <f>'emiss 1'!$I$130</f>
        <v>54332</v>
      </c>
      <c r="AO70" s="78"/>
      <c r="AP70" s="78">
        <f>'emiss 1'!$K$130</f>
        <v>55356</v>
      </c>
      <c r="AQ70" s="78"/>
      <c r="AR70" s="78">
        <f>'emiss 1'!$M$130</f>
        <v>55737</v>
      </c>
    </row>
    <row r="71" spans="2:44" ht="12.75">
      <c r="B71" s="16" t="s">
        <v>60</v>
      </c>
      <c r="D71" s="9" t="s">
        <v>13</v>
      </c>
      <c r="F71" s="1">
        <f>'emiss 1'!$G$131</f>
        <v>13.1</v>
      </c>
      <c r="G71" s="1"/>
      <c r="H71">
        <f>'emiss 1'!$I$131</f>
        <v>12.9</v>
      </c>
      <c r="I71"/>
      <c r="J71">
        <f>'emiss 1'!$K$131</f>
        <v>12.6</v>
      </c>
      <c r="K71"/>
      <c r="L71" s="1">
        <f>'emiss 1'!$M$131</f>
        <v>12.866666666666667</v>
      </c>
      <c r="M71" s="1"/>
      <c r="N71" s="1">
        <f>'emiss 1'!$G$131</f>
        <v>13.1</v>
      </c>
      <c r="O71" s="1"/>
      <c r="P71">
        <f>'emiss 1'!$I$131</f>
        <v>12.9</v>
      </c>
      <c r="Q71"/>
      <c r="R71">
        <f>'emiss 1'!$K$131</f>
        <v>12.6</v>
      </c>
      <c r="S71"/>
      <c r="T71" s="1">
        <f>'emiss 1'!$M$131</f>
        <v>12.866666666666667</v>
      </c>
      <c r="U71" s="1"/>
      <c r="V71" s="1">
        <f>'emiss 1'!$G$131</f>
        <v>13.1</v>
      </c>
      <c r="W71" s="1"/>
      <c r="X71">
        <f>'emiss 1'!$I$131</f>
        <v>12.9</v>
      </c>
      <c r="Y71"/>
      <c r="Z71">
        <f>'emiss 1'!$K$131</f>
        <v>12.6</v>
      </c>
      <c r="AA71"/>
      <c r="AB71" s="1">
        <f>'emiss 1'!$M$131</f>
        <v>12.866666666666667</v>
      </c>
      <c r="AC71" s="1"/>
      <c r="AD71" s="1">
        <f>'emiss 1'!$G$131</f>
        <v>13.1</v>
      </c>
      <c r="AE71" s="1"/>
      <c r="AF71">
        <f>'emiss 1'!$I$131</f>
        <v>12.9</v>
      </c>
      <c r="AG71"/>
      <c r="AH71">
        <f>'emiss 1'!$K$131</f>
        <v>12.6</v>
      </c>
      <c r="AI71"/>
      <c r="AJ71" s="1">
        <f>'emiss 1'!$M$131</f>
        <v>12.866666666666667</v>
      </c>
      <c r="AK71"/>
      <c r="AL71" s="1">
        <f>'emiss 1'!$G$131</f>
        <v>13.1</v>
      </c>
      <c r="AM71" s="1"/>
      <c r="AN71">
        <f>'emiss 1'!$I$131</f>
        <v>12.9</v>
      </c>
      <c r="AO71"/>
      <c r="AP71">
        <f>'emiss 1'!$K$131</f>
        <v>12.6</v>
      </c>
      <c r="AQ71"/>
      <c r="AR71" s="1">
        <f>'emiss 1'!$M$131</f>
        <v>12.866666666666667</v>
      </c>
    </row>
    <row r="72" ht="12.75">
      <c r="AR72" s="14"/>
    </row>
    <row r="73" spans="2:44" ht="12.75">
      <c r="B73" s="41" t="s">
        <v>85</v>
      </c>
      <c r="C73" s="41"/>
      <c r="AR73" s="14"/>
    </row>
    <row r="74" spans="2:44" ht="12.75">
      <c r="B74" s="9" t="s">
        <v>20</v>
      </c>
      <c r="D74" s="9" t="s">
        <v>65</v>
      </c>
      <c r="F74" s="80">
        <f aca="true" t="shared" si="18" ref="F74:J80">F62*1000000/F$70/60/0.0283*(21-7)/(21-F$71)</f>
        <v>69489.71087195682</v>
      </c>
      <c r="G74" s="80"/>
      <c r="H74" s="80">
        <f t="shared" si="18"/>
        <v>72691.12068550593</v>
      </c>
      <c r="I74" s="80"/>
      <c r="J74" s="80">
        <f t="shared" si="18"/>
        <v>68035.90440324544</v>
      </c>
      <c r="K74" s="80"/>
      <c r="L74" s="80">
        <f aca="true" t="shared" si="19" ref="L74:AJ74">L62*1000000/L$70/60/0.0283*(21-7)/(21-L$71)</f>
        <v>70004.52284872018</v>
      </c>
      <c r="M74" s="80"/>
      <c r="N74" s="80">
        <f t="shared" si="19"/>
        <v>15131.70205410235</v>
      </c>
      <c r="O74" s="80"/>
      <c r="P74" s="80">
        <f t="shared" si="19"/>
        <v>16520.74331002392</v>
      </c>
      <c r="Q74" s="80"/>
      <c r="R74" s="80">
        <f t="shared" si="19"/>
        <v>22605.9355026577</v>
      </c>
      <c r="S74" s="80"/>
      <c r="T74" s="80">
        <f t="shared" si="19"/>
        <v>18131.456358718668</v>
      </c>
      <c r="U74" s="80"/>
      <c r="V74" s="80">
        <f t="shared" si="19"/>
        <v>409336.12714940414</v>
      </c>
      <c r="W74" s="80"/>
      <c r="X74" s="80">
        <f t="shared" si="19"/>
        <v>247217.2557004283</v>
      </c>
      <c r="Y74" s="80"/>
      <c r="Z74" s="80">
        <f t="shared" si="19"/>
        <v>251397.72025780924</v>
      </c>
      <c r="AA74" s="80"/>
      <c r="AB74" s="80">
        <f t="shared" si="19"/>
        <v>302732.1249364945</v>
      </c>
      <c r="AC74" s="80"/>
      <c r="AD74" s="80">
        <f t="shared" si="19"/>
        <v>0</v>
      </c>
      <c r="AE74" s="80"/>
      <c r="AF74" s="80">
        <f t="shared" si="19"/>
        <v>0</v>
      </c>
      <c r="AG74" s="80"/>
      <c r="AH74" s="80">
        <f t="shared" si="19"/>
        <v>0</v>
      </c>
      <c r="AI74" s="80"/>
      <c r="AJ74" s="80">
        <f t="shared" si="19"/>
        <v>0</v>
      </c>
      <c r="AK74" s="80"/>
      <c r="AL74" s="81">
        <f aca="true" t="shared" si="20" ref="AL74:AL80">AD74+V74+N74+F74</f>
        <v>493957.5400754633</v>
      </c>
      <c r="AM74" s="81"/>
      <c r="AN74" s="81">
        <f aca="true" t="shared" si="21" ref="AN74:AN80">AF74+X74+P74+H74</f>
        <v>336429.11969595816</v>
      </c>
      <c r="AO74" s="81"/>
      <c r="AP74" s="81">
        <f aca="true" t="shared" si="22" ref="AP74:AP80">AH74+Z74+R74+J74</f>
        <v>342039.56016371236</v>
      </c>
      <c r="AQ74" s="81"/>
      <c r="AR74" s="81">
        <f>AJ74+AB74+T74+L74</f>
        <v>390868.1041439334</v>
      </c>
    </row>
    <row r="75" spans="2:44" ht="12.75">
      <c r="B75" s="9" t="s">
        <v>95</v>
      </c>
      <c r="D75" s="9" t="s">
        <v>65</v>
      </c>
      <c r="F75" s="80">
        <f t="shared" si="18"/>
        <v>354.3975254469799</v>
      </c>
      <c r="G75" s="80"/>
      <c r="H75" s="80">
        <f t="shared" si="18"/>
        <v>4034.357198045579</v>
      </c>
      <c r="I75" s="80"/>
      <c r="J75" s="80">
        <f t="shared" si="18"/>
        <v>340.1795220162272</v>
      </c>
      <c r="K75" s="80"/>
      <c r="L75" s="80">
        <f aca="true" t="shared" si="23" ref="L75:R80">L63*1000000/L$70/60/0.0283*(21-7)/(21-L$71)</f>
        <v>1540.2450044080842</v>
      </c>
      <c r="M75" s="80"/>
      <c r="N75" s="80">
        <f t="shared" si="23"/>
        <v>133.1589780761007</v>
      </c>
      <c r="O75" s="80"/>
      <c r="P75" s="80">
        <f t="shared" si="23"/>
        <v>141.80304674437204</v>
      </c>
      <c r="Q75" s="80"/>
      <c r="R75" s="80">
        <f t="shared" si="23"/>
        <v>8.911497732363483</v>
      </c>
      <c r="S75" s="80"/>
      <c r="T75" s="80">
        <f aca="true" t="shared" si="24" ref="T75:Z80">T63*1000000/T$70/60/0.0283*(21-7)/(21-T$71)</f>
        <v>93.42868973920058</v>
      </c>
      <c r="U75" s="80"/>
      <c r="V75" s="80">
        <f t="shared" si="24"/>
        <v>70.70351287126074</v>
      </c>
      <c r="W75" s="80"/>
      <c r="X75" s="80">
        <f t="shared" si="24"/>
        <v>84.55953859753289</v>
      </c>
      <c r="Y75" s="80"/>
      <c r="Z75" s="80">
        <f t="shared" si="24"/>
        <v>136.54346766943752</v>
      </c>
      <c r="AA75" s="80"/>
      <c r="AB75" s="80">
        <f aca="true" t="shared" si="25" ref="AB75:AH80">AB63*1000000/AB$70/60/0.0283*(21-7)/(21-AB$71)</f>
        <v>97.67407271093066</v>
      </c>
      <c r="AC75" s="80"/>
      <c r="AD75" s="80">
        <f t="shared" si="25"/>
        <v>0</v>
      </c>
      <c r="AE75" s="80"/>
      <c r="AF75" s="80">
        <f t="shared" si="25"/>
        <v>0</v>
      </c>
      <c r="AG75" s="80"/>
      <c r="AH75" s="80">
        <f t="shared" si="25"/>
        <v>0</v>
      </c>
      <c r="AI75" s="80"/>
      <c r="AJ75" s="80">
        <f aca="true" t="shared" si="26" ref="AJ75:AJ80">AJ63*1000000/AJ$70/60/0.0283*(21-7)/(21-AJ$71)</f>
        <v>0</v>
      </c>
      <c r="AK75" s="80"/>
      <c r="AL75" s="81">
        <f t="shared" si="20"/>
        <v>558.2600163943414</v>
      </c>
      <c r="AM75" s="81"/>
      <c r="AN75" s="81">
        <f t="shared" si="21"/>
        <v>4260.719783387484</v>
      </c>
      <c r="AO75" s="81"/>
      <c r="AP75" s="81">
        <f t="shared" si="22"/>
        <v>485.63448741802824</v>
      </c>
      <c r="AQ75" s="81"/>
      <c r="AR75" s="81">
        <f aca="true" t="shared" si="27" ref="AR75:AR80">AJ75+AB75+T75+L75</f>
        <v>1731.3477668582154</v>
      </c>
    </row>
    <row r="76" spans="2:44" ht="12.75">
      <c r="B76" s="9" t="s">
        <v>97</v>
      </c>
      <c r="D76" s="9" t="s">
        <v>65</v>
      </c>
      <c r="F76" s="80">
        <f t="shared" si="18"/>
        <v>115.35292004744834</v>
      </c>
      <c r="G76" s="80"/>
      <c r="H76" s="80">
        <f t="shared" si="18"/>
        <v>454.68295988783956</v>
      </c>
      <c r="I76" s="80"/>
      <c r="J76" s="80">
        <f t="shared" si="18"/>
        <v>110.89852417729004</v>
      </c>
      <c r="K76" s="80"/>
      <c r="L76" s="80">
        <f t="shared" si="23"/>
        <v>223.59682250717088</v>
      </c>
      <c r="M76" s="80"/>
      <c r="N76" s="80">
        <f t="shared" si="23"/>
        <v>14.148141420585695</v>
      </c>
      <c r="O76" s="80"/>
      <c r="P76" s="80">
        <f t="shared" si="23"/>
        <v>15.28168756177213</v>
      </c>
      <c r="Q76" s="80"/>
      <c r="R76" s="80">
        <f t="shared" si="23"/>
        <v>3.1291373879994606</v>
      </c>
      <c r="S76" s="80"/>
      <c r="T76" s="80">
        <f t="shared" si="24"/>
        <v>10.74255384480469</v>
      </c>
      <c r="U76" s="80"/>
      <c r="V76" s="80">
        <f t="shared" si="24"/>
        <v>0.26580267996714557</v>
      </c>
      <c r="W76" s="80"/>
      <c r="X76" s="80">
        <f t="shared" si="24"/>
        <v>0.28092869965957773</v>
      </c>
      <c r="Y76" s="80"/>
      <c r="Z76" s="80">
        <f t="shared" si="24"/>
        <v>0.5126541746433756</v>
      </c>
      <c r="AA76" s="80"/>
      <c r="AB76" s="80">
        <f t="shared" si="25"/>
        <v>0.35500604870983865</v>
      </c>
      <c r="AC76" s="80"/>
      <c r="AD76" s="80">
        <f t="shared" si="25"/>
        <v>0</v>
      </c>
      <c r="AE76" s="80"/>
      <c r="AF76" s="80">
        <f t="shared" si="25"/>
        <v>0</v>
      </c>
      <c r="AG76" s="80"/>
      <c r="AH76" s="80">
        <f t="shared" si="25"/>
        <v>0</v>
      </c>
      <c r="AI76" s="80"/>
      <c r="AJ76" s="80">
        <f t="shared" si="26"/>
        <v>0</v>
      </c>
      <c r="AK76" s="80"/>
      <c r="AL76" s="81">
        <f t="shared" si="20"/>
        <v>129.76686414800116</v>
      </c>
      <c r="AM76" s="81"/>
      <c r="AN76" s="81">
        <f t="shared" si="21"/>
        <v>470.24557614927124</v>
      </c>
      <c r="AO76" s="81"/>
      <c r="AP76" s="81">
        <f t="shared" si="22"/>
        <v>114.54031573993288</v>
      </c>
      <c r="AQ76" s="81"/>
      <c r="AR76" s="81">
        <f t="shared" si="27"/>
        <v>234.6943824006854</v>
      </c>
    </row>
    <row r="77" spans="2:44" ht="12.75">
      <c r="B77" s="9" t="s">
        <v>102</v>
      </c>
      <c r="D77" s="9" t="s">
        <v>65</v>
      </c>
      <c r="F77" s="80">
        <f t="shared" si="18"/>
        <v>347.44855435978417</v>
      </c>
      <c r="G77" s="80"/>
      <c r="H77" s="80">
        <f t="shared" si="18"/>
        <v>363.45560342752964</v>
      </c>
      <c r="I77" s="80"/>
      <c r="J77" s="80">
        <f t="shared" si="18"/>
        <v>340.1795220162272</v>
      </c>
      <c r="K77" s="80"/>
      <c r="L77" s="80">
        <f t="shared" si="23"/>
        <v>350.02261424360086</v>
      </c>
      <c r="M77" s="80"/>
      <c r="N77" s="80">
        <f t="shared" si="23"/>
        <v>3.7829255135255875</v>
      </c>
      <c r="O77" s="80"/>
      <c r="P77" s="80">
        <f t="shared" si="23"/>
        <v>4.589095363895534</v>
      </c>
      <c r="Q77" s="80"/>
      <c r="R77" s="80">
        <f t="shared" si="23"/>
        <v>5.9489303954362365</v>
      </c>
      <c r="S77" s="80"/>
      <c r="T77" s="80">
        <f t="shared" si="24"/>
        <v>4.783066450289927</v>
      </c>
      <c r="U77" s="80"/>
      <c r="V77" s="80">
        <f t="shared" si="24"/>
        <v>2796.2441932543716</v>
      </c>
      <c r="W77" s="80"/>
      <c r="X77" s="80">
        <f t="shared" si="24"/>
        <v>2879.519171510671</v>
      </c>
      <c r="Y77" s="80"/>
      <c r="Z77" s="80">
        <f t="shared" si="24"/>
        <v>333.71815022458196</v>
      </c>
      <c r="AA77" s="80"/>
      <c r="AB77" s="80">
        <f t="shared" si="25"/>
        <v>1980.2625644167667</v>
      </c>
      <c r="AC77" s="80"/>
      <c r="AD77" s="80">
        <f t="shared" si="25"/>
        <v>0</v>
      </c>
      <c r="AE77" s="80"/>
      <c r="AF77" s="80">
        <f t="shared" si="25"/>
        <v>0</v>
      </c>
      <c r="AG77" s="80"/>
      <c r="AH77" s="80">
        <f t="shared" si="25"/>
        <v>0</v>
      </c>
      <c r="AI77" s="80"/>
      <c r="AJ77" s="80">
        <f t="shared" si="26"/>
        <v>0</v>
      </c>
      <c r="AK77" s="80"/>
      <c r="AL77" s="81">
        <f t="shared" si="20"/>
        <v>3147.4756731276816</v>
      </c>
      <c r="AM77" s="81"/>
      <c r="AN77" s="81">
        <f t="shared" si="21"/>
        <v>3247.5638703020963</v>
      </c>
      <c r="AO77" s="81"/>
      <c r="AP77" s="81">
        <f t="shared" si="22"/>
        <v>679.8466026362455</v>
      </c>
      <c r="AQ77" s="81"/>
      <c r="AR77" s="81">
        <f t="shared" si="27"/>
        <v>2335.0682451106577</v>
      </c>
    </row>
    <row r="78" spans="2:44" ht="12.75">
      <c r="B78" s="9" t="s">
        <v>104</v>
      </c>
      <c r="D78" s="9" t="s">
        <v>65</v>
      </c>
      <c r="F78" s="80">
        <f t="shared" si="18"/>
        <v>1507.9267259214635</v>
      </c>
      <c r="G78" s="80"/>
      <c r="H78" s="80">
        <f t="shared" si="18"/>
        <v>1679.1648878351866</v>
      </c>
      <c r="I78" s="80"/>
      <c r="J78" s="80">
        <f t="shared" si="18"/>
        <v>1421.9504020278296</v>
      </c>
      <c r="K78" s="80"/>
      <c r="L78" s="80">
        <f t="shared" si="23"/>
        <v>1533.4203667211698</v>
      </c>
      <c r="M78" s="80"/>
      <c r="N78" s="80">
        <f t="shared" si="23"/>
        <v>72.63216985969125</v>
      </c>
      <c r="O78" s="80"/>
      <c r="P78" s="80">
        <f t="shared" si="23"/>
        <v>50.89306758560148</v>
      </c>
      <c r="Q78" s="80"/>
      <c r="R78" s="80">
        <f t="shared" si="23"/>
        <v>37.835197314974465</v>
      </c>
      <c r="S78" s="80"/>
      <c r="T78" s="80">
        <f t="shared" si="24"/>
        <v>53.67483570887107</v>
      </c>
      <c r="U78" s="80"/>
      <c r="V78" s="80">
        <f t="shared" si="24"/>
        <v>712.3511823119502</v>
      </c>
      <c r="W78" s="80"/>
      <c r="X78" s="80">
        <f t="shared" si="24"/>
        <v>1053.4826237234163</v>
      </c>
      <c r="Y78" s="80"/>
      <c r="Z78" s="80">
        <f t="shared" si="24"/>
        <v>1252.0592342251673</v>
      </c>
      <c r="AA78" s="80"/>
      <c r="AB78" s="80">
        <f t="shared" si="25"/>
        <v>1007.0250947360682</v>
      </c>
      <c r="AC78" s="80"/>
      <c r="AD78" s="80">
        <f t="shared" si="25"/>
        <v>50329.05706949242</v>
      </c>
      <c r="AE78" s="80"/>
      <c r="AF78" s="80">
        <f t="shared" si="25"/>
        <v>51969.28023565781</v>
      </c>
      <c r="AG78" s="80"/>
      <c r="AH78" s="80">
        <f t="shared" si="25"/>
        <v>51681.753934337095</v>
      </c>
      <c r="AI78" s="80"/>
      <c r="AJ78" s="80">
        <f t="shared" si="26"/>
        <v>51304.88220998228</v>
      </c>
      <c r="AK78" s="80"/>
      <c r="AL78" s="81">
        <f t="shared" si="20"/>
        <v>52621.96714758552</v>
      </c>
      <c r="AM78" s="81"/>
      <c r="AN78" s="81">
        <f t="shared" si="21"/>
        <v>54752.82081480201</v>
      </c>
      <c r="AO78" s="81"/>
      <c r="AP78" s="81">
        <f t="shared" si="22"/>
        <v>54393.598767905074</v>
      </c>
      <c r="AQ78" s="81"/>
      <c r="AR78" s="81">
        <f t="shared" si="27"/>
        <v>53899.00250714839</v>
      </c>
    </row>
    <row r="79" spans="2:44" ht="12.75">
      <c r="B79" s="9" t="s">
        <v>100</v>
      </c>
      <c r="D79" s="9" t="s">
        <v>65</v>
      </c>
      <c r="F79" s="80">
        <f t="shared" si="18"/>
        <v>1424.539072875115</v>
      </c>
      <c r="G79" s="80"/>
      <c r="H79" s="80">
        <f t="shared" si="18"/>
        <v>4325.121680787602</v>
      </c>
      <c r="I79" s="80"/>
      <c r="J79" s="80">
        <f t="shared" si="18"/>
        <v>1367.5216785052328</v>
      </c>
      <c r="K79" s="80"/>
      <c r="L79" s="80">
        <f t="shared" si="23"/>
        <v>2343.17632936266</v>
      </c>
      <c r="M79" s="80"/>
      <c r="N79" s="80">
        <f t="shared" si="23"/>
        <v>121.81020153552394</v>
      </c>
      <c r="O79" s="80"/>
      <c r="P79" s="80">
        <f t="shared" si="23"/>
        <v>128.95357972546455</v>
      </c>
      <c r="Q79" s="80"/>
      <c r="R79" s="80">
        <f t="shared" si="23"/>
        <v>38.19213313870064</v>
      </c>
      <c r="S79" s="80"/>
      <c r="T79" s="80">
        <f t="shared" si="24"/>
        <v>95.4897885213433</v>
      </c>
      <c r="U79" s="80"/>
      <c r="V79" s="80">
        <f t="shared" si="24"/>
        <v>1637.344508597617</v>
      </c>
      <c r="W79" s="80"/>
      <c r="X79" s="80">
        <f t="shared" si="24"/>
        <v>2326.089633181303</v>
      </c>
      <c r="Y79" s="80"/>
      <c r="Z79" s="80">
        <f t="shared" si="24"/>
        <v>8182.749326038496</v>
      </c>
      <c r="AA79" s="80"/>
      <c r="AB79" s="80">
        <f t="shared" si="25"/>
        <v>4097.58715811487</v>
      </c>
      <c r="AC79" s="80"/>
      <c r="AD79" s="80">
        <f t="shared" si="25"/>
        <v>45633.874986086405</v>
      </c>
      <c r="AE79" s="80"/>
      <c r="AF79" s="80">
        <f t="shared" si="25"/>
        <v>47121.08224313327</v>
      </c>
      <c r="AG79" s="80"/>
      <c r="AH79" s="80">
        <f t="shared" si="25"/>
        <v>39606.57778145459</v>
      </c>
      <c r="AI79" s="80"/>
      <c r="AJ79" s="80">
        <f t="shared" si="26"/>
        <v>44038.525502130724</v>
      </c>
      <c r="AK79" s="80"/>
      <c r="AL79" s="81">
        <f t="shared" si="20"/>
        <v>48817.568769094665</v>
      </c>
      <c r="AM79" s="81"/>
      <c r="AN79" s="81">
        <f t="shared" si="21"/>
        <v>53901.247136827646</v>
      </c>
      <c r="AO79" s="81"/>
      <c r="AP79" s="81">
        <f t="shared" si="22"/>
        <v>49195.04091913701</v>
      </c>
      <c r="AQ79" s="81"/>
      <c r="AR79" s="81">
        <f t="shared" si="27"/>
        <v>50574.77877812959</v>
      </c>
    </row>
    <row r="80" spans="2:44" ht="12.75">
      <c r="B80" s="9" t="s">
        <v>107</v>
      </c>
      <c r="D80" s="9" t="s">
        <v>65</v>
      </c>
      <c r="F80" s="80">
        <f t="shared" si="18"/>
        <v>27.79588434878273</v>
      </c>
      <c r="G80" s="80"/>
      <c r="H80" s="80">
        <f t="shared" si="18"/>
        <v>29.07644827420237</v>
      </c>
      <c r="I80" s="80"/>
      <c r="J80" s="80">
        <f t="shared" si="18"/>
        <v>27.214361761298175</v>
      </c>
      <c r="K80" s="80"/>
      <c r="L80" s="80">
        <f t="shared" si="23"/>
        <v>28.00180913948807</v>
      </c>
      <c r="M80" s="80"/>
      <c r="N80" s="80">
        <f t="shared" si="23"/>
        <v>3.02634041082047</v>
      </c>
      <c r="O80" s="80"/>
      <c r="P80" s="80">
        <f t="shared" si="23"/>
        <v>2.753457218337321</v>
      </c>
      <c r="Q80" s="80"/>
      <c r="R80" s="80">
        <f t="shared" si="23"/>
        <v>3.5693582372617425</v>
      </c>
      <c r="S80" s="80"/>
      <c r="T80" s="80">
        <f t="shared" si="24"/>
        <v>3.122649136891859</v>
      </c>
      <c r="U80" s="80"/>
      <c r="V80" s="80">
        <f t="shared" si="24"/>
        <v>1.8606187597700197</v>
      </c>
      <c r="W80" s="80"/>
      <c r="X80" s="80">
        <f t="shared" si="24"/>
        <v>1.685572197957466</v>
      </c>
      <c r="Y80" s="80"/>
      <c r="Z80" s="80">
        <f t="shared" si="24"/>
        <v>20.703341668290165</v>
      </c>
      <c r="AA80" s="80"/>
      <c r="AB80" s="80">
        <f t="shared" si="25"/>
        <v>8.245825895644003</v>
      </c>
      <c r="AC80" s="80"/>
      <c r="AD80" s="80">
        <f t="shared" si="25"/>
        <v>0</v>
      </c>
      <c r="AE80" s="80"/>
      <c r="AF80" s="80">
        <f t="shared" si="25"/>
        <v>0</v>
      </c>
      <c r="AG80" s="80"/>
      <c r="AH80" s="80">
        <f t="shared" si="25"/>
        <v>0</v>
      </c>
      <c r="AI80" s="80"/>
      <c r="AJ80" s="80">
        <f t="shared" si="26"/>
        <v>0</v>
      </c>
      <c r="AK80" s="80"/>
      <c r="AL80" s="81">
        <f t="shared" si="20"/>
        <v>32.68284351937322</v>
      </c>
      <c r="AM80" s="81"/>
      <c r="AN80" s="81">
        <f t="shared" si="21"/>
        <v>33.51547769049716</v>
      </c>
      <c r="AO80" s="81"/>
      <c r="AP80" s="81">
        <f t="shared" si="22"/>
        <v>51.48706166685008</v>
      </c>
      <c r="AQ80" s="81"/>
      <c r="AR80" s="81">
        <f t="shared" si="27"/>
        <v>39.37028417202393</v>
      </c>
    </row>
    <row r="81" spans="6:44" ht="12.75"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</row>
    <row r="82" spans="2:44" ht="12.75">
      <c r="B82" s="9" t="s">
        <v>72</v>
      </c>
      <c r="D82" s="9" t="s">
        <v>65</v>
      </c>
      <c r="F82" s="80">
        <f aca="true" t="shared" si="28" ref="F82:AJ82">F77+F79</f>
        <v>1771.987627234899</v>
      </c>
      <c r="G82" s="80"/>
      <c r="H82" s="80">
        <f t="shared" si="28"/>
        <v>4688.577284215131</v>
      </c>
      <c r="I82" s="80"/>
      <c r="J82" s="80">
        <f t="shared" si="28"/>
        <v>1707.7012005214601</v>
      </c>
      <c r="K82" s="80"/>
      <c r="L82" s="80">
        <f t="shared" si="28"/>
        <v>2693.198943606261</v>
      </c>
      <c r="M82" s="80"/>
      <c r="N82" s="80">
        <f t="shared" si="28"/>
        <v>125.59312704904953</v>
      </c>
      <c r="O82" s="80"/>
      <c r="P82" s="80">
        <f t="shared" si="28"/>
        <v>133.54267508936007</v>
      </c>
      <c r="Q82" s="80"/>
      <c r="R82" s="80">
        <f t="shared" si="28"/>
        <v>44.141063534136876</v>
      </c>
      <c r="S82" s="80"/>
      <c r="T82" s="80">
        <f t="shared" si="28"/>
        <v>100.27285497163322</v>
      </c>
      <c r="U82" s="80"/>
      <c r="V82" s="80">
        <f t="shared" si="28"/>
        <v>4433.588701851989</v>
      </c>
      <c r="W82" s="80"/>
      <c r="X82" s="80">
        <f t="shared" si="28"/>
        <v>5205.608804691974</v>
      </c>
      <c r="Y82" s="80"/>
      <c r="Z82" s="80">
        <f t="shared" si="28"/>
        <v>8516.467476263078</v>
      </c>
      <c r="AA82" s="80"/>
      <c r="AB82" s="80">
        <f t="shared" si="28"/>
        <v>6077.849722531637</v>
      </c>
      <c r="AC82" s="80"/>
      <c r="AD82" s="80">
        <f t="shared" si="28"/>
        <v>45633.874986086405</v>
      </c>
      <c r="AE82" s="80"/>
      <c r="AF82" s="80">
        <f t="shared" si="28"/>
        <v>47121.08224313327</v>
      </c>
      <c r="AG82" s="80"/>
      <c r="AH82" s="80">
        <f t="shared" si="28"/>
        <v>39606.57778145459</v>
      </c>
      <c r="AI82" s="80"/>
      <c r="AJ82" s="80">
        <f t="shared" si="28"/>
        <v>44038.525502130724</v>
      </c>
      <c r="AK82" s="81"/>
      <c r="AL82" s="80">
        <f>AL77+AL79</f>
        <v>51965.044442222345</v>
      </c>
      <c r="AM82" s="80"/>
      <c r="AN82" s="80">
        <f>AN77+AN79</f>
        <v>57148.81100712974</v>
      </c>
      <c r="AO82" s="80"/>
      <c r="AP82" s="80">
        <f>AP77+AP79</f>
        <v>49874.88752177326</v>
      </c>
      <c r="AQ82" s="80"/>
      <c r="AR82" s="80">
        <f>AR77+AR79</f>
        <v>52909.84702324025</v>
      </c>
    </row>
    <row r="83" spans="2:44" ht="12.75">
      <c r="B83" s="9" t="s">
        <v>73</v>
      </c>
      <c r="D83" s="9" t="s">
        <v>65</v>
      </c>
      <c r="F83" s="80">
        <f aca="true" t="shared" si="29" ref="F83:AJ83">F75+F76+F78</f>
        <v>1977.6771714158917</v>
      </c>
      <c r="G83" s="80"/>
      <c r="H83" s="80">
        <f t="shared" si="29"/>
        <v>6168.2050457686055</v>
      </c>
      <c r="I83" s="80"/>
      <c r="J83" s="80">
        <f t="shared" si="29"/>
        <v>1873.028448221347</v>
      </c>
      <c r="K83" s="80"/>
      <c r="L83" s="80">
        <f t="shared" si="29"/>
        <v>3297.262193636425</v>
      </c>
      <c r="M83" s="80"/>
      <c r="N83" s="80">
        <f t="shared" si="29"/>
        <v>219.93928935637763</v>
      </c>
      <c r="O83" s="80"/>
      <c r="P83" s="80">
        <f t="shared" si="29"/>
        <v>207.97780189174566</v>
      </c>
      <c r="Q83" s="80"/>
      <c r="R83" s="80">
        <f t="shared" si="29"/>
        <v>49.87583243533741</v>
      </c>
      <c r="S83" s="80"/>
      <c r="T83" s="80">
        <f t="shared" si="29"/>
        <v>157.84607929287634</v>
      </c>
      <c r="U83" s="80"/>
      <c r="V83" s="80">
        <f t="shared" si="29"/>
        <v>783.320497863178</v>
      </c>
      <c r="W83" s="80"/>
      <c r="X83" s="80">
        <f t="shared" si="29"/>
        <v>1138.3230910206087</v>
      </c>
      <c r="Y83" s="80"/>
      <c r="Z83" s="80">
        <f t="shared" si="29"/>
        <v>1389.1153560692483</v>
      </c>
      <c r="AA83" s="80"/>
      <c r="AB83" s="80">
        <f t="shared" si="29"/>
        <v>1105.0541734957087</v>
      </c>
      <c r="AC83" s="80"/>
      <c r="AD83" s="80">
        <f t="shared" si="29"/>
        <v>50329.05706949242</v>
      </c>
      <c r="AE83" s="80"/>
      <c r="AF83" s="80">
        <f t="shared" si="29"/>
        <v>51969.28023565781</v>
      </c>
      <c r="AG83" s="80"/>
      <c r="AH83" s="80">
        <f t="shared" si="29"/>
        <v>51681.753934337095</v>
      </c>
      <c r="AI83" s="80"/>
      <c r="AJ83" s="80">
        <f t="shared" si="29"/>
        <v>51304.88220998228</v>
      </c>
      <c r="AK83" s="81"/>
      <c r="AL83" s="80">
        <f>AL75+AL76+AL78</f>
        <v>53309.99402812786</v>
      </c>
      <c r="AM83" s="80"/>
      <c r="AN83" s="80">
        <f>AN75+AN76+AN78</f>
        <v>59483.78617433877</v>
      </c>
      <c r="AO83" s="80"/>
      <c r="AP83" s="80">
        <f>AP75+AP76+AP78</f>
        <v>54993.77357106304</v>
      </c>
      <c r="AQ83" s="80"/>
      <c r="AR83" s="80">
        <f>AR75+AR76+AR78</f>
        <v>55865.04465640729</v>
      </c>
    </row>
  </sheetData>
  <printOptions headings="1" horizontalCentered="1"/>
  <pageMargins left="0.25" right="0.25" top="0.5" bottom="0.5" header="0.5" footer="0.25"/>
  <pageSetup horizontalDpi="300" verticalDpi="300" orientation="landscape" pageOrder="overThenDown" scale="7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P88"/>
  <sheetViews>
    <sheetView tabSelected="1" workbookViewId="0" topLeftCell="CO24">
      <selection activeCell="DG39" sqref="DG39"/>
    </sheetView>
  </sheetViews>
  <sheetFormatPr defaultColWidth="9.140625" defaultRowHeight="12.75"/>
  <cols>
    <col min="1" max="1" width="9.140625" style="53" hidden="1" customWidth="1"/>
    <col min="2" max="2" width="20.421875" style="53" customWidth="1"/>
    <col min="3" max="3" width="5.00390625" style="53" customWidth="1"/>
    <col min="4" max="4" width="9.421875" style="53" customWidth="1"/>
    <col min="5" max="5" width="3.00390625" style="59" customWidth="1"/>
    <col min="6" max="6" width="9.140625" style="53" customWidth="1"/>
    <col min="7" max="7" width="3.00390625" style="59" customWidth="1"/>
    <col min="8" max="8" width="10.140625" style="53" customWidth="1"/>
    <col min="9" max="9" width="3.00390625" style="59" customWidth="1"/>
    <col min="10" max="10" width="9.421875" style="53" customWidth="1"/>
    <col min="11" max="11" width="3.00390625" style="59" customWidth="1"/>
    <col min="12" max="12" width="8.7109375" style="53" customWidth="1"/>
    <col min="13" max="13" width="3.00390625" style="53" customWidth="1"/>
    <col min="14" max="14" width="8.421875" style="53" customWidth="1"/>
    <col min="15" max="15" width="3.00390625" style="53" customWidth="1"/>
    <col min="16" max="16" width="9.140625" style="53" customWidth="1"/>
    <col min="17" max="17" width="3.00390625" style="59" customWidth="1"/>
    <col min="18" max="18" width="11.140625" style="53" customWidth="1"/>
    <col min="19" max="19" width="3.00390625" style="59" customWidth="1"/>
    <col min="20" max="20" width="9.421875" style="53" customWidth="1"/>
    <col min="21" max="21" width="3.00390625" style="59" customWidth="1"/>
    <col min="22" max="22" width="10.57421875" style="53" customWidth="1"/>
    <col min="23" max="23" width="3.00390625" style="59" customWidth="1"/>
    <col min="24" max="24" width="10.140625" style="53" customWidth="1"/>
    <col min="25" max="25" width="3.00390625" style="53" customWidth="1"/>
    <col min="26" max="26" width="10.140625" style="53" customWidth="1"/>
    <col min="27" max="27" width="3.00390625" style="53" customWidth="1"/>
    <col min="28" max="28" width="11.140625" style="53" customWidth="1"/>
    <col min="29" max="29" width="3.28125" style="53" customWidth="1"/>
    <col min="30" max="30" width="10.421875" style="53" customWidth="1"/>
    <col min="31" max="31" width="3.28125" style="53" customWidth="1"/>
    <col min="32" max="32" width="9.28125" style="53" customWidth="1"/>
    <col min="33" max="33" width="3.28125" style="53" customWidth="1"/>
    <col min="34" max="34" width="10.7109375" style="53" customWidth="1"/>
    <col min="35" max="35" width="3.28125" style="53" customWidth="1"/>
    <col min="36" max="36" width="10.421875" style="53" customWidth="1"/>
    <col min="37" max="37" width="3.28125" style="53" customWidth="1"/>
    <col min="38" max="38" width="10.57421875" style="53" customWidth="1"/>
    <col min="39" max="39" width="3.28125" style="53" customWidth="1"/>
    <col min="40" max="40" width="9.8515625" style="53" customWidth="1"/>
    <col min="41" max="41" width="2.8515625" style="53" customWidth="1"/>
    <col min="42" max="42" width="10.8515625" style="53" customWidth="1"/>
    <col min="43" max="43" width="2.8515625" style="53" customWidth="1"/>
    <col min="44" max="44" width="12.421875" style="53" customWidth="1"/>
    <col min="45" max="45" width="2.8515625" style="53" customWidth="1"/>
    <col min="46" max="46" width="11.57421875" style="53" customWidth="1"/>
    <col min="47" max="47" width="2.8515625" style="53" customWidth="1"/>
    <col min="48" max="48" width="11.57421875" style="53" customWidth="1"/>
    <col min="49" max="49" width="2.8515625" style="53" customWidth="1"/>
    <col min="50" max="50" width="8.140625" style="53" customWidth="1"/>
    <col min="51" max="51" width="2.8515625" style="53" customWidth="1"/>
    <col min="52" max="52" width="8.7109375" style="53" customWidth="1"/>
    <col min="53" max="53" width="2.140625" style="53" customWidth="1"/>
    <col min="54" max="54" width="9.421875" style="53" customWidth="1"/>
    <col min="55" max="55" width="2.140625" style="53" customWidth="1"/>
    <col min="56" max="56" width="14.140625" style="53" customWidth="1"/>
    <col min="57" max="57" width="2.140625" style="53" customWidth="1"/>
    <col min="58" max="58" width="9.57421875" style="53" customWidth="1"/>
    <col min="59" max="59" width="2.140625" style="53" customWidth="1"/>
    <col min="60" max="60" width="8.28125" style="53" customWidth="1"/>
    <col min="61" max="61" width="2.140625" style="53" customWidth="1"/>
    <col min="62" max="62" width="9.28125" style="53" customWidth="1"/>
    <col min="63" max="63" width="2.140625" style="53" customWidth="1"/>
    <col min="64" max="64" width="8.7109375" style="53" customWidth="1"/>
    <col min="65" max="65" width="3.00390625" style="53" customWidth="1"/>
    <col min="66" max="66" width="9.140625" style="53" customWidth="1"/>
    <col min="67" max="67" width="3.00390625" style="53" customWidth="1"/>
    <col min="68" max="68" width="10.57421875" style="53" customWidth="1"/>
    <col min="69" max="69" width="3.00390625" style="53" customWidth="1"/>
    <col min="70" max="70" width="11.421875" style="53" customWidth="1"/>
    <col min="71" max="71" width="3.00390625" style="53" customWidth="1"/>
    <col min="72" max="72" width="11.00390625" style="53" customWidth="1"/>
    <col min="73" max="73" width="3.00390625" style="53" customWidth="1"/>
    <col min="74" max="74" width="10.140625" style="53" customWidth="1"/>
    <col min="75" max="75" width="3.00390625" style="53" customWidth="1"/>
    <col min="76" max="76" width="12.00390625" style="53" customWidth="1"/>
    <col min="77" max="77" width="3.00390625" style="53" customWidth="1"/>
    <col min="78" max="78" width="11.7109375" style="53" customWidth="1"/>
    <col min="79" max="79" width="3.00390625" style="53" customWidth="1"/>
    <col min="80" max="80" width="12.28125" style="53" customWidth="1"/>
    <col min="81" max="81" width="3.00390625" style="53" customWidth="1"/>
    <col min="82" max="82" width="12.00390625" style="53" customWidth="1"/>
    <col min="83" max="83" width="3.00390625" style="53" customWidth="1"/>
    <col min="84" max="84" width="12.28125" style="53" customWidth="1"/>
    <col min="85" max="85" width="3.00390625" style="53" customWidth="1"/>
    <col min="86" max="86" width="12.00390625" style="53" customWidth="1"/>
    <col min="87" max="87" width="3.00390625" style="53" customWidth="1"/>
    <col min="88" max="88" width="12.8515625" style="53" customWidth="1"/>
    <col min="89" max="89" width="2.57421875" style="53" customWidth="1"/>
    <col min="90" max="90" width="11.00390625" style="53" customWidth="1"/>
    <col min="91" max="91" width="1.7109375" style="53" customWidth="1"/>
    <col min="92" max="92" width="11.00390625" style="53" customWidth="1"/>
    <col min="93" max="93" width="1.8515625" style="53" customWidth="1"/>
    <col min="94" max="94" width="11.00390625" style="53" customWidth="1"/>
    <col min="95" max="95" width="1.8515625" style="53" customWidth="1"/>
    <col min="96" max="96" width="11.00390625" style="53" customWidth="1"/>
    <col min="97" max="97" width="2.140625" style="53" customWidth="1"/>
    <col min="98" max="98" width="11.00390625" style="53" customWidth="1"/>
    <col min="99" max="99" width="2.140625" style="53" customWidth="1"/>
    <col min="100" max="100" width="11.00390625" style="53" customWidth="1"/>
    <col min="101" max="101" width="2.00390625" style="53" customWidth="1"/>
    <col min="102" max="102" width="9.140625" style="53" customWidth="1"/>
    <col min="103" max="103" width="2.28125" style="53" customWidth="1"/>
    <col min="104" max="104" width="9.140625" style="53" customWidth="1"/>
    <col min="105" max="105" width="2.421875" style="53" customWidth="1"/>
    <col min="106" max="106" width="9.140625" style="53" customWidth="1"/>
    <col min="107" max="107" width="2.00390625" style="53" customWidth="1"/>
    <col min="108" max="108" width="9.140625" style="53" customWidth="1"/>
    <col min="109" max="109" width="2.7109375" style="53" customWidth="1"/>
    <col min="110" max="110" width="9.140625" style="53" customWidth="1"/>
    <col min="111" max="111" width="2.57421875" style="53" customWidth="1"/>
    <col min="112" max="112" width="9.140625" style="53" customWidth="1"/>
    <col min="113" max="113" width="2.28125" style="53" customWidth="1"/>
    <col min="114" max="114" width="9.140625" style="53" customWidth="1"/>
    <col min="115" max="117" width="0" style="53" hidden="1" customWidth="1"/>
    <col min="118" max="119" width="9.140625" style="53" hidden="1" customWidth="1"/>
    <col min="120" max="121" width="0" style="53" hidden="1" customWidth="1"/>
    <col min="122" max="16384" width="9.140625" style="53" customWidth="1"/>
  </cols>
  <sheetData>
    <row r="1" spans="2:3" ht="12.75">
      <c r="B1" s="27" t="s">
        <v>253</v>
      </c>
      <c r="C1" s="27"/>
    </row>
    <row r="2" spans="117:120" ht="12.75">
      <c r="DM2" s="53" t="s">
        <v>74</v>
      </c>
      <c r="DN2" s="53" t="s">
        <v>63</v>
      </c>
      <c r="DO2" s="53" t="s">
        <v>78</v>
      </c>
      <c r="DP2" s="53" t="s">
        <v>29</v>
      </c>
    </row>
    <row r="4" spans="2:114" ht="12.75">
      <c r="B4" s="27" t="s">
        <v>185</v>
      </c>
      <c r="C4" s="27"/>
      <c r="D4" s="27"/>
      <c r="F4" s="59" t="s">
        <v>122</v>
      </c>
      <c r="H4" s="59" t="s">
        <v>123</v>
      </c>
      <c r="J4" s="59" t="s">
        <v>124</v>
      </c>
      <c r="L4" s="59" t="s">
        <v>196</v>
      </c>
      <c r="M4" s="59"/>
      <c r="N4" s="59" t="s">
        <v>197</v>
      </c>
      <c r="O4" s="59"/>
      <c r="P4" s="59" t="s">
        <v>198</v>
      </c>
      <c r="R4" s="59" t="s">
        <v>122</v>
      </c>
      <c r="T4" s="59" t="s">
        <v>123</v>
      </c>
      <c r="V4" s="59" t="s">
        <v>124</v>
      </c>
      <c r="X4" s="59" t="s">
        <v>196</v>
      </c>
      <c r="Y4" s="59"/>
      <c r="Z4" s="59" t="s">
        <v>197</v>
      </c>
      <c r="AA4" s="59"/>
      <c r="AB4" s="59" t="s">
        <v>198</v>
      </c>
      <c r="AC4" s="59"/>
      <c r="AD4" s="59" t="s">
        <v>122</v>
      </c>
      <c r="AE4" s="59"/>
      <c r="AF4" s="59" t="s">
        <v>123</v>
      </c>
      <c r="AG4" s="59"/>
      <c r="AH4" s="59" t="s">
        <v>124</v>
      </c>
      <c r="AI4" s="59"/>
      <c r="AJ4" s="59" t="s">
        <v>196</v>
      </c>
      <c r="AK4" s="59"/>
      <c r="AL4" s="59" t="s">
        <v>197</v>
      </c>
      <c r="AM4" s="59"/>
      <c r="AN4" s="59" t="s">
        <v>198</v>
      </c>
      <c r="AO4" s="59"/>
      <c r="AP4" s="59" t="s">
        <v>122</v>
      </c>
      <c r="AQ4" s="59"/>
      <c r="AR4" s="59" t="s">
        <v>123</v>
      </c>
      <c r="AS4" s="59"/>
      <c r="AT4" s="59" t="s">
        <v>124</v>
      </c>
      <c r="AU4" s="59"/>
      <c r="AV4" s="59" t="s">
        <v>196</v>
      </c>
      <c r="AW4" s="59"/>
      <c r="AX4" s="59" t="s">
        <v>197</v>
      </c>
      <c r="AY4" s="59"/>
      <c r="AZ4" s="59" t="s">
        <v>198</v>
      </c>
      <c r="BA4" s="59"/>
      <c r="BB4" s="59" t="s">
        <v>122</v>
      </c>
      <c r="BC4" s="59"/>
      <c r="BD4" s="59" t="s">
        <v>123</v>
      </c>
      <c r="BE4" s="59"/>
      <c r="BF4" s="59" t="s">
        <v>124</v>
      </c>
      <c r="BG4" s="59"/>
      <c r="BH4" s="59" t="s">
        <v>196</v>
      </c>
      <c r="BI4" s="59"/>
      <c r="BJ4" s="59" t="s">
        <v>197</v>
      </c>
      <c r="BK4" s="59"/>
      <c r="BL4" s="59" t="s">
        <v>198</v>
      </c>
      <c r="BM4" s="59"/>
      <c r="BN4" s="59" t="s">
        <v>122</v>
      </c>
      <c r="BO4" s="59"/>
      <c r="BP4" s="59" t="s">
        <v>123</v>
      </c>
      <c r="BQ4" s="59"/>
      <c r="BR4" s="59" t="s">
        <v>124</v>
      </c>
      <c r="BS4" s="59"/>
      <c r="BT4" s="59" t="s">
        <v>196</v>
      </c>
      <c r="BU4" s="59"/>
      <c r="BV4" s="59" t="s">
        <v>197</v>
      </c>
      <c r="BW4" s="59"/>
      <c r="BX4" s="59" t="s">
        <v>198</v>
      </c>
      <c r="BY4" s="59"/>
      <c r="BZ4" s="59" t="s">
        <v>122</v>
      </c>
      <c r="CA4" s="59"/>
      <c r="CB4" s="59" t="s">
        <v>123</v>
      </c>
      <c r="CC4" s="59"/>
      <c r="CD4" s="59" t="s">
        <v>124</v>
      </c>
      <c r="CE4" s="59"/>
      <c r="CF4" s="59" t="s">
        <v>196</v>
      </c>
      <c r="CG4" s="59"/>
      <c r="CH4" s="59" t="s">
        <v>197</v>
      </c>
      <c r="CI4" s="59"/>
      <c r="CJ4" s="59" t="s">
        <v>198</v>
      </c>
      <c r="CK4" s="59"/>
      <c r="CL4" s="59" t="s">
        <v>122</v>
      </c>
      <c r="CM4" s="59"/>
      <c r="CN4" s="59" t="s">
        <v>123</v>
      </c>
      <c r="CO4" s="59"/>
      <c r="CP4" s="59" t="s">
        <v>124</v>
      </c>
      <c r="CQ4" s="59"/>
      <c r="CR4" s="59" t="s">
        <v>196</v>
      </c>
      <c r="CS4" s="59"/>
      <c r="CT4" s="59" t="s">
        <v>197</v>
      </c>
      <c r="CU4" s="59"/>
      <c r="CV4" s="59" t="s">
        <v>198</v>
      </c>
      <c r="CW4" s="59"/>
      <c r="CX4" s="59" t="s">
        <v>122</v>
      </c>
      <c r="CY4" s="59"/>
      <c r="CZ4" s="59" t="s">
        <v>123</v>
      </c>
      <c r="DA4" s="59"/>
      <c r="DB4" s="59" t="s">
        <v>124</v>
      </c>
      <c r="DC4" s="59"/>
      <c r="DD4" s="59" t="s">
        <v>196</v>
      </c>
      <c r="DE4" s="59"/>
      <c r="DF4" s="59" t="s">
        <v>197</v>
      </c>
      <c r="DG4" s="59"/>
      <c r="DH4" s="59" t="s">
        <v>198</v>
      </c>
      <c r="DI4" s="59"/>
      <c r="DJ4" s="59" t="s">
        <v>66</v>
      </c>
    </row>
    <row r="5" spans="2:114" ht="12.75">
      <c r="B5" s="27"/>
      <c r="C5" s="27"/>
      <c r="D5" s="27"/>
      <c r="F5" s="59"/>
      <c r="H5" s="59"/>
      <c r="J5" s="59"/>
      <c r="L5" s="59"/>
      <c r="M5" s="59"/>
      <c r="N5" s="59"/>
      <c r="O5" s="59"/>
      <c r="P5" s="59"/>
      <c r="R5" s="59"/>
      <c r="T5" s="59"/>
      <c r="V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</row>
    <row r="6" spans="2:114" ht="12.75">
      <c r="B6" s="9" t="s">
        <v>285</v>
      </c>
      <c r="C6" s="9"/>
      <c r="D6" s="27"/>
      <c r="F6" s="59" t="s">
        <v>289</v>
      </c>
      <c r="H6" s="59" t="s">
        <v>289</v>
      </c>
      <c r="J6" s="59" t="s">
        <v>289</v>
      </c>
      <c r="L6" s="59" t="s">
        <v>289</v>
      </c>
      <c r="M6" s="59"/>
      <c r="N6" s="59" t="s">
        <v>289</v>
      </c>
      <c r="O6" s="59"/>
      <c r="P6" s="59" t="s">
        <v>289</v>
      </c>
      <c r="R6" s="59" t="s">
        <v>290</v>
      </c>
      <c r="T6" s="59" t="s">
        <v>290</v>
      </c>
      <c r="V6" s="59" t="s">
        <v>290</v>
      </c>
      <c r="X6" s="59" t="s">
        <v>290</v>
      </c>
      <c r="Y6" s="59"/>
      <c r="Z6" s="59" t="s">
        <v>290</v>
      </c>
      <c r="AA6" s="59"/>
      <c r="AB6" s="59" t="s">
        <v>290</v>
      </c>
      <c r="AC6" s="59"/>
      <c r="AD6" s="59" t="s">
        <v>291</v>
      </c>
      <c r="AE6" s="59"/>
      <c r="AF6" s="59" t="s">
        <v>291</v>
      </c>
      <c r="AG6" s="59"/>
      <c r="AH6" s="59" t="s">
        <v>291</v>
      </c>
      <c r="AI6" s="59"/>
      <c r="AJ6" s="59" t="s">
        <v>291</v>
      </c>
      <c r="AK6" s="59"/>
      <c r="AL6" s="59" t="s">
        <v>291</v>
      </c>
      <c r="AM6" s="59"/>
      <c r="AN6" s="59" t="s">
        <v>291</v>
      </c>
      <c r="AO6" s="59"/>
      <c r="AP6" s="59" t="s">
        <v>292</v>
      </c>
      <c r="AQ6" s="59"/>
      <c r="AR6" s="59" t="s">
        <v>292</v>
      </c>
      <c r="AS6" s="59"/>
      <c r="AT6" s="59" t="s">
        <v>292</v>
      </c>
      <c r="AU6" s="59"/>
      <c r="AV6" s="59" t="s">
        <v>292</v>
      </c>
      <c r="AW6" s="59"/>
      <c r="AX6" s="59" t="s">
        <v>292</v>
      </c>
      <c r="AY6" s="59"/>
      <c r="AZ6" s="59" t="s">
        <v>292</v>
      </c>
      <c r="BA6" s="59"/>
      <c r="BB6" s="59" t="s">
        <v>293</v>
      </c>
      <c r="BC6" s="59"/>
      <c r="BD6" s="59" t="s">
        <v>293</v>
      </c>
      <c r="BE6" s="59"/>
      <c r="BF6" s="59" t="s">
        <v>293</v>
      </c>
      <c r="BG6" s="59"/>
      <c r="BH6" s="59" t="s">
        <v>293</v>
      </c>
      <c r="BI6" s="59"/>
      <c r="BJ6" s="59" t="s">
        <v>293</v>
      </c>
      <c r="BK6" s="59"/>
      <c r="BL6" s="59" t="s">
        <v>293</v>
      </c>
      <c r="BM6" s="59"/>
      <c r="BN6" s="59" t="s">
        <v>294</v>
      </c>
      <c r="BO6" s="59"/>
      <c r="BP6" s="59" t="s">
        <v>294</v>
      </c>
      <c r="BQ6" s="59"/>
      <c r="BR6" s="59" t="s">
        <v>294</v>
      </c>
      <c r="BS6" s="59"/>
      <c r="BT6" s="59" t="s">
        <v>294</v>
      </c>
      <c r="BU6" s="59"/>
      <c r="BV6" s="59" t="s">
        <v>294</v>
      </c>
      <c r="BW6" s="59"/>
      <c r="BX6" s="59" t="s">
        <v>294</v>
      </c>
      <c r="BY6" s="59"/>
      <c r="BZ6" s="59" t="s">
        <v>294</v>
      </c>
      <c r="CA6" s="59"/>
      <c r="CB6" s="59" t="s">
        <v>294</v>
      </c>
      <c r="CC6" s="59"/>
      <c r="CD6" s="59" t="s">
        <v>294</v>
      </c>
      <c r="CE6" s="59"/>
      <c r="CF6" s="59" t="s">
        <v>294</v>
      </c>
      <c r="CG6" s="59"/>
      <c r="CH6" s="59" t="s">
        <v>294</v>
      </c>
      <c r="CI6" s="59"/>
      <c r="CJ6" s="59" t="s">
        <v>294</v>
      </c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 t="s">
        <v>295</v>
      </c>
      <c r="CY6" s="59"/>
      <c r="CZ6" s="59" t="s">
        <v>295</v>
      </c>
      <c r="DA6" s="59"/>
      <c r="DB6" s="59" t="s">
        <v>295</v>
      </c>
      <c r="DC6" s="59"/>
      <c r="DD6" s="59" t="s">
        <v>295</v>
      </c>
      <c r="DE6" s="59"/>
      <c r="DF6" s="59" t="s">
        <v>295</v>
      </c>
      <c r="DG6" s="59"/>
      <c r="DH6" s="59" t="s">
        <v>295</v>
      </c>
      <c r="DI6" s="59"/>
      <c r="DJ6" s="59" t="s">
        <v>295</v>
      </c>
    </row>
    <row r="7" spans="2:114" ht="12.75">
      <c r="B7" s="9" t="s">
        <v>286</v>
      </c>
      <c r="C7" s="9"/>
      <c r="F7" s="59" t="s">
        <v>121</v>
      </c>
      <c r="H7" s="59" t="s">
        <v>121</v>
      </c>
      <c r="J7" s="59" t="s">
        <v>121</v>
      </c>
      <c r="L7" s="59" t="s">
        <v>121</v>
      </c>
      <c r="M7" s="59"/>
      <c r="N7" s="59" t="s">
        <v>121</v>
      </c>
      <c r="O7" s="59"/>
      <c r="P7" s="59" t="s">
        <v>121</v>
      </c>
      <c r="R7" s="59" t="s">
        <v>287</v>
      </c>
      <c r="T7" s="59" t="s">
        <v>287</v>
      </c>
      <c r="V7" s="59" t="s">
        <v>287</v>
      </c>
      <c r="X7" s="59" t="s">
        <v>287</v>
      </c>
      <c r="Y7" s="59"/>
      <c r="Z7" s="59" t="s">
        <v>287</v>
      </c>
      <c r="AA7" s="59"/>
      <c r="AB7" s="59" t="s">
        <v>287</v>
      </c>
      <c r="AC7" s="59"/>
      <c r="AD7" s="59" t="s">
        <v>288</v>
      </c>
      <c r="AE7" s="59"/>
      <c r="AF7" s="59" t="s">
        <v>288</v>
      </c>
      <c r="AG7" s="59"/>
      <c r="AH7" s="59" t="s">
        <v>288</v>
      </c>
      <c r="AI7" s="59"/>
      <c r="AJ7" s="59" t="s">
        <v>288</v>
      </c>
      <c r="AK7" s="59"/>
      <c r="AL7" s="59" t="s">
        <v>288</v>
      </c>
      <c r="AM7" s="59"/>
      <c r="AN7" s="59" t="s">
        <v>288</v>
      </c>
      <c r="AO7" s="59"/>
      <c r="AP7" s="59" t="s">
        <v>63</v>
      </c>
      <c r="AQ7" s="59"/>
      <c r="AR7" s="59" t="s">
        <v>63</v>
      </c>
      <c r="AS7" s="59"/>
      <c r="AT7" s="59" t="s">
        <v>63</v>
      </c>
      <c r="AU7" s="59"/>
      <c r="AV7" s="59" t="s">
        <v>63</v>
      </c>
      <c r="AW7" s="59"/>
      <c r="AX7" s="59" t="s">
        <v>63</v>
      </c>
      <c r="AY7" s="59"/>
      <c r="AZ7" s="59" t="s">
        <v>63</v>
      </c>
      <c r="BA7" s="59"/>
      <c r="BB7" s="59" t="s">
        <v>63</v>
      </c>
      <c r="BC7" s="59"/>
      <c r="BD7" s="59" t="s">
        <v>63</v>
      </c>
      <c r="BE7" s="59"/>
      <c r="BF7" s="59" t="s">
        <v>63</v>
      </c>
      <c r="BG7" s="59"/>
      <c r="BH7" s="59" t="s">
        <v>63</v>
      </c>
      <c r="BI7" s="59"/>
      <c r="BJ7" s="59" t="s">
        <v>63</v>
      </c>
      <c r="BK7" s="59"/>
      <c r="BL7" s="59" t="s">
        <v>63</v>
      </c>
      <c r="BM7" s="59"/>
      <c r="BN7" s="59" t="s">
        <v>63</v>
      </c>
      <c r="BO7" s="59"/>
      <c r="BP7" s="59" t="s">
        <v>63</v>
      </c>
      <c r="BQ7" s="59"/>
      <c r="BR7" s="59" t="s">
        <v>63</v>
      </c>
      <c r="BS7" s="59"/>
      <c r="BT7" s="59" t="s">
        <v>63</v>
      </c>
      <c r="BU7" s="59"/>
      <c r="BV7" s="59" t="s">
        <v>63</v>
      </c>
      <c r="BW7" s="59"/>
      <c r="BX7" s="59" t="s">
        <v>63</v>
      </c>
      <c r="BY7" s="59"/>
      <c r="BZ7" s="59" t="s">
        <v>63</v>
      </c>
      <c r="CA7" s="59"/>
      <c r="CB7" s="59" t="s">
        <v>63</v>
      </c>
      <c r="CC7" s="59"/>
      <c r="CD7" s="59" t="s">
        <v>63</v>
      </c>
      <c r="CE7" s="59"/>
      <c r="CF7" s="59" t="s">
        <v>63</v>
      </c>
      <c r="CG7" s="59"/>
      <c r="CH7" s="59" t="s">
        <v>63</v>
      </c>
      <c r="CI7" s="59"/>
      <c r="CJ7" s="59" t="s">
        <v>63</v>
      </c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 t="s">
        <v>29</v>
      </c>
      <c r="CY7" s="59"/>
      <c r="CZ7" s="59" t="s">
        <v>29</v>
      </c>
      <c r="DA7" s="59"/>
      <c r="DB7" s="59" t="s">
        <v>29</v>
      </c>
      <c r="DC7" s="59"/>
      <c r="DD7" s="59" t="s">
        <v>29</v>
      </c>
      <c r="DE7" s="59"/>
      <c r="DF7" s="59" t="s">
        <v>29</v>
      </c>
      <c r="DG7" s="59"/>
      <c r="DH7" s="59" t="s">
        <v>29</v>
      </c>
      <c r="DI7" s="59"/>
      <c r="DJ7" s="59" t="s">
        <v>29</v>
      </c>
    </row>
    <row r="8" spans="2:114" ht="12.75">
      <c r="B8" s="9" t="s">
        <v>297</v>
      </c>
      <c r="C8" s="9"/>
      <c r="F8" s="59" t="s">
        <v>121</v>
      </c>
      <c r="H8" s="59" t="s">
        <v>121</v>
      </c>
      <c r="J8" s="59" t="s">
        <v>121</v>
      </c>
      <c r="L8" s="59" t="s">
        <v>121</v>
      </c>
      <c r="M8" s="59"/>
      <c r="N8" s="59" t="s">
        <v>121</v>
      </c>
      <c r="O8" s="59"/>
      <c r="P8" s="59" t="s">
        <v>121</v>
      </c>
      <c r="R8" s="59" t="s">
        <v>298</v>
      </c>
      <c r="T8" s="59" t="s">
        <v>298</v>
      </c>
      <c r="V8" s="59" t="s">
        <v>298</v>
      </c>
      <c r="X8" s="59" t="s">
        <v>298</v>
      </c>
      <c r="Y8" s="59"/>
      <c r="Z8" s="59" t="s">
        <v>298</v>
      </c>
      <c r="AA8" s="59"/>
      <c r="AB8" s="59" t="s">
        <v>298</v>
      </c>
      <c r="AC8" s="59"/>
      <c r="AD8" s="59" t="s">
        <v>74</v>
      </c>
      <c r="AE8" s="59"/>
      <c r="AF8" s="59" t="s">
        <v>74</v>
      </c>
      <c r="AG8" s="59"/>
      <c r="AH8" s="59" t="s">
        <v>74</v>
      </c>
      <c r="AI8" s="59"/>
      <c r="AJ8" s="59" t="s">
        <v>74</v>
      </c>
      <c r="AK8" s="59"/>
      <c r="AL8" s="59" t="s">
        <v>74</v>
      </c>
      <c r="AM8" s="59"/>
      <c r="AN8" s="59" t="s">
        <v>74</v>
      </c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 t="s">
        <v>63</v>
      </c>
      <c r="CM8" s="59"/>
      <c r="CN8" s="59" t="s">
        <v>63</v>
      </c>
      <c r="CO8" s="59"/>
      <c r="CP8" s="59" t="s">
        <v>63</v>
      </c>
      <c r="CQ8" s="59"/>
      <c r="CR8" s="59" t="s">
        <v>63</v>
      </c>
      <c r="CS8" s="59"/>
      <c r="CT8" s="59" t="s">
        <v>63</v>
      </c>
      <c r="CU8" s="59"/>
      <c r="CV8" s="59" t="s">
        <v>63</v>
      </c>
      <c r="CW8" s="59"/>
      <c r="CX8" s="59" t="s">
        <v>29</v>
      </c>
      <c r="CY8" s="59"/>
      <c r="CZ8" s="59" t="s">
        <v>29</v>
      </c>
      <c r="DA8" s="59"/>
      <c r="DB8" s="59" t="s">
        <v>29</v>
      </c>
      <c r="DC8" s="59"/>
      <c r="DD8" s="59" t="s">
        <v>29</v>
      </c>
      <c r="DE8" s="59"/>
      <c r="DF8" s="59" t="s">
        <v>29</v>
      </c>
      <c r="DG8" s="59"/>
      <c r="DH8" s="59" t="s">
        <v>29</v>
      </c>
      <c r="DI8" s="59"/>
      <c r="DJ8" s="59" t="s">
        <v>29</v>
      </c>
    </row>
    <row r="9" spans="2:114" ht="12.75">
      <c r="B9" s="16" t="s">
        <v>105</v>
      </c>
      <c r="C9" s="16"/>
      <c r="F9" s="59" t="s">
        <v>121</v>
      </c>
      <c r="H9" s="59" t="s">
        <v>121</v>
      </c>
      <c r="J9" s="59" t="s">
        <v>121</v>
      </c>
      <c r="L9" s="59" t="s">
        <v>121</v>
      </c>
      <c r="M9" s="59"/>
      <c r="N9" s="59" t="s">
        <v>121</v>
      </c>
      <c r="O9" s="59"/>
      <c r="P9" s="59" t="s">
        <v>121</v>
      </c>
      <c r="R9" s="59" t="s">
        <v>304</v>
      </c>
      <c r="T9" s="59" t="s">
        <v>304</v>
      </c>
      <c r="V9" s="59" t="s">
        <v>304</v>
      </c>
      <c r="X9" s="59" t="s">
        <v>304</v>
      </c>
      <c r="Y9" s="59"/>
      <c r="Z9" s="59" t="s">
        <v>304</v>
      </c>
      <c r="AA9" s="59"/>
      <c r="AB9" s="59" t="s">
        <v>304</v>
      </c>
      <c r="AC9" s="59"/>
      <c r="AD9" s="59" t="s">
        <v>207</v>
      </c>
      <c r="AE9" s="59"/>
      <c r="AF9" s="59" t="s">
        <v>207</v>
      </c>
      <c r="AG9" s="59"/>
      <c r="AH9" s="59" t="s">
        <v>207</v>
      </c>
      <c r="AI9" s="59"/>
      <c r="AJ9" s="59" t="s">
        <v>207</v>
      </c>
      <c r="AK9" s="59"/>
      <c r="AL9" s="59" t="s">
        <v>207</v>
      </c>
      <c r="AM9" s="59"/>
      <c r="AN9" s="59" t="s">
        <v>207</v>
      </c>
      <c r="AO9" s="59"/>
      <c r="AP9" s="59" t="s">
        <v>208</v>
      </c>
      <c r="AQ9" s="59"/>
      <c r="AR9" s="59" t="s">
        <v>208</v>
      </c>
      <c r="AS9" s="59"/>
      <c r="AT9" s="59" t="s">
        <v>208</v>
      </c>
      <c r="AU9" s="59"/>
      <c r="AV9" s="59" t="s">
        <v>208</v>
      </c>
      <c r="AW9" s="59"/>
      <c r="AX9" s="59" t="s">
        <v>208</v>
      </c>
      <c r="AY9" s="59"/>
      <c r="AZ9" s="59" t="s">
        <v>208</v>
      </c>
      <c r="BA9" s="59"/>
      <c r="BB9" s="59" t="s">
        <v>209</v>
      </c>
      <c r="BC9" s="59"/>
      <c r="BD9" s="59" t="s">
        <v>209</v>
      </c>
      <c r="BE9" s="59"/>
      <c r="BF9" s="59" t="s">
        <v>209</v>
      </c>
      <c r="BG9" s="59"/>
      <c r="BH9" s="59" t="s">
        <v>209</v>
      </c>
      <c r="BI9" s="59"/>
      <c r="BJ9" s="59" t="s">
        <v>209</v>
      </c>
      <c r="BK9" s="59"/>
      <c r="BL9" s="59" t="s">
        <v>209</v>
      </c>
      <c r="BM9" s="59"/>
      <c r="BN9" s="59" t="s">
        <v>210</v>
      </c>
      <c r="BO9" s="59"/>
      <c r="BP9" s="59" t="s">
        <v>210</v>
      </c>
      <c r="BQ9" s="59"/>
      <c r="BR9" s="59" t="s">
        <v>210</v>
      </c>
      <c r="BS9" s="59"/>
      <c r="BT9" s="59" t="s">
        <v>210</v>
      </c>
      <c r="BU9" s="59"/>
      <c r="BV9" s="59" t="s">
        <v>210</v>
      </c>
      <c r="BW9" s="59"/>
      <c r="BX9" s="59" t="s">
        <v>210</v>
      </c>
      <c r="BY9" s="59"/>
      <c r="BZ9" s="59" t="s">
        <v>211</v>
      </c>
      <c r="CA9" s="59"/>
      <c r="CB9" s="59" t="s">
        <v>211</v>
      </c>
      <c r="CC9" s="59"/>
      <c r="CD9" s="59" t="s">
        <v>211</v>
      </c>
      <c r="CE9" s="59"/>
      <c r="CF9" s="59" t="s">
        <v>211</v>
      </c>
      <c r="CG9" s="59"/>
      <c r="CH9" s="59" t="s">
        <v>211</v>
      </c>
      <c r="CI9" s="59"/>
      <c r="CJ9" s="59" t="s">
        <v>211</v>
      </c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 t="s">
        <v>29</v>
      </c>
      <c r="CY9" s="59"/>
      <c r="CZ9" s="59" t="s">
        <v>29</v>
      </c>
      <c r="DA9" s="59"/>
      <c r="DB9" s="59" t="s">
        <v>29</v>
      </c>
      <c r="DC9" s="59"/>
      <c r="DD9" s="59" t="s">
        <v>29</v>
      </c>
      <c r="DE9" s="59"/>
      <c r="DF9" s="59" t="s">
        <v>29</v>
      </c>
      <c r="DG9" s="59"/>
      <c r="DH9" s="59" t="s">
        <v>29</v>
      </c>
      <c r="DI9" s="59"/>
      <c r="DJ9" s="59" t="s">
        <v>29</v>
      </c>
    </row>
    <row r="10" spans="1:100" ht="12.75">
      <c r="A10" s="53" t="s">
        <v>185</v>
      </c>
      <c r="B10" s="53" t="s">
        <v>108</v>
      </c>
      <c r="D10" s="53" t="s">
        <v>162</v>
      </c>
      <c r="E10" s="74"/>
      <c r="F10" s="82">
        <v>3108</v>
      </c>
      <c r="G10" s="83"/>
      <c r="H10" s="82">
        <v>4470</v>
      </c>
      <c r="I10" s="83"/>
      <c r="J10" s="82">
        <v>4050</v>
      </c>
      <c r="K10" s="83"/>
      <c r="L10" s="82">
        <v>5250</v>
      </c>
      <c r="M10" s="82"/>
      <c r="N10" s="82"/>
      <c r="O10" s="82"/>
      <c r="P10" s="82"/>
      <c r="Q10" s="83"/>
      <c r="R10" s="78">
        <v>88972</v>
      </c>
      <c r="S10" s="83"/>
      <c r="T10" s="78">
        <v>88902</v>
      </c>
      <c r="U10" s="83"/>
      <c r="V10" s="78">
        <v>88902</v>
      </c>
      <c r="W10" s="83"/>
      <c r="X10" s="78">
        <v>88712</v>
      </c>
      <c r="Y10" s="82"/>
      <c r="Z10" s="82"/>
      <c r="AA10" s="82"/>
      <c r="AB10" s="82"/>
      <c r="AC10" s="82"/>
      <c r="AD10" s="82">
        <v>4584</v>
      </c>
      <c r="AE10" s="82"/>
      <c r="AF10" s="82">
        <v>4461</v>
      </c>
      <c r="AG10" s="82"/>
      <c r="AH10" s="82">
        <v>4506</v>
      </c>
      <c r="AI10" s="82"/>
      <c r="AJ10" s="82">
        <v>4776</v>
      </c>
      <c r="AK10" s="82"/>
      <c r="AL10" s="82"/>
      <c r="AM10" s="82"/>
      <c r="AN10" s="82"/>
      <c r="AO10" s="82"/>
      <c r="AP10" s="82">
        <v>208.1010124</v>
      </c>
      <c r="AQ10" s="82"/>
      <c r="AR10" s="82">
        <v>166.700829</v>
      </c>
      <c r="AS10" s="82"/>
      <c r="AT10" s="82">
        <v>179.0002924</v>
      </c>
      <c r="AU10" s="82"/>
      <c r="AV10" s="82">
        <v>177.6003714</v>
      </c>
      <c r="AW10" s="82"/>
      <c r="AX10" s="82"/>
      <c r="AY10" s="82"/>
      <c r="AZ10" s="82"/>
      <c r="BA10" s="82"/>
      <c r="BB10" s="82">
        <v>246.1017026</v>
      </c>
      <c r="BC10" s="82"/>
      <c r="BD10" s="82">
        <v>303.1016356</v>
      </c>
      <c r="BE10" s="82"/>
      <c r="BF10" s="82">
        <v>286.9220762</v>
      </c>
      <c r="BG10" s="82"/>
      <c r="BH10" s="82">
        <v>243.101242</v>
      </c>
      <c r="BI10" s="82"/>
      <c r="BJ10" s="82"/>
      <c r="BK10" s="82"/>
      <c r="BL10" s="82"/>
      <c r="BM10" s="82"/>
      <c r="BN10" s="82">
        <v>577.2039628</v>
      </c>
      <c r="BO10" s="82"/>
      <c r="BP10" s="82">
        <v>434.2025838</v>
      </c>
      <c r="BQ10" s="82"/>
      <c r="BR10" s="82">
        <v>490.5036586</v>
      </c>
      <c r="BS10" s="82"/>
      <c r="BT10" s="82">
        <v>292.8017444</v>
      </c>
      <c r="BU10" s="51"/>
      <c r="BV10" s="51"/>
      <c r="BW10" s="51"/>
      <c r="BX10" s="51"/>
      <c r="BY10" s="51"/>
      <c r="BZ10" s="67">
        <v>0.25000164</v>
      </c>
      <c r="CA10" s="67"/>
      <c r="CB10" s="67">
        <v>0.25000164</v>
      </c>
      <c r="CC10" s="67"/>
      <c r="CD10" s="67">
        <v>0.25000164</v>
      </c>
      <c r="CE10" s="67"/>
      <c r="CF10" s="67">
        <v>0.25000164</v>
      </c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</row>
    <row r="11" spans="1:100" ht="12.75">
      <c r="A11" s="53" t="s">
        <v>185</v>
      </c>
      <c r="B11" s="53" t="s">
        <v>296</v>
      </c>
      <c r="D11" s="53" t="s">
        <v>212</v>
      </c>
      <c r="E11" s="74"/>
      <c r="F11" s="82">
        <f>F12*1000000/F10</f>
        <v>13996.138996138996</v>
      </c>
      <c r="G11" s="83"/>
      <c r="H11" s="82">
        <f>H12*1000000/H10</f>
        <v>14026.845637583892</v>
      </c>
      <c r="I11" s="83"/>
      <c r="J11" s="82">
        <f>J12*1000000/J10</f>
        <v>13012.345679012345</v>
      </c>
      <c r="K11" s="83"/>
      <c r="L11" s="82">
        <f>L12*1000000/L10</f>
        <v>14990.47619047619</v>
      </c>
      <c r="M11" s="82"/>
      <c r="N11" s="82"/>
      <c r="O11" s="82"/>
      <c r="P11" s="82"/>
      <c r="Q11" s="83"/>
      <c r="R11" s="82"/>
      <c r="S11" s="83"/>
      <c r="T11" s="82"/>
      <c r="U11" s="83"/>
      <c r="V11" s="82"/>
      <c r="W11" s="83"/>
      <c r="X11" s="82"/>
      <c r="Y11" s="82"/>
      <c r="Z11" s="82"/>
      <c r="AA11" s="82"/>
      <c r="AB11" s="82"/>
      <c r="AC11" s="82"/>
      <c r="AD11" s="82">
        <f>AD12*1000000/AD10</f>
        <v>10994.76439790576</v>
      </c>
      <c r="AE11" s="82"/>
      <c r="AF11" s="82">
        <f>AF12*1000000/AF10</f>
        <v>11970.410221923335</v>
      </c>
      <c r="AG11" s="82"/>
      <c r="AH11" s="82">
        <f>AH12*1000000/AH10</f>
        <v>12006.213936972925</v>
      </c>
      <c r="AI11" s="82"/>
      <c r="AJ11" s="82">
        <f>AJ12*1000000/AJ10</f>
        <v>8605.527638190955</v>
      </c>
      <c r="AK11" s="82"/>
      <c r="AL11" s="82"/>
      <c r="AM11" s="82"/>
      <c r="AN11" s="82"/>
      <c r="AO11" s="82"/>
      <c r="AP11" s="82">
        <v>0</v>
      </c>
      <c r="AQ11" s="82"/>
      <c r="AR11" s="82">
        <v>0</v>
      </c>
      <c r="AS11" s="82"/>
      <c r="AT11" s="82">
        <v>0</v>
      </c>
      <c r="AU11" s="82"/>
      <c r="AV11" s="82">
        <v>0</v>
      </c>
      <c r="AW11" s="82"/>
      <c r="AX11" s="82"/>
      <c r="AY11" s="82"/>
      <c r="AZ11" s="82"/>
      <c r="BA11" s="82"/>
      <c r="BB11" s="82">
        <v>0</v>
      </c>
      <c r="BC11" s="82"/>
      <c r="BD11" s="82">
        <v>0</v>
      </c>
      <c r="BE11" s="82"/>
      <c r="BF11" s="82">
        <v>0</v>
      </c>
      <c r="BG11" s="82"/>
      <c r="BH11" s="82">
        <v>0</v>
      </c>
      <c r="BI11" s="82"/>
      <c r="BJ11" s="82"/>
      <c r="BK11" s="82"/>
      <c r="BL11" s="82"/>
      <c r="BM11" s="82"/>
      <c r="BN11" s="82">
        <v>0</v>
      </c>
      <c r="BO11" s="82"/>
      <c r="BP11" s="82">
        <v>0</v>
      </c>
      <c r="BQ11" s="82"/>
      <c r="BR11" s="82">
        <v>0</v>
      </c>
      <c r="BS11" s="82"/>
      <c r="BT11" s="82">
        <v>0</v>
      </c>
      <c r="BU11" s="51"/>
      <c r="BV11" s="51"/>
      <c r="BW11" s="51"/>
      <c r="BX11" s="51"/>
      <c r="BY11" s="51"/>
      <c r="BZ11" s="51">
        <v>0</v>
      </c>
      <c r="CA11" s="51"/>
      <c r="CB11" s="51">
        <v>0</v>
      </c>
      <c r="CC11" s="51"/>
      <c r="CD11" s="51">
        <v>0</v>
      </c>
      <c r="CE11" s="51"/>
      <c r="CF11" s="51">
        <v>0</v>
      </c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</row>
    <row r="12" spans="2:114" ht="12.75">
      <c r="B12" s="53" t="s">
        <v>137</v>
      </c>
      <c r="D12" s="53" t="s">
        <v>68</v>
      </c>
      <c r="E12" s="74"/>
      <c r="F12" s="51">
        <v>43.5</v>
      </c>
      <c r="G12" s="74"/>
      <c r="H12" s="51">
        <v>62.7</v>
      </c>
      <c r="I12" s="74"/>
      <c r="J12" s="51">
        <v>52.7</v>
      </c>
      <c r="K12" s="74"/>
      <c r="L12" s="51">
        <v>78.7</v>
      </c>
      <c r="M12" s="51"/>
      <c r="N12" s="51"/>
      <c r="O12" s="51"/>
      <c r="P12" s="51"/>
      <c r="Q12" s="74"/>
      <c r="R12" s="51"/>
      <c r="S12" s="74"/>
      <c r="T12" s="51"/>
      <c r="U12" s="74"/>
      <c r="V12" s="51"/>
      <c r="W12" s="74"/>
      <c r="X12" s="51"/>
      <c r="Y12" s="51"/>
      <c r="Z12" s="51"/>
      <c r="AA12" s="51"/>
      <c r="AB12" s="51"/>
      <c r="AC12" s="51"/>
      <c r="AD12" s="51">
        <v>50.4</v>
      </c>
      <c r="AE12" s="51"/>
      <c r="AF12" s="51">
        <v>53.4</v>
      </c>
      <c r="AG12" s="51"/>
      <c r="AH12" s="51">
        <v>54.1</v>
      </c>
      <c r="AI12" s="51"/>
      <c r="AJ12" s="51">
        <v>41.1</v>
      </c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X12" s="53">
        <f>F12+AD12</f>
        <v>93.9</v>
      </c>
      <c r="CZ12" s="53">
        <f>H12+AF12</f>
        <v>116.1</v>
      </c>
      <c r="DB12" s="53">
        <f>J12+AH12</f>
        <v>106.80000000000001</v>
      </c>
      <c r="DD12" s="53">
        <f>L12+AJ12</f>
        <v>119.80000000000001</v>
      </c>
      <c r="DJ12" s="53">
        <f>AVERAGE(CX12,CZ12,DB12,DD12)</f>
        <v>109.15</v>
      </c>
    </row>
    <row r="13" spans="1:100" ht="12.75">
      <c r="A13" s="53" t="s">
        <v>185</v>
      </c>
      <c r="B13" s="53" t="s">
        <v>20</v>
      </c>
      <c r="D13" s="53" t="s">
        <v>162</v>
      </c>
      <c r="E13" s="74"/>
      <c r="F13" s="51">
        <v>4.04</v>
      </c>
      <c r="G13" s="74"/>
      <c r="H13" s="51">
        <v>6.71</v>
      </c>
      <c r="I13" s="74"/>
      <c r="J13" s="51">
        <v>4.79</v>
      </c>
      <c r="K13" s="74"/>
      <c r="L13" s="51">
        <v>8.93</v>
      </c>
      <c r="M13" s="51"/>
      <c r="N13" s="51"/>
      <c r="O13" s="51"/>
      <c r="P13" s="51"/>
      <c r="Q13" s="74" t="s">
        <v>12</v>
      </c>
      <c r="R13" s="51">
        <v>17.8</v>
      </c>
      <c r="S13" s="74" t="s">
        <v>12</v>
      </c>
      <c r="T13" s="51">
        <v>17.8</v>
      </c>
      <c r="U13" s="74" t="s">
        <v>12</v>
      </c>
      <c r="V13" s="51">
        <v>17.8</v>
      </c>
      <c r="W13" s="74" t="s">
        <v>12</v>
      </c>
      <c r="X13" s="51">
        <v>17.7</v>
      </c>
      <c r="Y13" s="51"/>
      <c r="Z13" s="51"/>
      <c r="AA13" s="51"/>
      <c r="AB13" s="51"/>
      <c r="AC13" s="51"/>
      <c r="AD13" s="51">
        <v>73.3</v>
      </c>
      <c r="AE13" s="51"/>
      <c r="AF13" s="51">
        <v>80.3</v>
      </c>
      <c r="AG13" s="51"/>
      <c r="AH13" s="51">
        <v>76.6</v>
      </c>
      <c r="AI13" s="51"/>
      <c r="AJ13" s="51">
        <v>76.4</v>
      </c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</row>
    <row r="14" spans="1:100" ht="12.75">
      <c r="A14" s="53" t="s">
        <v>185</v>
      </c>
      <c r="B14" s="53" t="s">
        <v>99</v>
      </c>
      <c r="D14" s="53" t="s">
        <v>162</v>
      </c>
      <c r="E14" s="74" t="s">
        <v>12</v>
      </c>
      <c r="F14" s="56">
        <v>0.0311</v>
      </c>
      <c r="G14" s="77" t="s">
        <v>12</v>
      </c>
      <c r="H14" s="56">
        <v>0.0357</v>
      </c>
      <c r="I14" s="77" t="s">
        <v>12</v>
      </c>
      <c r="J14" s="56">
        <v>0.0284</v>
      </c>
      <c r="K14" s="77" t="s">
        <v>12</v>
      </c>
      <c r="L14" s="56">
        <v>0.0368</v>
      </c>
      <c r="M14" s="56"/>
      <c r="N14" s="56"/>
      <c r="O14" s="56"/>
      <c r="P14" s="56"/>
      <c r="Q14" s="77" t="s">
        <v>12</v>
      </c>
      <c r="R14" s="56">
        <v>0.89</v>
      </c>
      <c r="S14" s="77" t="s">
        <v>12</v>
      </c>
      <c r="T14" s="56">
        <v>0.8</v>
      </c>
      <c r="U14" s="77" t="s">
        <v>12</v>
      </c>
      <c r="V14" s="56">
        <v>0.889</v>
      </c>
      <c r="W14" s="77" t="s">
        <v>12</v>
      </c>
      <c r="X14" s="56">
        <v>0.887</v>
      </c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>
        <v>8.82E-05</v>
      </c>
      <c r="AS14" s="56"/>
      <c r="AT14" s="56">
        <v>0.000882</v>
      </c>
      <c r="AU14" s="56"/>
      <c r="AV14" s="56">
        <v>0.00132</v>
      </c>
      <c r="AW14" s="56"/>
      <c r="AX14" s="56"/>
      <c r="AY14" s="56"/>
      <c r="AZ14" s="56"/>
      <c r="BA14" s="56"/>
      <c r="BB14" s="56">
        <v>0.00858</v>
      </c>
      <c r="BC14" s="56"/>
      <c r="BD14" s="56">
        <v>0.0149</v>
      </c>
      <c r="BE14" s="56"/>
      <c r="BF14" s="56">
        <v>0.0196</v>
      </c>
      <c r="BG14" s="56"/>
      <c r="BH14" s="56">
        <v>0.0138</v>
      </c>
      <c r="BI14" s="56"/>
      <c r="BJ14" s="56"/>
      <c r="BK14" s="56"/>
      <c r="BL14" s="56"/>
      <c r="BM14" s="56"/>
      <c r="BN14" s="56">
        <v>0.0154</v>
      </c>
      <c r="BO14" s="56"/>
      <c r="BP14" s="56">
        <v>0.0161</v>
      </c>
      <c r="BQ14" s="56"/>
      <c r="BR14" s="56">
        <v>0.0171</v>
      </c>
      <c r="BS14" s="56"/>
      <c r="BT14" s="56">
        <v>0.0113</v>
      </c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</row>
    <row r="15" spans="1:100" ht="12.75">
      <c r="A15" s="53" t="s">
        <v>185</v>
      </c>
      <c r="B15" s="53" t="s">
        <v>95</v>
      </c>
      <c r="D15" s="53" t="s">
        <v>162</v>
      </c>
      <c r="E15" s="74"/>
      <c r="F15" s="56">
        <v>0.0714</v>
      </c>
      <c r="G15" s="77"/>
      <c r="H15" s="56">
        <v>0.0939</v>
      </c>
      <c r="I15" s="77"/>
      <c r="J15" s="56">
        <v>0.0891</v>
      </c>
      <c r="K15" s="77"/>
      <c r="L15" s="56">
        <v>0.126</v>
      </c>
      <c r="M15" s="56"/>
      <c r="N15" s="56"/>
      <c r="O15" s="56"/>
      <c r="P15" s="56"/>
      <c r="Q15" s="77" t="s">
        <v>12</v>
      </c>
      <c r="R15" s="56">
        <v>0.0891</v>
      </c>
      <c r="S15" s="77" t="s">
        <v>12</v>
      </c>
      <c r="T15" s="56">
        <v>0.0888</v>
      </c>
      <c r="U15" s="77" t="s">
        <v>12</v>
      </c>
      <c r="V15" s="56">
        <v>0.0888</v>
      </c>
      <c r="W15" s="77" t="s">
        <v>12</v>
      </c>
      <c r="X15" s="56">
        <v>0.0886</v>
      </c>
      <c r="Y15" s="56"/>
      <c r="Z15" s="56"/>
      <c r="AA15" s="56"/>
      <c r="AB15" s="56"/>
      <c r="AC15" s="56"/>
      <c r="AD15" s="56"/>
      <c r="AE15" s="56"/>
      <c r="AF15" s="56"/>
      <c r="AG15" s="56"/>
      <c r="AH15" s="56">
        <v>0.00397</v>
      </c>
      <c r="AI15" s="56"/>
      <c r="AJ15" s="56"/>
      <c r="AK15" s="56"/>
      <c r="AL15" s="56"/>
      <c r="AM15" s="56"/>
      <c r="AN15" s="56"/>
      <c r="AO15" s="56"/>
      <c r="AP15" s="56">
        <v>0.0806</v>
      </c>
      <c r="AQ15" s="56"/>
      <c r="AR15" s="56">
        <v>0.0742</v>
      </c>
      <c r="AS15" s="56"/>
      <c r="AT15" s="56">
        <v>0.124</v>
      </c>
      <c r="AU15" s="56"/>
      <c r="AV15" s="56">
        <v>0.104</v>
      </c>
      <c r="AW15" s="56"/>
      <c r="AX15" s="56"/>
      <c r="AY15" s="56"/>
      <c r="AZ15" s="56"/>
      <c r="BA15" s="56"/>
      <c r="BB15" s="56">
        <v>0.0295</v>
      </c>
      <c r="BC15" s="56"/>
      <c r="BD15" s="56">
        <v>0.0271</v>
      </c>
      <c r="BE15" s="56"/>
      <c r="BF15" s="56">
        <v>0.00483</v>
      </c>
      <c r="BG15" s="56"/>
      <c r="BH15" s="56">
        <v>0.00212</v>
      </c>
      <c r="BI15" s="56"/>
      <c r="BJ15" s="56"/>
      <c r="BK15" s="56"/>
      <c r="BL15" s="56"/>
      <c r="BM15" s="56"/>
      <c r="BN15" s="56">
        <v>0.0252</v>
      </c>
      <c r="BO15" s="56"/>
      <c r="BP15" s="56">
        <v>0.00474</v>
      </c>
      <c r="BQ15" s="56"/>
      <c r="BR15" s="56">
        <v>0.00679</v>
      </c>
      <c r="BS15" s="56"/>
      <c r="BT15" s="56">
        <v>0.00353</v>
      </c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</row>
    <row r="16" spans="1:100" ht="12.75">
      <c r="A16" s="53" t="s">
        <v>185</v>
      </c>
      <c r="B16" s="53" t="s">
        <v>96</v>
      </c>
      <c r="D16" s="53" t="s">
        <v>162</v>
      </c>
      <c r="E16" s="74"/>
      <c r="F16" s="56">
        <v>0.134</v>
      </c>
      <c r="G16" s="77"/>
      <c r="H16" s="56">
        <v>0.215</v>
      </c>
      <c r="I16" s="77"/>
      <c r="J16" s="56">
        <v>0.203</v>
      </c>
      <c r="K16" s="77"/>
      <c r="L16" s="56">
        <v>0.241</v>
      </c>
      <c r="M16" s="56"/>
      <c r="N16" s="56"/>
      <c r="O16" s="56"/>
      <c r="P16" s="56"/>
      <c r="Q16" s="77" t="s">
        <v>12</v>
      </c>
      <c r="R16" s="56">
        <v>1.78</v>
      </c>
      <c r="S16" s="77" t="s">
        <v>12</v>
      </c>
      <c r="T16" s="56">
        <v>1.78</v>
      </c>
      <c r="U16" s="77" t="s">
        <v>12</v>
      </c>
      <c r="V16" s="56">
        <v>1.78</v>
      </c>
      <c r="W16" s="77" t="s">
        <v>12</v>
      </c>
      <c r="X16" s="56">
        <v>1.77</v>
      </c>
      <c r="Y16" s="56"/>
      <c r="Z16" s="56"/>
      <c r="AA16" s="56"/>
      <c r="AB16" s="56"/>
      <c r="AC16" s="56"/>
      <c r="AD16" s="56"/>
      <c r="AE16" s="56"/>
      <c r="AF16" s="56">
        <v>0.758</v>
      </c>
      <c r="AG16" s="56"/>
      <c r="AH16" s="56">
        <v>0.108</v>
      </c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>
        <v>0.00223</v>
      </c>
      <c r="AW16" s="56"/>
      <c r="AX16" s="56"/>
      <c r="AY16" s="56"/>
      <c r="AZ16" s="56"/>
      <c r="BA16" s="56"/>
      <c r="BB16" s="56">
        <v>0.00952</v>
      </c>
      <c r="BC16" s="56"/>
      <c r="BD16" s="56">
        <v>0.00635</v>
      </c>
      <c r="BE16" s="56"/>
      <c r="BF16" s="56">
        <v>0.00245</v>
      </c>
      <c r="BG16" s="56"/>
      <c r="BH16" s="56">
        <v>0.00265</v>
      </c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</row>
    <row r="17" spans="1:100" ht="12.75">
      <c r="A17" s="53" t="s">
        <v>185</v>
      </c>
      <c r="B17" s="53" t="s">
        <v>97</v>
      </c>
      <c r="D17" s="53" t="s">
        <v>162</v>
      </c>
      <c r="E17" s="74"/>
      <c r="F17" s="56">
        <v>0.00904</v>
      </c>
      <c r="G17" s="77"/>
      <c r="H17" s="56">
        <v>0.013</v>
      </c>
      <c r="I17" s="77"/>
      <c r="J17" s="56">
        <v>0.0121</v>
      </c>
      <c r="K17" s="77"/>
      <c r="L17" s="56">
        <v>0.0152</v>
      </c>
      <c r="M17" s="56"/>
      <c r="N17" s="56"/>
      <c r="O17" s="56"/>
      <c r="P17" s="56"/>
      <c r="Q17" s="77" t="s">
        <v>12</v>
      </c>
      <c r="R17" s="56">
        <v>0.0445</v>
      </c>
      <c r="S17" s="77" t="s">
        <v>12</v>
      </c>
      <c r="T17" s="56">
        <v>0.0445</v>
      </c>
      <c r="U17" s="77" t="s">
        <v>12</v>
      </c>
      <c r="V17" s="56">
        <v>0.0445</v>
      </c>
      <c r="W17" s="77" t="s">
        <v>12</v>
      </c>
      <c r="X17" s="56">
        <v>0.0443</v>
      </c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>
        <v>6.61E-05</v>
      </c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>
        <v>0.00441</v>
      </c>
      <c r="CA17" s="56"/>
      <c r="CB17" s="56">
        <v>0.00441</v>
      </c>
      <c r="CC17" s="56"/>
      <c r="CD17" s="56">
        <v>0.00441</v>
      </c>
      <c r="CE17" s="56"/>
      <c r="CF17" s="56">
        <v>0.00441</v>
      </c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</row>
    <row r="18" spans="1:100" ht="12.75">
      <c r="A18" s="53" t="s">
        <v>185</v>
      </c>
      <c r="B18" s="53" t="s">
        <v>102</v>
      </c>
      <c r="D18" s="53" t="s">
        <v>162</v>
      </c>
      <c r="E18" s="74"/>
      <c r="F18" s="56">
        <v>0.00397</v>
      </c>
      <c r="G18" s="77"/>
      <c r="H18" s="56">
        <v>0.00176</v>
      </c>
      <c r="I18" s="77"/>
      <c r="J18" s="56">
        <v>0.00287</v>
      </c>
      <c r="K18" s="77"/>
      <c r="L18" s="56">
        <v>0.0022</v>
      </c>
      <c r="M18" s="56"/>
      <c r="N18" s="56"/>
      <c r="O18" s="56"/>
      <c r="P18" s="56"/>
      <c r="Q18" s="77" t="s">
        <v>12</v>
      </c>
      <c r="R18" s="56">
        <v>0.0445</v>
      </c>
      <c r="S18" s="77" t="s">
        <v>12</v>
      </c>
      <c r="T18" s="56">
        <v>0.0445</v>
      </c>
      <c r="U18" s="77" t="s">
        <v>12</v>
      </c>
      <c r="V18" s="56">
        <v>0.0445</v>
      </c>
      <c r="W18" s="77"/>
      <c r="X18" s="56">
        <v>1.24</v>
      </c>
      <c r="Y18" s="56"/>
      <c r="Z18" s="56"/>
      <c r="AA18" s="56"/>
      <c r="AB18" s="56"/>
      <c r="AC18" s="56"/>
      <c r="AD18" s="56">
        <v>0.00683</v>
      </c>
      <c r="AE18" s="56"/>
      <c r="AF18" s="56">
        <v>0.058</v>
      </c>
      <c r="AG18" s="56"/>
      <c r="AH18" s="56">
        <v>0.00683</v>
      </c>
      <c r="AI18" s="56"/>
      <c r="AJ18" s="56">
        <v>0.0157</v>
      </c>
      <c r="AK18" s="56"/>
      <c r="AL18" s="56"/>
      <c r="AM18" s="56"/>
      <c r="AN18" s="56"/>
      <c r="AO18" s="56"/>
      <c r="AP18" s="56">
        <v>4.03</v>
      </c>
      <c r="AQ18" s="56"/>
      <c r="AR18" s="56">
        <v>3.45</v>
      </c>
      <c r="AS18" s="56"/>
      <c r="AT18" s="56">
        <v>3.64</v>
      </c>
      <c r="AU18" s="56"/>
      <c r="AV18" s="56">
        <v>3.24</v>
      </c>
      <c r="AW18" s="56"/>
      <c r="AX18" s="56"/>
      <c r="AY18" s="56"/>
      <c r="AZ18" s="56"/>
      <c r="BA18" s="56"/>
      <c r="BB18" s="56">
        <v>0.419</v>
      </c>
      <c r="BC18" s="56"/>
      <c r="BD18" s="56">
        <v>0.448</v>
      </c>
      <c r="BE18" s="56"/>
      <c r="BF18" s="56">
        <v>0.0669</v>
      </c>
      <c r="BG18" s="56"/>
      <c r="BH18" s="56">
        <v>0.0123</v>
      </c>
      <c r="BI18" s="56"/>
      <c r="BJ18" s="56"/>
      <c r="BK18" s="56"/>
      <c r="BL18" s="56"/>
      <c r="BM18" s="56"/>
      <c r="BN18" s="56">
        <v>0.386</v>
      </c>
      <c r="BO18" s="56"/>
      <c r="BP18" s="56">
        <v>0.15</v>
      </c>
      <c r="BQ18" s="56"/>
      <c r="BR18" s="56">
        <v>0.114</v>
      </c>
      <c r="BS18" s="56"/>
      <c r="BT18" s="56">
        <v>0.0598</v>
      </c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</row>
    <row r="19" spans="1:100" ht="12.75">
      <c r="A19" s="53" t="s">
        <v>185</v>
      </c>
      <c r="B19" s="53" t="s">
        <v>104</v>
      </c>
      <c r="D19" s="53" t="s">
        <v>162</v>
      </c>
      <c r="E19" s="74"/>
      <c r="F19" s="56">
        <v>0.0465</v>
      </c>
      <c r="G19" s="77"/>
      <c r="H19" s="56">
        <v>0.0626</v>
      </c>
      <c r="I19" s="77"/>
      <c r="J19" s="56">
        <v>0.0567</v>
      </c>
      <c r="K19" s="77"/>
      <c r="L19" s="56">
        <v>0.0683</v>
      </c>
      <c r="M19" s="56"/>
      <c r="N19" s="56"/>
      <c r="O19" s="56"/>
      <c r="P19" s="56"/>
      <c r="Q19" s="77"/>
      <c r="R19" s="56">
        <v>0.267</v>
      </c>
      <c r="S19" s="77"/>
      <c r="T19" s="56">
        <v>0.267</v>
      </c>
      <c r="U19" s="77"/>
      <c r="V19" s="56">
        <v>0.356</v>
      </c>
      <c r="W19" s="77"/>
      <c r="X19" s="56">
        <v>0.355</v>
      </c>
      <c r="Y19" s="56"/>
      <c r="Z19" s="56"/>
      <c r="AA19" s="56"/>
      <c r="AB19" s="56"/>
      <c r="AC19" s="56"/>
      <c r="AD19" s="56">
        <v>0.0425</v>
      </c>
      <c r="AE19" s="56"/>
      <c r="AF19" s="56">
        <v>0.196</v>
      </c>
      <c r="AG19" s="56"/>
      <c r="AH19" s="56">
        <v>0.019</v>
      </c>
      <c r="AI19" s="56"/>
      <c r="AJ19" s="56">
        <v>0.0267</v>
      </c>
      <c r="AK19" s="56"/>
      <c r="AL19" s="56"/>
      <c r="AM19" s="56"/>
      <c r="AN19" s="56"/>
      <c r="AO19" s="56"/>
      <c r="AP19" s="56">
        <v>0.0202</v>
      </c>
      <c r="AQ19" s="56"/>
      <c r="AR19" s="56">
        <v>0.0175</v>
      </c>
      <c r="AS19" s="56"/>
      <c r="AT19" s="56">
        <v>0.0204</v>
      </c>
      <c r="AU19" s="56"/>
      <c r="AV19" s="56">
        <v>0.0168</v>
      </c>
      <c r="AW19" s="56"/>
      <c r="AX19" s="56"/>
      <c r="AY19" s="56"/>
      <c r="AZ19" s="56"/>
      <c r="BA19" s="56"/>
      <c r="BB19" s="56">
        <v>0.857</v>
      </c>
      <c r="BC19" s="56"/>
      <c r="BD19" s="56">
        <v>1.55</v>
      </c>
      <c r="BE19" s="56"/>
      <c r="BF19" s="56">
        <v>2.02</v>
      </c>
      <c r="BG19" s="56"/>
      <c r="BH19" s="56">
        <v>1.46</v>
      </c>
      <c r="BI19" s="56"/>
      <c r="BJ19" s="56"/>
      <c r="BK19" s="56"/>
      <c r="BL19" s="56"/>
      <c r="BM19" s="56"/>
      <c r="BN19" s="56">
        <v>0.0495</v>
      </c>
      <c r="BO19" s="56"/>
      <c r="BP19" s="56">
        <v>0.0251</v>
      </c>
      <c r="BQ19" s="56"/>
      <c r="BR19" s="56">
        <v>0.0118</v>
      </c>
      <c r="BS19" s="56"/>
      <c r="BT19" s="56">
        <v>0.00472</v>
      </c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</row>
    <row r="20" spans="1:100" ht="12.75">
      <c r="A20" s="53" t="s">
        <v>185</v>
      </c>
      <c r="B20" s="53" t="s">
        <v>201</v>
      </c>
      <c r="D20" s="53" t="s">
        <v>162</v>
      </c>
      <c r="E20" s="74"/>
      <c r="F20" s="56"/>
      <c r="G20" s="77"/>
      <c r="H20" s="56"/>
      <c r="I20" s="77"/>
      <c r="J20" s="56"/>
      <c r="K20" s="77"/>
      <c r="L20" s="56"/>
      <c r="M20" s="56"/>
      <c r="N20" s="56"/>
      <c r="O20" s="56"/>
      <c r="P20" s="56"/>
      <c r="Q20" s="77"/>
      <c r="R20" s="56"/>
      <c r="S20" s="77"/>
      <c r="T20" s="56"/>
      <c r="U20" s="77"/>
      <c r="V20" s="56"/>
      <c r="W20" s="77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>
        <v>2.2E-05</v>
      </c>
      <c r="AQ20" s="56"/>
      <c r="AR20" s="56">
        <v>2.2E-05</v>
      </c>
      <c r="AS20" s="56"/>
      <c r="AT20" s="56">
        <v>4.41E-05</v>
      </c>
      <c r="AU20" s="56"/>
      <c r="AV20" s="56">
        <v>2.2E-05</v>
      </c>
      <c r="AW20" s="56"/>
      <c r="AX20" s="56"/>
      <c r="AY20" s="56"/>
      <c r="AZ20" s="56"/>
      <c r="BA20" s="56"/>
      <c r="BB20" s="56">
        <v>0.343</v>
      </c>
      <c r="BC20" s="56"/>
      <c r="BD20" s="56">
        <v>1.02</v>
      </c>
      <c r="BE20" s="56"/>
      <c r="BF20" s="56">
        <v>1.68</v>
      </c>
      <c r="BG20" s="56"/>
      <c r="BH20" s="56">
        <v>1.18</v>
      </c>
      <c r="BI20" s="56"/>
      <c r="BJ20" s="56"/>
      <c r="BK20" s="56"/>
      <c r="BL20" s="56"/>
      <c r="BM20" s="56"/>
      <c r="BN20" s="56">
        <v>0.000992</v>
      </c>
      <c r="BO20" s="56"/>
      <c r="BP20" s="56">
        <v>0.00273</v>
      </c>
      <c r="BQ20" s="56"/>
      <c r="BR20" s="56">
        <v>0.00203</v>
      </c>
      <c r="BS20" s="56"/>
      <c r="BT20" s="56">
        <v>0.000397</v>
      </c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</row>
    <row r="21" spans="1:100" ht="12.75">
      <c r="A21" s="53" t="s">
        <v>185</v>
      </c>
      <c r="B21" s="53" t="s">
        <v>100</v>
      </c>
      <c r="D21" s="53" t="s">
        <v>162</v>
      </c>
      <c r="E21" s="74"/>
      <c r="F21" s="56">
        <v>0.0498</v>
      </c>
      <c r="G21" s="77"/>
      <c r="H21" s="56">
        <v>0.0357</v>
      </c>
      <c r="I21" s="77"/>
      <c r="J21" s="56">
        <v>0.0284</v>
      </c>
      <c r="K21" s="77"/>
      <c r="L21" s="56">
        <v>0.0472</v>
      </c>
      <c r="M21" s="56"/>
      <c r="N21" s="56"/>
      <c r="O21" s="56"/>
      <c r="P21" s="56"/>
      <c r="Q21" s="77"/>
      <c r="R21" s="56">
        <v>0.356</v>
      </c>
      <c r="S21" s="77"/>
      <c r="T21" s="56">
        <v>0.444</v>
      </c>
      <c r="U21" s="77"/>
      <c r="V21" s="56">
        <v>0.444</v>
      </c>
      <c r="W21" s="77"/>
      <c r="X21" s="56">
        <v>0.621</v>
      </c>
      <c r="Y21" s="56"/>
      <c r="Z21" s="56"/>
      <c r="AA21" s="56"/>
      <c r="AB21" s="56"/>
      <c r="AC21" s="56"/>
      <c r="AD21" s="56">
        <v>0.0459</v>
      </c>
      <c r="AE21" s="56"/>
      <c r="AF21" s="56">
        <v>0.803</v>
      </c>
      <c r="AG21" s="56"/>
      <c r="AH21" s="56">
        <v>0.113</v>
      </c>
      <c r="AI21" s="56"/>
      <c r="AJ21" s="56">
        <v>0.459</v>
      </c>
      <c r="AK21" s="56"/>
      <c r="AL21" s="56"/>
      <c r="AM21" s="56"/>
      <c r="AN21" s="56"/>
      <c r="AO21" s="56"/>
      <c r="AP21" s="56">
        <v>0.0161</v>
      </c>
      <c r="AQ21" s="56"/>
      <c r="AR21" s="56">
        <v>0.013</v>
      </c>
      <c r="AS21" s="56"/>
      <c r="AT21" s="56">
        <v>0.00655</v>
      </c>
      <c r="AU21" s="56"/>
      <c r="AV21" s="56">
        <v>0.0277</v>
      </c>
      <c r="AW21" s="56"/>
      <c r="AX21" s="56"/>
      <c r="AY21" s="56"/>
      <c r="AZ21" s="56"/>
      <c r="BA21" s="56"/>
      <c r="BB21" s="56">
        <v>0.181</v>
      </c>
      <c r="BC21" s="56"/>
      <c r="BD21" s="56">
        <v>0.145</v>
      </c>
      <c r="BE21" s="56"/>
      <c r="BF21" s="56">
        <v>0.0402</v>
      </c>
      <c r="BG21" s="56"/>
      <c r="BH21" s="56">
        <v>0.0347</v>
      </c>
      <c r="BI21" s="56"/>
      <c r="BJ21" s="56"/>
      <c r="BK21" s="56"/>
      <c r="BL21" s="56"/>
      <c r="BM21" s="56"/>
      <c r="BN21" s="56">
        <v>3.62</v>
      </c>
      <c r="BO21" s="56"/>
      <c r="BP21" s="56">
        <v>4</v>
      </c>
      <c r="BQ21" s="56"/>
      <c r="BR21" s="56">
        <v>5.96</v>
      </c>
      <c r="BS21" s="56"/>
      <c r="BT21" s="56">
        <v>2.76</v>
      </c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</row>
    <row r="22" spans="1:100" ht="12.75">
      <c r="A22" s="53" t="s">
        <v>185</v>
      </c>
      <c r="B22" s="53" t="s">
        <v>107</v>
      </c>
      <c r="D22" s="53" t="s">
        <v>162</v>
      </c>
      <c r="E22" s="74"/>
      <c r="F22" s="56">
        <v>0.00132</v>
      </c>
      <c r="G22" s="77"/>
      <c r="H22" s="56">
        <v>0.00176</v>
      </c>
      <c r="I22" s="77"/>
      <c r="J22" s="56">
        <v>0.00154</v>
      </c>
      <c r="K22" s="77"/>
      <c r="L22" s="56">
        <v>0.0022</v>
      </c>
      <c r="M22" s="56"/>
      <c r="N22" s="56"/>
      <c r="O22" s="56"/>
      <c r="P22" s="56"/>
      <c r="Q22" s="77" t="s">
        <v>12</v>
      </c>
      <c r="R22" s="56">
        <v>0.00882</v>
      </c>
      <c r="S22" s="77" t="s">
        <v>12</v>
      </c>
      <c r="T22" s="56">
        <v>0.00882</v>
      </c>
      <c r="U22" s="77" t="s">
        <v>12</v>
      </c>
      <c r="V22" s="56">
        <v>0.00882</v>
      </c>
      <c r="W22" s="77" t="s">
        <v>12</v>
      </c>
      <c r="X22" s="56">
        <v>0.00882</v>
      </c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>
        <v>2.2E-05</v>
      </c>
      <c r="AW22" s="56"/>
      <c r="AX22" s="56"/>
      <c r="AY22" s="56"/>
      <c r="AZ22" s="56"/>
      <c r="BA22" s="56"/>
      <c r="BB22" s="56">
        <v>0.000132</v>
      </c>
      <c r="BC22" s="56"/>
      <c r="BD22" s="56">
        <v>0.000132</v>
      </c>
      <c r="BE22" s="56"/>
      <c r="BF22" s="56">
        <v>0.00011</v>
      </c>
      <c r="BG22" s="56"/>
      <c r="BH22" s="56">
        <v>8.82E-05</v>
      </c>
      <c r="BI22" s="56"/>
      <c r="BJ22" s="56"/>
      <c r="BK22" s="56"/>
      <c r="BL22" s="56"/>
      <c r="BM22" s="56"/>
      <c r="BN22" s="56">
        <v>0.000573</v>
      </c>
      <c r="BO22" s="56"/>
      <c r="BP22" s="56">
        <v>0.000529</v>
      </c>
      <c r="BQ22" s="56"/>
      <c r="BR22" s="56">
        <v>0.000595</v>
      </c>
      <c r="BS22" s="56"/>
      <c r="BT22" s="56">
        <v>0.000309</v>
      </c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</row>
    <row r="23" spans="1:100" ht="12.75">
      <c r="A23" s="53" t="s">
        <v>185</v>
      </c>
      <c r="B23" s="53" t="s">
        <v>101</v>
      </c>
      <c r="D23" s="53" t="s">
        <v>162</v>
      </c>
      <c r="E23" s="74" t="s">
        <v>12</v>
      </c>
      <c r="F23" s="56">
        <v>0.0465</v>
      </c>
      <c r="G23" s="77" t="s">
        <v>12</v>
      </c>
      <c r="H23" s="56">
        <v>0.0582</v>
      </c>
      <c r="I23" s="77"/>
      <c r="J23" s="56">
        <v>0.0485</v>
      </c>
      <c r="K23" s="77"/>
      <c r="L23" s="56">
        <v>0.0631</v>
      </c>
      <c r="M23" s="56"/>
      <c r="N23" s="56"/>
      <c r="O23" s="56"/>
      <c r="P23" s="56"/>
      <c r="Q23" s="77" t="s">
        <v>12</v>
      </c>
      <c r="R23" s="56">
        <v>0.356</v>
      </c>
      <c r="S23" s="77"/>
      <c r="T23" s="56">
        <v>0.444</v>
      </c>
      <c r="U23" s="77"/>
      <c r="V23" s="56">
        <v>0.444</v>
      </c>
      <c r="W23" s="77"/>
      <c r="X23" s="56">
        <v>0.621</v>
      </c>
      <c r="Y23" s="56"/>
      <c r="Z23" s="56"/>
      <c r="AA23" s="56"/>
      <c r="AB23" s="56"/>
      <c r="AC23" s="56"/>
      <c r="AD23" s="56"/>
      <c r="AE23" s="56"/>
      <c r="AF23" s="56">
        <v>0.0401</v>
      </c>
      <c r="AG23" s="56"/>
      <c r="AH23" s="56"/>
      <c r="AI23" s="56"/>
      <c r="AJ23" s="56"/>
      <c r="AK23" s="56"/>
      <c r="AL23" s="56"/>
      <c r="AM23" s="56"/>
      <c r="AN23" s="56"/>
      <c r="AO23" s="56"/>
      <c r="AP23" s="56">
        <v>0.00443</v>
      </c>
      <c r="AQ23" s="56"/>
      <c r="AR23" s="56">
        <v>0.00379</v>
      </c>
      <c r="AS23" s="56"/>
      <c r="AT23" s="56">
        <v>0.00401</v>
      </c>
      <c r="AU23" s="56"/>
      <c r="AV23" s="56">
        <v>0.00425</v>
      </c>
      <c r="AW23" s="56"/>
      <c r="AX23" s="56"/>
      <c r="AY23" s="56"/>
      <c r="AZ23" s="56"/>
      <c r="BA23" s="56"/>
      <c r="BB23" s="56">
        <v>0.0667</v>
      </c>
      <c r="BC23" s="56"/>
      <c r="BD23" s="56">
        <v>0.191</v>
      </c>
      <c r="BE23" s="56"/>
      <c r="BF23" s="56">
        <v>0.26</v>
      </c>
      <c r="BG23" s="56"/>
      <c r="BH23" s="56">
        <v>0.0326</v>
      </c>
      <c r="BI23" s="56"/>
      <c r="BJ23" s="56"/>
      <c r="BK23" s="56"/>
      <c r="BL23" s="56"/>
      <c r="BM23" s="56"/>
      <c r="BN23" s="56">
        <v>0.15</v>
      </c>
      <c r="BO23" s="56"/>
      <c r="BP23" s="56">
        <v>0.0922</v>
      </c>
      <c r="BQ23" s="56"/>
      <c r="BR23" s="56">
        <v>0.116</v>
      </c>
      <c r="BS23" s="56"/>
      <c r="BT23" s="56">
        <v>0.0663</v>
      </c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</row>
    <row r="24" spans="1:100" ht="12.75">
      <c r="A24" s="53" t="s">
        <v>185</v>
      </c>
      <c r="B24" s="53" t="s">
        <v>103</v>
      </c>
      <c r="D24" s="53" t="s">
        <v>162</v>
      </c>
      <c r="E24" s="74" t="s">
        <v>12</v>
      </c>
      <c r="F24" s="56">
        <v>0.00309</v>
      </c>
      <c r="G24" s="77" t="s">
        <v>12</v>
      </c>
      <c r="H24" s="56">
        <v>0.00353</v>
      </c>
      <c r="I24" s="77" t="s">
        <v>12</v>
      </c>
      <c r="J24" s="56">
        <v>0.00287</v>
      </c>
      <c r="K24" s="77" t="s">
        <v>12</v>
      </c>
      <c r="L24" s="56">
        <v>0.00375</v>
      </c>
      <c r="M24" s="56"/>
      <c r="N24" s="56"/>
      <c r="O24" s="56"/>
      <c r="P24" s="56"/>
      <c r="Q24" s="77" t="s">
        <v>12</v>
      </c>
      <c r="R24" s="56">
        <v>0.0891</v>
      </c>
      <c r="S24" s="77" t="s">
        <v>12</v>
      </c>
      <c r="T24" s="56">
        <v>0.08</v>
      </c>
      <c r="U24" s="77" t="s">
        <v>12</v>
      </c>
      <c r="V24" s="56">
        <v>0.0888</v>
      </c>
      <c r="W24" s="77" t="s">
        <v>12</v>
      </c>
      <c r="X24" s="56">
        <v>0.0886</v>
      </c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>
        <v>4.41E-05</v>
      </c>
      <c r="AW24" s="56"/>
      <c r="AX24" s="56"/>
      <c r="AY24" s="56"/>
      <c r="AZ24" s="56"/>
      <c r="BA24" s="56"/>
      <c r="BB24" s="56">
        <v>0.000287</v>
      </c>
      <c r="BC24" s="56"/>
      <c r="BD24" s="56">
        <v>0.000154</v>
      </c>
      <c r="BE24" s="56"/>
      <c r="BF24" s="56">
        <v>2.2E-05</v>
      </c>
      <c r="BG24" s="56"/>
      <c r="BH24" s="56">
        <v>2.2E-05</v>
      </c>
      <c r="BI24" s="56"/>
      <c r="BJ24" s="56"/>
      <c r="BK24" s="56"/>
      <c r="BL24" s="56"/>
      <c r="BM24" s="56"/>
      <c r="BN24" s="56"/>
      <c r="BO24" s="56"/>
      <c r="BP24" s="56">
        <v>6.61E-05</v>
      </c>
      <c r="BQ24" s="56"/>
      <c r="BR24" s="56">
        <v>0.000132</v>
      </c>
      <c r="BS24" s="56"/>
      <c r="BT24" s="56">
        <v>4.41E-05</v>
      </c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</row>
    <row r="25" spans="1:100" ht="12.75">
      <c r="A25" s="53" t="s">
        <v>185</v>
      </c>
      <c r="B25" s="53" t="s">
        <v>98</v>
      </c>
      <c r="D25" s="53" t="s">
        <v>162</v>
      </c>
      <c r="E25" s="74" t="s">
        <v>12</v>
      </c>
      <c r="F25" s="56">
        <v>0.00287</v>
      </c>
      <c r="G25" s="77" t="s">
        <v>12</v>
      </c>
      <c r="H25" s="56">
        <v>0.00397</v>
      </c>
      <c r="I25" s="77" t="s">
        <v>12</v>
      </c>
      <c r="J25" s="56">
        <v>0.00375</v>
      </c>
      <c r="K25" s="77" t="s">
        <v>12</v>
      </c>
      <c r="L25" s="56">
        <v>0.00463</v>
      </c>
      <c r="M25" s="56"/>
      <c r="N25" s="56"/>
      <c r="O25" s="56"/>
      <c r="P25" s="56"/>
      <c r="Q25" s="77" t="s">
        <v>12</v>
      </c>
      <c r="R25" s="56">
        <v>0.0891</v>
      </c>
      <c r="S25" s="77" t="s">
        <v>12</v>
      </c>
      <c r="T25" s="56">
        <v>0.0888</v>
      </c>
      <c r="U25" s="77" t="s">
        <v>12</v>
      </c>
      <c r="V25" s="56">
        <v>0.0888</v>
      </c>
      <c r="W25" s="77" t="s">
        <v>12</v>
      </c>
      <c r="X25" s="56">
        <v>0.0886</v>
      </c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</row>
    <row r="26" spans="5:100" ht="12.75">
      <c r="E26" s="74"/>
      <c r="F26" s="51"/>
      <c r="G26" s="74"/>
      <c r="H26" s="51"/>
      <c r="I26" s="74"/>
      <c r="J26" s="51"/>
      <c r="K26" s="74"/>
      <c r="L26" s="51"/>
      <c r="M26" s="51"/>
      <c r="N26" s="51"/>
      <c r="O26" s="51"/>
      <c r="P26" s="51"/>
      <c r="Q26" s="74"/>
      <c r="R26" s="51"/>
      <c r="S26" s="74"/>
      <c r="T26" s="51"/>
      <c r="U26" s="74"/>
      <c r="V26" s="51"/>
      <c r="W26" s="74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</row>
    <row r="27" spans="2:100" ht="12.75">
      <c r="B27" s="16" t="s">
        <v>67</v>
      </c>
      <c r="C27" s="16"/>
      <c r="D27" s="16" t="s">
        <v>15</v>
      </c>
      <c r="E27" s="74"/>
      <c r="F27" s="51">
        <f>'emiss 2'!$G$40</f>
        <v>46900</v>
      </c>
      <c r="G27" s="74"/>
      <c r="H27" s="51">
        <f>'emiss 2'!$I$40</f>
        <v>45900</v>
      </c>
      <c r="I27" s="74"/>
      <c r="J27" s="51">
        <f>'emiss 2'!$K$40</f>
        <v>49400</v>
      </c>
      <c r="K27" s="74"/>
      <c r="L27" s="51">
        <f>'emiss 2'!$M$40</f>
        <v>45700</v>
      </c>
      <c r="M27" s="51"/>
      <c r="N27" s="51"/>
      <c r="O27" s="51"/>
      <c r="P27" s="51"/>
      <c r="Q27" s="74"/>
      <c r="R27" s="51">
        <f>'emiss 2'!$G$40</f>
        <v>46900</v>
      </c>
      <c r="S27" s="74"/>
      <c r="T27" s="51">
        <f>'emiss 2'!$I$40</f>
        <v>45900</v>
      </c>
      <c r="U27" s="74"/>
      <c r="V27" s="51">
        <f>'emiss 2'!$K$40</f>
        <v>49400</v>
      </c>
      <c r="W27" s="74"/>
      <c r="X27" s="51">
        <f>'emiss 2'!$M$40</f>
        <v>45700</v>
      </c>
      <c r="Y27" s="51"/>
      <c r="Z27" s="51"/>
      <c r="AA27" s="51"/>
      <c r="AB27" s="51"/>
      <c r="AC27" s="51"/>
      <c r="AD27" s="51">
        <f>'emiss 2'!$G$40</f>
        <v>46900</v>
      </c>
      <c r="AE27" s="51"/>
      <c r="AF27" s="51">
        <f>'emiss 2'!$I$40</f>
        <v>45900</v>
      </c>
      <c r="AG27" s="51"/>
      <c r="AH27" s="51">
        <f>'emiss 2'!$K$40</f>
        <v>49400</v>
      </c>
      <c r="AI27" s="51"/>
      <c r="AJ27" s="51">
        <f>'emiss 2'!$M$40</f>
        <v>45700</v>
      </c>
      <c r="AK27" s="51"/>
      <c r="AL27" s="51"/>
      <c r="AM27" s="51"/>
      <c r="AN27" s="51"/>
      <c r="AO27" s="51"/>
      <c r="AP27" s="51">
        <f>'emiss 2'!$G$40</f>
        <v>46900</v>
      </c>
      <c r="AQ27" s="51"/>
      <c r="AR27" s="51">
        <f>'emiss 2'!$I$40</f>
        <v>45900</v>
      </c>
      <c r="AS27" s="51"/>
      <c r="AT27" s="51">
        <f>'emiss 2'!$K$40</f>
        <v>49400</v>
      </c>
      <c r="AU27" s="51"/>
      <c r="AV27" s="51">
        <f>'emiss 2'!$M$40</f>
        <v>45700</v>
      </c>
      <c r="AW27" s="51"/>
      <c r="AX27" s="51"/>
      <c r="AY27" s="51"/>
      <c r="AZ27" s="51"/>
      <c r="BA27" s="51"/>
      <c r="BB27" s="51">
        <f>'emiss 2'!$G$40</f>
        <v>46900</v>
      </c>
      <c r="BC27" s="51"/>
      <c r="BD27" s="51">
        <f>'emiss 2'!$I$40</f>
        <v>45900</v>
      </c>
      <c r="BE27" s="51"/>
      <c r="BF27" s="51">
        <f>'emiss 2'!$K$40</f>
        <v>49400</v>
      </c>
      <c r="BG27" s="51"/>
      <c r="BH27" s="51">
        <f>'emiss 2'!$M$40</f>
        <v>45700</v>
      </c>
      <c r="BI27" s="51"/>
      <c r="BJ27" s="51"/>
      <c r="BK27" s="51"/>
      <c r="BL27" s="51"/>
      <c r="BM27" s="51"/>
      <c r="BN27" s="51">
        <f>'emiss 2'!$G$40</f>
        <v>46900</v>
      </c>
      <c r="BO27" s="51"/>
      <c r="BP27" s="51">
        <f>'emiss 2'!$I$40</f>
        <v>45900</v>
      </c>
      <c r="BQ27" s="51"/>
      <c r="BR27" s="51">
        <f>'emiss 2'!$K$40</f>
        <v>49400</v>
      </c>
      <c r="BS27" s="51"/>
      <c r="BT27" s="51">
        <f>'emiss 2'!$M$40</f>
        <v>45700</v>
      </c>
      <c r="BU27" s="51"/>
      <c r="BV27" s="51"/>
      <c r="BW27" s="51"/>
      <c r="BX27" s="51"/>
      <c r="BY27" s="51"/>
      <c r="BZ27" s="51">
        <f>'emiss 2'!$G$40</f>
        <v>46900</v>
      </c>
      <c r="CA27" s="51"/>
      <c r="CB27" s="51">
        <f>'emiss 2'!$I$40</f>
        <v>45900</v>
      </c>
      <c r="CC27" s="51"/>
      <c r="CD27" s="51">
        <f>'emiss 2'!$K$40</f>
        <v>49400</v>
      </c>
      <c r="CE27" s="51"/>
      <c r="CF27" s="51">
        <f>'emiss 2'!$M$40</f>
        <v>45700</v>
      </c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</row>
    <row r="28" spans="2:100" ht="12.75">
      <c r="B28" s="16" t="s">
        <v>60</v>
      </c>
      <c r="C28" s="16"/>
      <c r="D28" s="16" t="s">
        <v>13</v>
      </c>
      <c r="E28" s="74"/>
      <c r="F28" s="51">
        <f>'emiss 2'!$G$41</f>
        <v>12.9</v>
      </c>
      <c r="G28" s="74"/>
      <c r="H28" s="51">
        <f>'emiss 2'!$I$41</f>
        <v>12</v>
      </c>
      <c r="I28" s="74"/>
      <c r="J28" s="51">
        <f>'emiss 2'!$K$41</f>
        <v>12.5</v>
      </c>
      <c r="K28" s="74"/>
      <c r="L28" s="51">
        <f>'emiss 2'!$M$41</f>
        <v>12.5</v>
      </c>
      <c r="M28" s="51"/>
      <c r="N28" s="51"/>
      <c r="O28" s="51"/>
      <c r="P28" s="51"/>
      <c r="Q28" s="74"/>
      <c r="R28" s="51">
        <f>'emiss 2'!$G$41</f>
        <v>12.9</v>
      </c>
      <c r="S28" s="74"/>
      <c r="T28" s="51">
        <f>'emiss 2'!$I$41</f>
        <v>12</v>
      </c>
      <c r="U28" s="74"/>
      <c r="V28" s="51">
        <f>'emiss 2'!$K$41</f>
        <v>12.5</v>
      </c>
      <c r="W28" s="74"/>
      <c r="X28" s="51">
        <f>'emiss 2'!$M$41</f>
        <v>12.5</v>
      </c>
      <c r="Y28" s="51"/>
      <c r="Z28" s="51"/>
      <c r="AA28" s="51"/>
      <c r="AB28" s="51"/>
      <c r="AC28" s="51"/>
      <c r="AD28" s="51">
        <f>'emiss 2'!$G$41</f>
        <v>12.9</v>
      </c>
      <c r="AE28" s="51"/>
      <c r="AF28" s="51">
        <f>'emiss 2'!$I$41</f>
        <v>12</v>
      </c>
      <c r="AG28" s="51"/>
      <c r="AH28" s="51">
        <f>'emiss 2'!$K$41</f>
        <v>12.5</v>
      </c>
      <c r="AI28" s="51"/>
      <c r="AJ28" s="51">
        <f>'emiss 2'!$M$41</f>
        <v>12.5</v>
      </c>
      <c r="AK28" s="51"/>
      <c r="AL28" s="51"/>
      <c r="AM28" s="51"/>
      <c r="AN28" s="51"/>
      <c r="AO28" s="51"/>
      <c r="AP28" s="51">
        <f>'emiss 2'!$G$41</f>
        <v>12.9</v>
      </c>
      <c r="AQ28" s="51"/>
      <c r="AR28" s="51">
        <f>'emiss 2'!$I$41</f>
        <v>12</v>
      </c>
      <c r="AS28" s="51"/>
      <c r="AT28" s="51">
        <f>'emiss 2'!$K$41</f>
        <v>12.5</v>
      </c>
      <c r="AU28" s="51"/>
      <c r="AV28" s="51">
        <f>'emiss 2'!$M$41</f>
        <v>12.5</v>
      </c>
      <c r="AW28" s="51"/>
      <c r="AX28" s="51"/>
      <c r="AY28" s="51"/>
      <c r="AZ28" s="51"/>
      <c r="BA28" s="51"/>
      <c r="BB28" s="51">
        <f>'emiss 2'!$G$41</f>
        <v>12.9</v>
      </c>
      <c r="BC28" s="51"/>
      <c r="BD28" s="51">
        <f>'emiss 2'!$I$41</f>
        <v>12</v>
      </c>
      <c r="BE28" s="51"/>
      <c r="BF28" s="51">
        <f>'emiss 2'!$K$41</f>
        <v>12.5</v>
      </c>
      <c r="BG28" s="51"/>
      <c r="BH28" s="51">
        <f>'emiss 2'!$M$41</f>
        <v>12.5</v>
      </c>
      <c r="BI28" s="51"/>
      <c r="BJ28" s="51"/>
      <c r="BK28" s="51"/>
      <c r="BL28" s="51"/>
      <c r="BM28" s="51"/>
      <c r="BN28" s="51">
        <f>'emiss 2'!$G$41</f>
        <v>12.9</v>
      </c>
      <c r="BO28" s="51"/>
      <c r="BP28" s="51">
        <f>'emiss 2'!$I$41</f>
        <v>12</v>
      </c>
      <c r="BQ28" s="51"/>
      <c r="BR28" s="51">
        <f>'emiss 2'!$K$41</f>
        <v>12.5</v>
      </c>
      <c r="BS28" s="51"/>
      <c r="BT28" s="51">
        <f>'emiss 2'!$M$41</f>
        <v>12.5</v>
      </c>
      <c r="BU28" s="51"/>
      <c r="BV28" s="51"/>
      <c r="BW28" s="51"/>
      <c r="BX28" s="51"/>
      <c r="BY28" s="51"/>
      <c r="BZ28" s="51">
        <f>'emiss 2'!$G$41</f>
        <v>12.9</v>
      </c>
      <c r="CA28" s="51"/>
      <c r="CB28" s="51">
        <f>'emiss 2'!$I$41</f>
        <v>12</v>
      </c>
      <c r="CC28" s="51"/>
      <c r="CD28" s="51">
        <f>'emiss 2'!$K$41</f>
        <v>12.5</v>
      </c>
      <c r="CE28" s="51"/>
      <c r="CF28" s="51">
        <f>'emiss 2'!$M$41</f>
        <v>12.5</v>
      </c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</row>
    <row r="29" spans="5:100" ht="12.75">
      <c r="E29" s="74"/>
      <c r="F29" s="51"/>
      <c r="G29" s="74"/>
      <c r="H29" s="51"/>
      <c r="I29" s="74"/>
      <c r="J29" s="51"/>
      <c r="K29" s="74"/>
      <c r="L29" s="51"/>
      <c r="M29" s="51"/>
      <c r="N29" s="51"/>
      <c r="O29" s="51"/>
      <c r="P29" s="51"/>
      <c r="Q29" s="74"/>
      <c r="R29" s="51"/>
      <c r="S29" s="74"/>
      <c r="T29" s="51"/>
      <c r="U29" s="74"/>
      <c r="V29" s="51"/>
      <c r="W29" s="74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</row>
    <row r="30" spans="2:100" ht="12.75">
      <c r="B30" s="41" t="s">
        <v>85</v>
      </c>
      <c r="E30" s="74"/>
      <c r="F30" s="51"/>
      <c r="G30" s="74"/>
      <c r="H30" s="51"/>
      <c r="I30" s="74"/>
      <c r="J30" s="51"/>
      <c r="K30" s="74"/>
      <c r="L30" s="51"/>
      <c r="M30" s="51"/>
      <c r="N30" s="51"/>
      <c r="O30" s="51"/>
      <c r="P30" s="51"/>
      <c r="Q30" s="74"/>
      <c r="R30" s="51"/>
      <c r="S30" s="74"/>
      <c r="T30" s="51"/>
      <c r="U30" s="74"/>
      <c r="V30" s="51"/>
      <c r="W30" s="74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</row>
    <row r="31" spans="2:120" ht="12.75">
      <c r="B31" s="53" t="s">
        <v>20</v>
      </c>
      <c r="D31" s="53" t="s">
        <v>65</v>
      </c>
      <c r="E31" s="74"/>
      <c r="F31" s="82">
        <f>F13*454*1000000/0.0283/60*14/(21-F$28)/F$27</f>
        <v>39807.94018825299</v>
      </c>
      <c r="G31" s="83"/>
      <c r="H31" s="82">
        <f>H13*454*1000000/0.0283/60*14/(21-H$28)/H$27</f>
        <v>60801.3927844255</v>
      </c>
      <c r="I31" s="83"/>
      <c r="J31" s="82">
        <f aca="true" t="shared" si="0" ref="J31:J43">J13*454*1000000/0.0283/60*14/(21-J$28)/J$27</f>
        <v>42700.78326462272</v>
      </c>
      <c r="K31" s="83"/>
      <c r="L31" s="82">
        <f aca="true" t="shared" si="1" ref="L31:L43">L13*454*1000000/0.0283/60*14/(21-L$28)/L$27</f>
        <v>86052.31052531116</v>
      </c>
      <c r="M31" s="82"/>
      <c r="N31" s="82"/>
      <c r="O31" s="82"/>
      <c r="P31" s="82"/>
      <c r="Q31" s="83" t="s">
        <v>12</v>
      </c>
      <c r="R31" s="82">
        <f aca="true" t="shared" si="2" ref="R31:R43">R13*454*1000000/0.0283/60*14/(21-R$28)/R$27</f>
        <v>175391.41964131274</v>
      </c>
      <c r="S31" s="83" t="s">
        <v>12</v>
      </c>
      <c r="T31" s="82">
        <f aca="true" t="shared" si="3" ref="T31:T43">T13*454*1000000/0.0283/60*14/(21-T$28)/T$27</f>
        <v>161291.3251211288</v>
      </c>
      <c r="U31" s="83" t="s">
        <v>12</v>
      </c>
      <c r="V31" s="82">
        <f aca="true" t="shared" si="4" ref="V31:V43">V13*454*1000000/0.0283/60*14/(21-V$28)/V$27</f>
        <v>158679.31985600927</v>
      </c>
      <c r="W31" s="83" t="s">
        <v>12</v>
      </c>
      <c r="X31" s="82">
        <f aca="true" t="shared" si="5" ref="X31:X43">X13*454*1000000/0.0283/60*14/(21-X$28)/X$27</f>
        <v>170562.81033572316</v>
      </c>
      <c r="Y31" s="82"/>
      <c r="Z31" s="82"/>
      <c r="AA31" s="82"/>
      <c r="AB31" s="82"/>
      <c r="AC31" s="82"/>
      <c r="AD31" s="82">
        <f aca="true" t="shared" si="6" ref="AD31:AD43">AD13*454*1000000/0.0283/60*14/(21-AD$28)/AD$27</f>
        <v>722257.924702709</v>
      </c>
      <c r="AE31" s="82"/>
      <c r="AF31" s="82">
        <f aca="true" t="shared" si="7" ref="AF31:AF43">AF13*454*1000000/0.0283/60*14/(21-AF$28)/AF$27</f>
        <v>727623.2251250921</v>
      </c>
      <c r="AG31" s="82"/>
      <c r="AH31" s="82">
        <f aca="true" t="shared" si="8" ref="AH31:AH43">AH13*454*1000000/0.0283/60*14/(21-AH$28)/AH$27</f>
        <v>682855.9494927138</v>
      </c>
      <c r="AI31" s="82"/>
      <c r="AJ31" s="82">
        <f aca="true" t="shared" si="9" ref="AJ31:AJ43">AJ13*454*1000000/0.0283/60*14/(21-AJ$28)/AJ$27</f>
        <v>736214.6163643646</v>
      </c>
      <c r="AK31" s="82"/>
      <c r="AL31" s="82"/>
      <c r="AM31" s="82"/>
      <c r="AN31" s="82"/>
      <c r="AO31" s="82"/>
      <c r="AP31" s="82">
        <f aca="true" t="shared" si="10" ref="AP31:AP43">AP13*454*1000000/0.0283/60*14/(21-AP$28)/AP$27</f>
        <v>0</v>
      </c>
      <c r="AQ31" s="82"/>
      <c r="AR31" s="82">
        <f aca="true" t="shared" si="11" ref="AR31:AR43">AR13*454*1000000/0.0283/60*14/(21-AR$28)/AR$27</f>
        <v>0</v>
      </c>
      <c r="AS31" s="82"/>
      <c r="AT31" s="82">
        <f aca="true" t="shared" si="12" ref="AT31:AT43">AT13*454*1000000/0.0283/60*14/(21-AT$28)/AT$27</f>
        <v>0</v>
      </c>
      <c r="AU31" s="82"/>
      <c r="AV31" s="82">
        <f aca="true" t="shared" si="13" ref="AV31:AV43">AV13*454*1000000/0.0283/60*14/(21-AV$28)/AV$27</f>
        <v>0</v>
      </c>
      <c r="AW31" s="51"/>
      <c r="AX31" s="51"/>
      <c r="AY31" s="51"/>
      <c r="AZ31" s="51"/>
      <c r="BA31" s="51"/>
      <c r="BB31" s="55">
        <f aca="true" t="shared" si="14" ref="BB31:BB43">BB13*454*1000000/0.0283/60*14/(21-BB$28)/BB$27</f>
        <v>0</v>
      </c>
      <c r="BC31" s="51"/>
      <c r="BD31" s="55">
        <f aca="true" t="shared" si="15" ref="BD31:BD43">BD13*454*1000000/0.0283/60*14/(21-BD$28)/BD$27</f>
        <v>0</v>
      </c>
      <c r="BE31" s="51"/>
      <c r="BF31" s="55">
        <f aca="true" t="shared" si="16" ref="BF31:BF43">BF13*454*1000000/0.0283/60*14/(21-BF$28)/BF$27</f>
        <v>0</v>
      </c>
      <c r="BG31" s="51"/>
      <c r="BH31" s="55">
        <f aca="true" t="shared" si="17" ref="BH31:BH43">BH13*454*1000000/0.0283/60*14/(21-BH$28)/BH$27</f>
        <v>0</v>
      </c>
      <c r="BI31" s="51"/>
      <c r="BJ31" s="51"/>
      <c r="BK31" s="51"/>
      <c r="BL31" s="51"/>
      <c r="BM31" s="51"/>
      <c r="BN31" s="55">
        <f aca="true" t="shared" si="18" ref="BN31:BN43">BN13*454*1000000/0.0283/60*14/(21-BN$28)/BN$27</f>
        <v>0</v>
      </c>
      <c r="BO31" s="51"/>
      <c r="BP31" s="55">
        <f aca="true" t="shared" si="19" ref="BP31:BP43">BP13*454*1000000/0.0283/60*14/(21-BP$28)/BP$27</f>
        <v>0</v>
      </c>
      <c r="BQ31" s="51"/>
      <c r="BR31" s="55">
        <f aca="true" t="shared" si="20" ref="BR31:BR43">BR13*454*1000000/0.0283/60*14/(21-BR$28)/BR$27</f>
        <v>0</v>
      </c>
      <c r="BS31" s="51"/>
      <c r="BT31" s="55">
        <f aca="true" t="shared" si="21" ref="BT31:BT43">BT13*454*1000000/0.0283/60*14/(21-BT$28)/BT$27</f>
        <v>0</v>
      </c>
      <c r="BU31" s="51"/>
      <c r="BV31" s="51"/>
      <c r="BW31" s="51"/>
      <c r="BX31" s="51"/>
      <c r="BY31" s="51"/>
      <c r="BZ31" s="55">
        <f aca="true" t="shared" si="22" ref="BZ31:BZ43">BZ13*454*1000000/0.0283/60*14/(21-BZ$28)/BZ$27</f>
        <v>0</v>
      </c>
      <c r="CA31" s="51"/>
      <c r="CB31" s="55">
        <f aca="true" t="shared" si="23" ref="CB31:CB43">CB13*454*1000000/0.0283/60*14/(21-CB$28)/CB$27</f>
        <v>0</v>
      </c>
      <c r="CC31" s="51"/>
      <c r="CD31" s="55">
        <f aca="true" t="shared" si="24" ref="CD31:CD43">CD13*454*1000000/0.0283/60*14/(21-CD$28)/CD$27</f>
        <v>0</v>
      </c>
      <c r="CE31" s="51"/>
      <c r="CF31" s="55">
        <f aca="true" t="shared" si="25" ref="CF31:CF43">CF13*454*1000000/0.0283/60*14/(21-CF$28)/CF$27</f>
        <v>0</v>
      </c>
      <c r="CG31" s="51"/>
      <c r="CH31" s="51"/>
      <c r="CI31" s="51"/>
      <c r="CJ31" s="51"/>
      <c r="CK31" s="51"/>
      <c r="CL31" s="55">
        <f>SUM(BZ31,BN31,BB31,AP31)</f>
        <v>0</v>
      </c>
      <c r="CM31" s="55"/>
      <c r="CN31" s="55">
        <f>SUM(CB31,BP31,BD31,AR31)</f>
        <v>0</v>
      </c>
      <c r="CO31" s="55"/>
      <c r="CP31" s="55">
        <f>SUM(CD31,BR31,BF31,AT31)</f>
        <v>0</v>
      </c>
      <c r="CQ31" s="55"/>
      <c r="CR31" s="55">
        <f>SUM(CF31,BT31,BH31,AV31)</f>
        <v>0</v>
      </c>
      <c r="CS31" s="51"/>
      <c r="CT31" s="51"/>
      <c r="CU31" s="51"/>
      <c r="CV31" s="51"/>
      <c r="CX31" s="55">
        <f>F31+R31+AD31+AP31+BB31+BN31+BZ31</f>
        <v>937457.2845322747</v>
      </c>
      <c r="CZ31" s="55">
        <f>H31+T31+AF31+AR31+BD31+BP31+CB31</f>
        <v>949715.9430306463</v>
      </c>
      <c r="DB31" s="55">
        <f>J31+V31+AH31+AT31+BF31+BR31+CD31</f>
        <v>884236.0526133458</v>
      </c>
      <c r="DD31" s="55">
        <f>L31+X31+AJ31+AV31+BH31+BT31+CF31</f>
        <v>992829.7372253989</v>
      </c>
      <c r="DJ31" s="55">
        <f>AVERAGE(CX31,CZ31,DB31,DD31)</f>
        <v>941059.7543504165</v>
      </c>
      <c r="DM31" s="55">
        <f>AVERAGE(AD31,AF31,AH31,AJ31,AL31,AN31)</f>
        <v>717237.9289212199</v>
      </c>
      <c r="DN31" s="55">
        <f>AVERAGE(AP31,AR31,AT31,AV31,AX31,AZ31)+AVERAGE(BB31,BD31,BF31,BH31,BJ31,BL31)+AVERAGE(BN31,BP31,BR31,BT31,BV31,BX31)+AVERAGE(BZ31,CB31,CD31,CF31,CH31,CJ31)</f>
        <v>0</v>
      </c>
      <c r="DO31" s="55">
        <f>AVERAGE(F31,H31,J31,L31,N31,P31)+AVERAGE(R31,T31,V31,X31,Z31,AB31)</f>
        <v>223821.8254291966</v>
      </c>
      <c r="DP31" s="55">
        <f>SUM(DM31,DN31,DO31)</f>
        <v>941059.7543504165</v>
      </c>
    </row>
    <row r="32" spans="2:114" ht="12.75">
      <c r="B32" s="53" t="s">
        <v>99</v>
      </c>
      <c r="D32" s="53" t="s">
        <v>65</v>
      </c>
      <c r="E32" s="74" t="s">
        <v>12</v>
      </c>
      <c r="F32" s="82">
        <f aca="true" t="shared" si="26" ref="F32:H43">F14*454*1000000/0.0283/60*14/(21-F$28)/F$27</f>
        <v>306.4423118452148</v>
      </c>
      <c r="G32" s="83" t="s">
        <v>12</v>
      </c>
      <c r="H32" s="82">
        <f t="shared" si="26"/>
        <v>323.48878128226386</v>
      </c>
      <c r="I32" s="83" t="s">
        <v>12</v>
      </c>
      <c r="J32" s="82">
        <f t="shared" si="0"/>
        <v>253.1737462871159</v>
      </c>
      <c r="K32" s="83" t="s">
        <v>12</v>
      </c>
      <c r="L32" s="82">
        <f t="shared" si="1"/>
        <v>354.6164644268142</v>
      </c>
      <c r="M32" s="82"/>
      <c r="N32" s="82"/>
      <c r="O32" s="82"/>
      <c r="P32" s="82"/>
      <c r="Q32" s="83" t="s">
        <v>12</v>
      </c>
      <c r="R32" s="82">
        <f t="shared" si="2"/>
        <v>8769.570982065636</v>
      </c>
      <c r="S32" s="83" t="s">
        <v>12</v>
      </c>
      <c r="T32" s="82">
        <f t="shared" si="3"/>
        <v>7249.0483200507315</v>
      </c>
      <c r="U32" s="83" t="s">
        <v>12</v>
      </c>
      <c r="V32" s="82">
        <f t="shared" si="4"/>
        <v>7925.051424269226</v>
      </c>
      <c r="W32" s="83" t="s">
        <v>12</v>
      </c>
      <c r="X32" s="82">
        <f t="shared" si="5"/>
        <v>8547.4131507224</v>
      </c>
      <c r="Y32" s="82"/>
      <c r="Z32" s="82"/>
      <c r="AA32" s="82"/>
      <c r="AB32" s="82"/>
      <c r="AC32" s="82"/>
      <c r="AD32" s="82">
        <f t="shared" si="6"/>
        <v>0</v>
      </c>
      <c r="AE32" s="82"/>
      <c r="AF32" s="82">
        <f t="shared" si="7"/>
        <v>0</v>
      </c>
      <c r="AG32" s="82"/>
      <c r="AH32" s="82">
        <f t="shared" si="8"/>
        <v>0</v>
      </c>
      <c r="AI32" s="82"/>
      <c r="AJ32" s="82">
        <f t="shared" si="9"/>
        <v>0</v>
      </c>
      <c r="AK32" s="82"/>
      <c r="AL32" s="82"/>
      <c r="AM32" s="82"/>
      <c r="AN32" s="82"/>
      <c r="AO32" s="82"/>
      <c r="AP32" s="82">
        <f t="shared" si="10"/>
        <v>0</v>
      </c>
      <c r="AQ32" s="82"/>
      <c r="AR32" s="82">
        <f t="shared" si="11"/>
        <v>0.799207577285593</v>
      </c>
      <c r="AS32" s="82"/>
      <c r="AT32" s="82">
        <f t="shared" si="12"/>
        <v>7.862649444550571</v>
      </c>
      <c r="AU32" s="82"/>
      <c r="AV32" s="82">
        <f t="shared" si="13"/>
        <v>12.719938397918337</v>
      </c>
      <c r="AW32" s="51"/>
      <c r="AX32" s="51"/>
      <c r="AY32" s="51"/>
      <c r="AZ32" s="51"/>
      <c r="BA32" s="51"/>
      <c r="BB32" s="55">
        <f t="shared" si="14"/>
        <v>84.5426056473294</v>
      </c>
      <c r="BC32" s="51"/>
      <c r="BD32" s="55">
        <f t="shared" si="15"/>
        <v>135.01352496094486</v>
      </c>
      <c r="BE32" s="51"/>
      <c r="BF32" s="55">
        <f t="shared" si="16"/>
        <v>174.7255432122349</v>
      </c>
      <c r="BG32" s="51"/>
      <c r="BH32" s="55">
        <f t="shared" si="17"/>
        <v>132.98117416005536</v>
      </c>
      <c r="BI32" s="51"/>
      <c r="BJ32" s="51"/>
      <c r="BK32" s="51"/>
      <c r="BL32" s="51"/>
      <c r="BM32" s="51"/>
      <c r="BN32" s="55">
        <f t="shared" si="18"/>
        <v>151.74313834136044</v>
      </c>
      <c r="BO32" s="51"/>
      <c r="BP32" s="55">
        <f t="shared" si="19"/>
        <v>145.88709744102096</v>
      </c>
      <c r="BQ32" s="51"/>
      <c r="BR32" s="55">
        <f t="shared" si="20"/>
        <v>152.4391218841437</v>
      </c>
      <c r="BS32" s="51"/>
      <c r="BT32" s="55">
        <f t="shared" si="21"/>
        <v>108.89038173975545</v>
      </c>
      <c r="BU32" s="51"/>
      <c r="BV32" s="51"/>
      <c r="BW32" s="51"/>
      <c r="BX32" s="51"/>
      <c r="BY32" s="51"/>
      <c r="BZ32" s="55">
        <f t="shared" si="22"/>
        <v>0</v>
      </c>
      <c r="CA32" s="51"/>
      <c r="CB32" s="55">
        <f t="shared" si="23"/>
        <v>0</v>
      </c>
      <c r="CC32" s="51"/>
      <c r="CD32" s="55">
        <f t="shared" si="24"/>
        <v>0</v>
      </c>
      <c r="CE32" s="51"/>
      <c r="CF32" s="55">
        <f t="shared" si="25"/>
        <v>0</v>
      </c>
      <c r="CG32" s="51"/>
      <c r="CH32" s="51"/>
      <c r="CI32" s="51"/>
      <c r="CJ32" s="51"/>
      <c r="CK32" s="51"/>
      <c r="CL32" s="55">
        <f aca="true" t="shared" si="27" ref="CL32:CL45">SUM(BZ32,BN32,BB32,AP32)</f>
        <v>236.28574398868983</v>
      </c>
      <c r="CM32" s="55"/>
      <c r="CN32" s="55">
        <f aca="true" t="shared" si="28" ref="CN32:CN45">SUM(CB32,BP32,BD32,AR32)</f>
        <v>281.69982997925143</v>
      </c>
      <c r="CO32" s="55"/>
      <c r="CP32" s="55">
        <f aca="true" t="shared" si="29" ref="CP32:CP45">SUM(CD32,BR32,BF32,AT32)</f>
        <v>335.0273145409292</v>
      </c>
      <c r="CQ32" s="55"/>
      <c r="CR32" s="55">
        <f aca="true" t="shared" si="30" ref="CR32:CR45">SUM(CF32,BT32,BH32,AV32)</f>
        <v>254.59149429772913</v>
      </c>
      <c r="CS32" s="51"/>
      <c r="CT32" s="51"/>
      <c r="CU32" s="51"/>
      <c r="CV32" s="51"/>
      <c r="CX32" s="55">
        <f aca="true" t="shared" si="31" ref="CX32:DD45">F32+R32+AD32+AP32+BB32+BN32+BZ32</f>
        <v>9312.29903789954</v>
      </c>
      <c r="CZ32" s="55">
        <f t="shared" si="31"/>
        <v>7854.236931312246</v>
      </c>
      <c r="DB32" s="55">
        <f t="shared" si="31"/>
        <v>8513.252485097271</v>
      </c>
      <c r="DD32" s="55">
        <f t="shared" si="31"/>
        <v>9156.621109446942</v>
      </c>
      <c r="DJ32" s="55">
        <f aca="true" t="shared" si="32" ref="DJ32:DJ45">AVERAGE(CX32,CZ32,DB32,DD32)</f>
        <v>8709.102390938999</v>
      </c>
    </row>
    <row r="33" spans="2:114" ht="12.75">
      <c r="B33" s="53" t="s">
        <v>95</v>
      </c>
      <c r="D33" s="53" t="s">
        <v>65</v>
      </c>
      <c r="E33" s="74"/>
      <c r="F33" s="82">
        <f t="shared" si="26"/>
        <v>703.5363686735802</v>
      </c>
      <c r="G33" s="83"/>
      <c r="H33" s="82">
        <f t="shared" si="26"/>
        <v>850.8570465659543</v>
      </c>
      <c r="I33" s="83"/>
      <c r="J33" s="82">
        <f t="shared" si="0"/>
        <v>794.2880561331699</v>
      </c>
      <c r="K33" s="83"/>
      <c r="L33" s="82">
        <f t="shared" si="1"/>
        <v>1214.175937983114</v>
      </c>
      <c r="M33" s="82"/>
      <c r="N33" s="82"/>
      <c r="O33" s="82"/>
      <c r="P33" s="82"/>
      <c r="Q33" s="83" t="s">
        <v>12</v>
      </c>
      <c r="R33" s="82">
        <f t="shared" si="2"/>
        <v>877.9424432607283</v>
      </c>
      <c r="S33" s="83" t="s">
        <v>12</v>
      </c>
      <c r="T33" s="82">
        <f t="shared" si="3"/>
        <v>804.6443635256311</v>
      </c>
      <c r="U33" s="83" t="s">
        <v>12</v>
      </c>
      <c r="V33" s="82">
        <f t="shared" si="4"/>
        <v>791.613685573799</v>
      </c>
      <c r="W33" s="83" t="s">
        <v>12</v>
      </c>
      <c r="X33" s="82">
        <f t="shared" si="5"/>
        <v>853.7776833754276</v>
      </c>
      <c r="Y33" s="82"/>
      <c r="Z33" s="82"/>
      <c r="AA33" s="82"/>
      <c r="AB33" s="82"/>
      <c r="AC33" s="82"/>
      <c r="AD33" s="82">
        <f t="shared" si="6"/>
        <v>0</v>
      </c>
      <c r="AE33" s="82"/>
      <c r="AF33" s="82">
        <f t="shared" si="7"/>
        <v>0</v>
      </c>
      <c r="AG33" s="82"/>
      <c r="AH33" s="82">
        <f t="shared" si="8"/>
        <v>35.390837069008796</v>
      </c>
      <c r="AI33" s="82"/>
      <c r="AJ33" s="82">
        <f t="shared" si="9"/>
        <v>0</v>
      </c>
      <c r="AK33" s="82"/>
      <c r="AL33" s="82"/>
      <c r="AM33" s="82"/>
      <c r="AN33" s="82"/>
      <c r="AO33" s="82"/>
      <c r="AP33" s="82">
        <f t="shared" si="10"/>
        <v>794.1881136567307</v>
      </c>
      <c r="AQ33" s="82"/>
      <c r="AR33" s="82">
        <f t="shared" si="11"/>
        <v>672.3492316847052</v>
      </c>
      <c r="AS33" s="82"/>
      <c r="AT33" s="82">
        <f t="shared" si="12"/>
        <v>1105.4064978733227</v>
      </c>
      <c r="AU33" s="82"/>
      <c r="AV33" s="82">
        <f t="shared" si="13"/>
        <v>1002.1769646844753</v>
      </c>
      <c r="AW33" s="51"/>
      <c r="AX33" s="51"/>
      <c r="AY33" s="51"/>
      <c r="AZ33" s="51"/>
      <c r="BA33" s="51"/>
      <c r="BB33" s="55">
        <f t="shared" si="14"/>
        <v>290.67679097857996</v>
      </c>
      <c r="BC33" s="51"/>
      <c r="BD33" s="55">
        <f t="shared" si="15"/>
        <v>245.56151184171847</v>
      </c>
      <c r="BE33" s="51"/>
      <c r="BF33" s="55">
        <f t="shared" si="16"/>
        <v>43.05736600587217</v>
      </c>
      <c r="BG33" s="51"/>
      <c r="BH33" s="55">
        <f t="shared" si="17"/>
        <v>20.4289919724143</v>
      </c>
      <c r="BI33" s="51"/>
      <c r="BJ33" s="51"/>
      <c r="BK33" s="51"/>
      <c r="BL33" s="51"/>
      <c r="BM33" s="51"/>
      <c r="BN33" s="55">
        <f t="shared" si="18"/>
        <v>248.30695364949887</v>
      </c>
      <c r="BO33" s="51"/>
      <c r="BP33" s="55">
        <f t="shared" si="19"/>
        <v>42.950611296300586</v>
      </c>
      <c r="BQ33" s="51"/>
      <c r="BR33" s="55">
        <f t="shared" si="20"/>
        <v>60.52992032709567</v>
      </c>
      <c r="BS33" s="51"/>
      <c r="BT33" s="55">
        <f t="shared" si="21"/>
        <v>34.01619889746344</v>
      </c>
      <c r="BU33" s="51"/>
      <c r="BV33" s="51"/>
      <c r="BW33" s="51"/>
      <c r="BX33" s="51"/>
      <c r="BY33" s="51"/>
      <c r="BZ33" s="55">
        <f t="shared" si="22"/>
        <v>0</v>
      </c>
      <c r="CA33" s="51"/>
      <c r="CB33" s="55">
        <f t="shared" si="23"/>
        <v>0</v>
      </c>
      <c r="CC33" s="51"/>
      <c r="CD33" s="55">
        <f t="shared" si="24"/>
        <v>0</v>
      </c>
      <c r="CE33" s="51"/>
      <c r="CF33" s="55">
        <f t="shared" si="25"/>
        <v>0</v>
      </c>
      <c r="CG33" s="51"/>
      <c r="CH33" s="51"/>
      <c r="CI33" s="51"/>
      <c r="CJ33" s="51"/>
      <c r="CK33" s="51"/>
      <c r="CL33" s="55">
        <f t="shared" si="27"/>
        <v>1333.1718582848096</v>
      </c>
      <c r="CM33" s="55"/>
      <c r="CN33" s="55">
        <f t="shared" si="28"/>
        <v>960.8613548227243</v>
      </c>
      <c r="CO33" s="55"/>
      <c r="CP33" s="55">
        <f t="shared" si="29"/>
        <v>1208.9937842062905</v>
      </c>
      <c r="CQ33" s="55"/>
      <c r="CR33" s="55">
        <f t="shared" si="30"/>
        <v>1056.622155554353</v>
      </c>
      <c r="CS33" s="51"/>
      <c r="CT33" s="51"/>
      <c r="CU33" s="51"/>
      <c r="CV33" s="51"/>
      <c r="CX33" s="55">
        <f t="shared" si="31"/>
        <v>2914.650670219118</v>
      </c>
      <c r="CZ33" s="55">
        <f t="shared" si="31"/>
        <v>2616.3627649143095</v>
      </c>
      <c r="DB33" s="55">
        <f t="shared" si="31"/>
        <v>2830.286362982268</v>
      </c>
      <c r="DD33" s="55">
        <f t="shared" si="31"/>
        <v>3124.575776912894</v>
      </c>
      <c r="DJ33" s="55">
        <f t="shared" si="32"/>
        <v>2871.4688937571473</v>
      </c>
    </row>
    <row r="34" spans="2:114" ht="12.75">
      <c r="B34" s="53" t="s">
        <v>96</v>
      </c>
      <c r="D34" s="53" t="s">
        <v>65</v>
      </c>
      <c r="E34" s="74"/>
      <c r="F34" s="82">
        <f t="shared" si="26"/>
        <v>1320.3623725806688</v>
      </c>
      <c r="G34" s="83"/>
      <c r="H34" s="82">
        <f t="shared" si="26"/>
        <v>1948.1817360136338</v>
      </c>
      <c r="I34" s="83"/>
      <c r="J34" s="82">
        <f t="shared" si="0"/>
        <v>1809.6574118410044</v>
      </c>
      <c r="K34" s="83"/>
      <c r="L34" s="82">
        <f t="shared" si="1"/>
        <v>2322.3523893169086</v>
      </c>
      <c r="M34" s="82"/>
      <c r="N34" s="82"/>
      <c r="O34" s="82"/>
      <c r="P34" s="82"/>
      <c r="Q34" s="83" t="s">
        <v>12</v>
      </c>
      <c r="R34" s="82">
        <f t="shared" si="2"/>
        <v>17539.14196413127</v>
      </c>
      <c r="S34" s="83" t="s">
        <v>12</v>
      </c>
      <c r="T34" s="82">
        <f t="shared" si="3"/>
        <v>16129.132512112874</v>
      </c>
      <c r="U34" s="83" t="s">
        <v>12</v>
      </c>
      <c r="V34" s="82">
        <f t="shared" si="4"/>
        <v>15867.931985600924</v>
      </c>
      <c r="W34" s="83" t="s">
        <v>12</v>
      </c>
      <c r="X34" s="82">
        <f t="shared" si="5"/>
        <v>17056.281033572315</v>
      </c>
      <c r="Y34" s="82"/>
      <c r="Z34" s="82"/>
      <c r="AA34" s="82"/>
      <c r="AB34" s="82"/>
      <c r="AC34" s="82"/>
      <c r="AD34" s="82">
        <f t="shared" si="6"/>
        <v>0</v>
      </c>
      <c r="AE34" s="82"/>
      <c r="AF34" s="82">
        <f t="shared" si="7"/>
        <v>6868.473283248067</v>
      </c>
      <c r="AG34" s="82"/>
      <c r="AH34" s="82">
        <f t="shared" si="8"/>
        <v>962.7734013735393</v>
      </c>
      <c r="AI34" s="82"/>
      <c r="AJ34" s="82">
        <f t="shared" si="9"/>
        <v>0</v>
      </c>
      <c r="AK34" s="82"/>
      <c r="AL34" s="82"/>
      <c r="AM34" s="82"/>
      <c r="AN34" s="82"/>
      <c r="AO34" s="82"/>
      <c r="AP34" s="82">
        <f t="shared" si="10"/>
        <v>0</v>
      </c>
      <c r="AQ34" s="82"/>
      <c r="AR34" s="82">
        <f t="shared" si="11"/>
        <v>0</v>
      </c>
      <c r="AS34" s="82"/>
      <c r="AT34" s="82">
        <f t="shared" si="12"/>
        <v>0</v>
      </c>
      <c r="AU34" s="82"/>
      <c r="AV34" s="82">
        <f t="shared" si="13"/>
        <v>21.488986838907504</v>
      </c>
      <c r="AW34" s="51"/>
      <c r="AX34" s="51"/>
      <c r="AY34" s="51"/>
      <c r="AZ34" s="51"/>
      <c r="BA34" s="51"/>
      <c r="BB34" s="55">
        <f t="shared" si="14"/>
        <v>93.80484915647739</v>
      </c>
      <c r="BC34" s="51"/>
      <c r="BD34" s="55">
        <f t="shared" si="15"/>
        <v>57.53932104040267</v>
      </c>
      <c r="BE34" s="51"/>
      <c r="BF34" s="55">
        <f t="shared" si="16"/>
        <v>21.840692901529362</v>
      </c>
      <c r="BG34" s="51"/>
      <c r="BH34" s="55">
        <f t="shared" si="17"/>
        <v>25.536239965517876</v>
      </c>
      <c r="BI34" s="51"/>
      <c r="BJ34" s="51"/>
      <c r="BK34" s="51"/>
      <c r="BL34" s="51"/>
      <c r="BM34" s="51"/>
      <c r="BN34" s="55">
        <f t="shared" si="18"/>
        <v>0</v>
      </c>
      <c r="BO34" s="51"/>
      <c r="BP34" s="55">
        <f t="shared" si="19"/>
        <v>0</v>
      </c>
      <c r="BQ34" s="51"/>
      <c r="BR34" s="55">
        <f t="shared" si="20"/>
        <v>0</v>
      </c>
      <c r="BS34" s="51"/>
      <c r="BT34" s="55">
        <f t="shared" si="21"/>
        <v>0</v>
      </c>
      <c r="BU34" s="51"/>
      <c r="BV34" s="51"/>
      <c r="BW34" s="51"/>
      <c r="BX34" s="51"/>
      <c r="BY34" s="51"/>
      <c r="BZ34" s="55">
        <f t="shared" si="22"/>
        <v>0</v>
      </c>
      <c r="CA34" s="51"/>
      <c r="CB34" s="55">
        <f t="shared" si="23"/>
        <v>0</v>
      </c>
      <c r="CC34" s="51"/>
      <c r="CD34" s="55">
        <f t="shared" si="24"/>
        <v>0</v>
      </c>
      <c r="CE34" s="51"/>
      <c r="CF34" s="55">
        <f t="shared" si="25"/>
        <v>0</v>
      </c>
      <c r="CG34" s="51"/>
      <c r="CH34" s="51"/>
      <c r="CI34" s="51"/>
      <c r="CJ34" s="51"/>
      <c r="CK34" s="51"/>
      <c r="CL34" s="55">
        <f t="shared" si="27"/>
        <v>93.80484915647739</v>
      </c>
      <c r="CM34" s="55"/>
      <c r="CN34" s="55">
        <f t="shared" si="28"/>
        <v>57.53932104040267</v>
      </c>
      <c r="CO34" s="55"/>
      <c r="CP34" s="55">
        <f t="shared" si="29"/>
        <v>21.840692901529362</v>
      </c>
      <c r="CQ34" s="55"/>
      <c r="CR34" s="55">
        <f t="shared" si="30"/>
        <v>47.02522680442538</v>
      </c>
      <c r="CS34" s="51"/>
      <c r="CT34" s="51"/>
      <c r="CU34" s="51"/>
      <c r="CV34" s="51"/>
      <c r="CX34" s="55">
        <f t="shared" si="31"/>
        <v>18953.309185868417</v>
      </c>
      <c r="CZ34" s="55">
        <f t="shared" si="31"/>
        <v>25003.32685241498</v>
      </c>
      <c r="DB34" s="55">
        <f t="shared" si="31"/>
        <v>18662.203491717</v>
      </c>
      <c r="DD34" s="55">
        <f t="shared" si="31"/>
        <v>19425.658649693647</v>
      </c>
      <c r="DJ34" s="55">
        <f t="shared" si="32"/>
        <v>20511.12454492351</v>
      </c>
    </row>
    <row r="35" spans="2:114" ht="12.75">
      <c r="B35" s="53" t="s">
        <v>97</v>
      </c>
      <c r="D35" s="53" t="s">
        <v>65</v>
      </c>
      <c r="E35" s="74"/>
      <c r="F35" s="82">
        <f t="shared" si="26"/>
        <v>89.07519289648691</v>
      </c>
      <c r="G35" s="83"/>
      <c r="H35" s="82">
        <f t="shared" si="26"/>
        <v>117.79703520082437</v>
      </c>
      <c r="I35" s="83"/>
      <c r="J35" s="82">
        <f t="shared" si="0"/>
        <v>107.86627922796131</v>
      </c>
      <c r="K35" s="83"/>
      <c r="L35" s="82">
        <f t="shared" si="1"/>
        <v>146.47201791542327</v>
      </c>
      <c r="M35" s="82"/>
      <c r="N35" s="82"/>
      <c r="O35" s="82"/>
      <c r="P35" s="82"/>
      <c r="Q35" s="83" t="s">
        <v>12</v>
      </c>
      <c r="R35" s="82">
        <f t="shared" si="2"/>
        <v>438.47854910328175</v>
      </c>
      <c r="S35" s="83" t="s">
        <v>12</v>
      </c>
      <c r="T35" s="82">
        <f t="shared" si="3"/>
        <v>403.22831280282185</v>
      </c>
      <c r="U35" s="83" t="s">
        <v>12</v>
      </c>
      <c r="V35" s="82">
        <f t="shared" si="4"/>
        <v>396.69829964002315</v>
      </c>
      <c r="W35" s="83" t="s">
        <v>12</v>
      </c>
      <c r="X35" s="82">
        <f t="shared" si="5"/>
        <v>426.8888416877138</v>
      </c>
      <c r="Y35" s="82"/>
      <c r="Z35" s="82"/>
      <c r="AA35" s="82"/>
      <c r="AB35" s="82"/>
      <c r="AC35" s="82"/>
      <c r="AD35" s="82">
        <f t="shared" si="6"/>
        <v>0</v>
      </c>
      <c r="AE35" s="82"/>
      <c r="AF35" s="82">
        <f t="shared" si="7"/>
        <v>0</v>
      </c>
      <c r="AG35" s="82"/>
      <c r="AH35" s="82">
        <f t="shared" si="8"/>
        <v>0</v>
      </c>
      <c r="AI35" s="82"/>
      <c r="AJ35" s="82">
        <f t="shared" si="9"/>
        <v>0</v>
      </c>
      <c r="AK35" s="82"/>
      <c r="AL35" s="82"/>
      <c r="AM35" s="82"/>
      <c r="AN35" s="82"/>
      <c r="AO35" s="82"/>
      <c r="AP35" s="82">
        <f t="shared" si="10"/>
        <v>0</v>
      </c>
      <c r="AQ35" s="82"/>
      <c r="AR35" s="82">
        <f t="shared" si="11"/>
        <v>0</v>
      </c>
      <c r="AS35" s="82"/>
      <c r="AT35" s="82">
        <f t="shared" si="12"/>
        <v>0</v>
      </c>
      <c r="AU35" s="82"/>
      <c r="AV35" s="82">
        <f t="shared" si="13"/>
        <v>0.6369605515927289</v>
      </c>
      <c r="AW35" s="51"/>
      <c r="AX35" s="51"/>
      <c r="AY35" s="51"/>
      <c r="AZ35" s="51"/>
      <c r="BA35" s="51"/>
      <c r="BB35" s="55">
        <f t="shared" si="14"/>
        <v>0</v>
      </c>
      <c r="BC35" s="51"/>
      <c r="BD35" s="55">
        <f t="shared" si="15"/>
        <v>0</v>
      </c>
      <c r="BE35" s="51"/>
      <c r="BF35" s="55">
        <f t="shared" si="16"/>
        <v>0</v>
      </c>
      <c r="BG35" s="51"/>
      <c r="BH35" s="55">
        <f t="shared" si="17"/>
        <v>0</v>
      </c>
      <c r="BI35" s="51"/>
      <c r="BJ35" s="51"/>
      <c r="BK35" s="51"/>
      <c r="BL35" s="51"/>
      <c r="BM35" s="51"/>
      <c r="BN35" s="55">
        <f t="shared" si="18"/>
        <v>0</v>
      </c>
      <c r="BO35" s="51"/>
      <c r="BP35" s="55">
        <f t="shared" si="19"/>
        <v>0</v>
      </c>
      <c r="BQ35" s="51"/>
      <c r="BR35" s="55">
        <f t="shared" si="20"/>
        <v>0</v>
      </c>
      <c r="BS35" s="51"/>
      <c r="BT35" s="55">
        <f t="shared" si="21"/>
        <v>0</v>
      </c>
      <c r="BU35" s="51"/>
      <c r="BV35" s="51"/>
      <c r="BW35" s="51"/>
      <c r="BX35" s="51"/>
      <c r="BY35" s="51"/>
      <c r="BZ35" s="55">
        <f t="shared" si="22"/>
        <v>43.453716888662306</v>
      </c>
      <c r="CA35" s="51"/>
      <c r="CB35" s="55">
        <f t="shared" si="23"/>
        <v>39.96037886427965</v>
      </c>
      <c r="CC35" s="51"/>
      <c r="CD35" s="55">
        <f t="shared" si="24"/>
        <v>39.31324722275285</v>
      </c>
      <c r="CE35" s="51"/>
      <c r="CF35" s="55">
        <f t="shared" si="25"/>
        <v>42.496157829408986</v>
      </c>
      <c r="CG35" s="51"/>
      <c r="CH35" s="51"/>
      <c r="CI35" s="51"/>
      <c r="CJ35" s="51"/>
      <c r="CK35" s="51"/>
      <c r="CL35" s="55">
        <f t="shared" si="27"/>
        <v>43.453716888662306</v>
      </c>
      <c r="CM35" s="55"/>
      <c r="CN35" s="55">
        <f t="shared" si="28"/>
        <v>39.96037886427965</v>
      </c>
      <c r="CO35" s="55"/>
      <c r="CP35" s="55">
        <f t="shared" si="29"/>
        <v>39.31324722275285</v>
      </c>
      <c r="CQ35" s="55"/>
      <c r="CR35" s="55">
        <f t="shared" si="30"/>
        <v>43.133118381001715</v>
      </c>
      <c r="CS35" s="51"/>
      <c r="CT35" s="51"/>
      <c r="CU35" s="51"/>
      <c r="CV35" s="51"/>
      <c r="CX35" s="55">
        <f t="shared" si="31"/>
        <v>571.007458888431</v>
      </c>
      <c r="CZ35" s="55">
        <f t="shared" si="31"/>
        <v>560.9857268679258</v>
      </c>
      <c r="DB35" s="55">
        <f t="shared" si="31"/>
        <v>543.8778260907372</v>
      </c>
      <c r="DD35" s="55">
        <f t="shared" si="31"/>
        <v>616.4939779841388</v>
      </c>
      <c r="DJ35" s="55">
        <f t="shared" si="32"/>
        <v>573.0912474578082</v>
      </c>
    </row>
    <row r="36" spans="2:114" ht="12.75">
      <c r="B36" s="53" t="s">
        <v>102</v>
      </c>
      <c r="D36" s="53" t="s">
        <v>65</v>
      </c>
      <c r="E36" s="74"/>
      <c r="F36" s="82">
        <f t="shared" si="26"/>
        <v>39.11819865033771</v>
      </c>
      <c r="G36" s="83"/>
      <c r="H36" s="82">
        <f t="shared" si="26"/>
        <v>15.947906304111608</v>
      </c>
      <c r="I36" s="83"/>
      <c r="J36" s="82">
        <f t="shared" si="0"/>
        <v>25.58481168464868</v>
      </c>
      <c r="K36" s="83"/>
      <c r="L36" s="82">
        <f t="shared" si="1"/>
        <v>21.199897329863898</v>
      </c>
      <c r="M36" s="82"/>
      <c r="N36" s="82"/>
      <c r="O36" s="82"/>
      <c r="P36" s="82"/>
      <c r="Q36" s="83" t="s">
        <v>12</v>
      </c>
      <c r="R36" s="82">
        <f t="shared" si="2"/>
        <v>438.47854910328175</v>
      </c>
      <c r="S36" s="83" t="s">
        <v>12</v>
      </c>
      <c r="T36" s="82">
        <f t="shared" si="3"/>
        <v>403.22831280282185</v>
      </c>
      <c r="U36" s="83" t="s">
        <v>12</v>
      </c>
      <c r="V36" s="82">
        <f t="shared" si="4"/>
        <v>396.69829964002315</v>
      </c>
      <c r="W36" s="83"/>
      <c r="X36" s="82">
        <f t="shared" si="5"/>
        <v>11949.033040468743</v>
      </c>
      <c r="Y36" s="82"/>
      <c r="Z36" s="82"/>
      <c r="AA36" s="82"/>
      <c r="AB36" s="82"/>
      <c r="AC36" s="82"/>
      <c r="AD36" s="82">
        <f t="shared" si="6"/>
        <v>67.29906719944752</v>
      </c>
      <c r="AE36" s="82"/>
      <c r="AF36" s="82">
        <f t="shared" si="7"/>
        <v>525.556003203678</v>
      </c>
      <c r="AG36" s="82"/>
      <c r="AH36" s="82">
        <f t="shared" si="8"/>
        <v>60.886503068345114</v>
      </c>
      <c r="AI36" s="82"/>
      <c r="AJ36" s="82">
        <f t="shared" si="9"/>
        <v>151.29017639948327</v>
      </c>
      <c r="AK36" s="82"/>
      <c r="AL36" s="82"/>
      <c r="AM36" s="82"/>
      <c r="AN36" s="82"/>
      <c r="AO36" s="82"/>
      <c r="AP36" s="82">
        <f t="shared" si="10"/>
        <v>39709.40568283653</v>
      </c>
      <c r="AQ36" s="82"/>
      <c r="AR36" s="82">
        <f t="shared" si="11"/>
        <v>31261.520880218777</v>
      </c>
      <c r="AS36" s="82"/>
      <c r="AT36" s="82">
        <f t="shared" si="12"/>
        <v>32449.029453700765</v>
      </c>
      <c r="AU36" s="82"/>
      <c r="AV36" s="82">
        <f t="shared" si="13"/>
        <v>31221.666976708646</v>
      </c>
      <c r="AW36" s="51"/>
      <c r="AX36" s="51"/>
      <c r="AY36" s="51"/>
      <c r="AZ36" s="51"/>
      <c r="BA36" s="51"/>
      <c r="BB36" s="55">
        <f t="shared" si="14"/>
        <v>4128.595776950002</v>
      </c>
      <c r="BC36" s="51"/>
      <c r="BD36" s="55">
        <f t="shared" si="15"/>
        <v>4059.467059228409</v>
      </c>
      <c r="BE36" s="51"/>
      <c r="BF36" s="55">
        <f t="shared" si="16"/>
        <v>596.3846347397201</v>
      </c>
      <c r="BG36" s="51"/>
      <c r="BH36" s="55">
        <f t="shared" si="17"/>
        <v>118.52669870787543</v>
      </c>
      <c r="BI36" s="51"/>
      <c r="BJ36" s="51"/>
      <c r="BK36" s="51"/>
      <c r="BL36" s="51"/>
      <c r="BM36" s="51"/>
      <c r="BN36" s="55">
        <f t="shared" si="18"/>
        <v>3803.4319090756576</v>
      </c>
      <c r="BO36" s="51"/>
      <c r="BP36" s="55">
        <f t="shared" si="19"/>
        <v>1359.196560009512</v>
      </c>
      <c r="BQ36" s="51"/>
      <c r="BR36" s="55">
        <f t="shared" si="20"/>
        <v>1016.2608125609581</v>
      </c>
      <c r="BS36" s="51"/>
      <c r="BT36" s="55">
        <f t="shared" si="21"/>
        <v>576.2517546935732</v>
      </c>
      <c r="BU36" s="51"/>
      <c r="BV36" s="51"/>
      <c r="BW36" s="51"/>
      <c r="BX36" s="51"/>
      <c r="BY36" s="51"/>
      <c r="BZ36" s="55">
        <f t="shared" si="22"/>
        <v>0</v>
      </c>
      <c r="CA36" s="51"/>
      <c r="CB36" s="55">
        <f t="shared" si="23"/>
        <v>0</v>
      </c>
      <c r="CC36" s="51"/>
      <c r="CD36" s="55">
        <f t="shared" si="24"/>
        <v>0</v>
      </c>
      <c r="CE36" s="51"/>
      <c r="CF36" s="55">
        <f t="shared" si="25"/>
        <v>0</v>
      </c>
      <c r="CG36" s="51"/>
      <c r="CH36" s="51"/>
      <c r="CI36" s="51"/>
      <c r="CJ36" s="51"/>
      <c r="CK36" s="51"/>
      <c r="CL36" s="55">
        <f t="shared" si="27"/>
        <v>47641.433368862185</v>
      </c>
      <c r="CM36" s="55"/>
      <c r="CN36" s="55">
        <f t="shared" si="28"/>
        <v>36680.1844994567</v>
      </c>
      <c r="CO36" s="55"/>
      <c r="CP36" s="55">
        <f t="shared" si="29"/>
        <v>34061.67490100145</v>
      </c>
      <c r="CQ36" s="55"/>
      <c r="CR36" s="55">
        <f t="shared" si="30"/>
        <v>31916.445430110096</v>
      </c>
      <c r="CS36" s="51"/>
      <c r="CT36" s="51"/>
      <c r="CU36" s="51"/>
      <c r="CV36" s="51"/>
      <c r="CX36" s="55">
        <f t="shared" si="31"/>
        <v>48186.32918381525</v>
      </c>
      <c r="CZ36" s="55">
        <f t="shared" si="31"/>
        <v>37624.91672176731</v>
      </c>
      <c r="DB36" s="55">
        <f t="shared" si="31"/>
        <v>34544.844515394456</v>
      </c>
      <c r="DD36" s="55">
        <f t="shared" si="31"/>
        <v>44037.968544308176</v>
      </c>
      <c r="DJ36" s="55">
        <f t="shared" si="32"/>
        <v>41098.5147413213</v>
      </c>
    </row>
    <row r="37" spans="2:114" ht="12.75">
      <c r="B37" s="53" t="s">
        <v>104</v>
      </c>
      <c r="D37" s="53" t="s">
        <v>65</v>
      </c>
      <c r="E37" s="74"/>
      <c r="F37" s="82">
        <f t="shared" si="26"/>
        <v>458.1854501865753</v>
      </c>
      <c r="G37" s="83"/>
      <c r="H37" s="82">
        <f t="shared" si="26"/>
        <v>567.2380310439696</v>
      </c>
      <c r="I37" s="83"/>
      <c r="J37" s="82">
        <f t="shared" si="0"/>
        <v>505.45603572110815</v>
      </c>
      <c r="K37" s="83"/>
      <c r="L37" s="82">
        <f t="shared" si="1"/>
        <v>658.1604489225926</v>
      </c>
      <c r="M37" s="82"/>
      <c r="N37" s="82"/>
      <c r="O37" s="82"/>
      <c r="P37" s="82"/>
      <c r="Q37" s="83"/>
      <c r="R37" s="82">
        <f t="shared" si="2"/>
        <v>2630.87129461969</v>
      </c>
      <c r="S37" s="83"/>
      <c r="T37" s="82">
        <f t="shared" si="3"/>
        <v>2419.3698768169306</v>
      </c>
      <c r="U37" s="83"/>
      <c r="V37" s="82">
        <f t="shared" si="4"/>
        <v>3173.586397120185</v>
      </c>
      <c r="W37" s="83"/>
      <c r="X37" s="82">
        <f t="shared" si="5"/>
        <v>3420.892523682583</v>
      </c>
      <c r="Y37" s="82"/>
      <c r="Z37" s="82"/>
      <c r="AA37" s="82"/>
      <c r="AB37" s="82"/>
      <c r="AC37" s="82"/>
      <c r="AD37" s="82">
        <f t="shared" si="6"/>
        <v>418.7716480199882</v>
      </c>
      <c r="AE37" s="82"/>
      <c r="AF37" s="82">
        <f t="shared" si="7"/>
        <v>1776.016838412429</v>
      </c>
      <c r="AG37" s="82"/>
      <c r="AH37" s="82">
        <f t="shared" si="8"/>
        <v>169.376802093493</v>
      </c>
      <c r="AI37" s="82"/>
      <c r="AJ37" s="82">
        <f t="shared" si="9"/>
        <v>257.28966304880277</v>
      </c>
      <c r="AK37" s="82"/>
      <c r="AL37" s="82"/>
      <c r="AM37" s="82"/>
      <c r="AN37" s="82"/>
      <c r="AO37" s="82"/>
      <c r="AP37" s="82">
        <f t="shared" si="10"/>
        <v>199.03970094126495</v>
      </c>
      <c r="AQ37" s="82"/>
      <c r="AR37" s="82">
        <f t="shared" si="11"/>
        <v>158.5729320011097</v>
      </c>
      <c r="AS37" s="82"/>
      <c r="AT37" s="82">
        <f t="shared" si="12"/>
        <v>181.8571980372241</v>
      </c>
      <c r="AU37" s="82"/>
      <c r="AV37" s="82">
        <f t="shared" si="13"/>
        <v>161.8901250644152</v>
      </c>
      <c r="AW37" s="51"/>
      <c r="AX37" s="51"/>
      <c r="AY37" s="51"/>
      <c r="AZ37" s="51"/>
      <c r="BA37" s="51"/>
      <c r="BB37" s="55">
        <f t="shared" si="14"/>
        <v>8444.40711419129</v>
      </c>
      <c r="BC37" s="51"/>
      <c r="BD37" s="55">
        <f t="shared" si="15"/>
        <v>14045.031120098287</v>
      </c>
      <c r="BE37" s="51"/>
      <c r="BF37" s="55">
        <f t="shared" si="16"/>
        <v>18007.428433097677</v>
      </c>
      <c r="BG37" s="51"/>
      <c r="BH37" s="55">
        <f t="shared" si="17"/>
        <v>14069.022773455134</v>
      </c>
      <c r="BI37" s="51"/>
      <c r="BJ37" s="51"/>
      <c r="BK37" s="51"/>
      <c r="BL37" s="51"/>
      <c r="BM37" s="51"/>
      <c r="BN37" s="55">
        <f t="shared" si="18"/>
        <v>487.7458018115157</v>
      </c>
      <c r="BO37" s="51"/>
      <c r="BP37" s="55">
        <f t="shared" si="19"/>
        <v>227.43889104159163</v>
      </c>
      <c r="BQ37" s="51"/>
      <c r="BR37" s="55">
        <f t="shared" si="20"/>
        <v>105.19190866859041</v>
      </c>
      <c r="BS37" s="51"/>
      <c r="BT37" s="55">
        <f t="shared" si="21"/>
        <v>45.48341608952617</v>
      </c>
      <c r="BU37" s="51"/>
      <c r="BV37" s="51"/>
      <c r="BW37" s="51"/>
      <c r="BX37" s="51"/>
      <c r="BY37" s="51"/>
      <c r="BZ37" s="55">
        <f t="shared" si="22"/>
        <v>0</v>
      </c>
      <c r="CA37" s="51"/>
      <c r="CB37" s="55">
        <f t="shared" si="23"/>
        <v>0</v>
      </c>
      <c r="CC37" s="51"/>
      <c r="CD37" s="55">
        <f t="shared" si="24"/>
        <v>0</v>
      </c>
      <c r="CE37" s="51"/>
      <c r="CF37" s="55">
        <f t="shared" si="25"/>
        <v>0</v>
      </c>
      <c r="CG37" s="51"/>
      <c r="CH37" s="51"/>
      <c r="CI37" s="51"/>
      <c r="CJ37" s="51"/>
      <c r="CK37" s="51"/>
      <c r="CL37" s="55">
        <f t="shared" si="27"/>
        <v>9131.19261694407</v>
      </c>
      <c r="CM37" s="55"/>
      <c r="CN37" s="55">
        <f t="shared" si="28"/>
        <v>14431.042943140988</v>
      </c>
      <c r="CO37" s="55"/>
      <c r="CP37" s="55">
        <f t="shared" si="29"/>
        <v>18294.477539803494</v>
      </c>
      <c r="CQ37" s="55"/>
      <c r="CR37" s="55">
        <f t="shared" si="30"/>
        <v>14276.396314609075</v>
      </c>
      <c r="CS37" s="51"/>
      <c r="CT37" s="51"/>
      <c r="CU37" s="51"/>
      <c r="CV37" s="51"/>
      <c r="CX37" s="55">
        <f t="shared" si="31"/>
        <v>12639.021009770326</v>
      </c>
      <c r="CZ37" s="55">
        <f t="shared" si="31"/>
        <v>19193.667689414317</v>
      </c>
      <c r="DB37" s="55">
        <f t="shared" si="31"/>
        <v>22142.89677473828</v>
      </c>
      <c r="DD37" s="55">
        <f t="shared" si="31"/>
        <v>18612.738950263054</v>
      </c>
      <c r="DJ37" s="55">
        <f t="shared" si="32"/>
        <v>18147.081106046495</v>
      </c>
    </row>
    <row r="38" spans="2:114" ht="12.75">
      <c r="B38" s="53" t="s">
        <v>201</v>
      </c>
      <c r="D38" s="53" t="s">
        <v>65</v>
      </c>
      <c r="E38" s="74"/>
      <c r="F38" s="82">
        <f t="shared" si="26"/>
        <v>0</v>
      </c>
      <c r="G38" s="83"/>
      <c r="H38" s="82">
        <f t="shared" si="26"/>
        <v>0</v>
      </c>
      <c r="I38" s="83"/>
      <c r="J38" s="82">
        <f t="shared" si="0"/>
        <v>0</v>
      </c>
      <c r="K38" s="83"/>
      <c r="L38" s="82">
        <f t="shared" si="1"/>
        <v>0</v>
      </c>
      <c r="M38" s="82"/>
      <c r="N38" s="82"/>
      <c r="O38" s="82"/>
      <c r="P38" s="82"/>
      <c r="Q38" s="83"/>
      <c r="R38" s="82">
        <f t="shared" si="2"/>
        <v>0</v>
      </c>
      <c r="S38" s="83"/>
      <c r="T38" s="82">
        <f t="shared" si="3"/>
        <v>0</v>
      </c>
      <c r="U38" s="83"/>
      <c r="V38" s="82">
        <f t="shared" si="4"/>
        <v>0</v>
      </c>
      <c r="W38" s="83"/>
      <c r="X38" s="82">
        <f t="shared" si="5"/>
        <v>0</v>
      </c>
      <c r="Y38" s="82"/>
      <c r="Z38" s="82"/>
      <c r="AA38" s="82"/>
      <c r="AB38" s="82"/>
      <c r="AC38" s="82"/>
      <c r="AD38" s="82">
        <f t="shared" si="6"/>
        <v>0</v>
      </c>
      <c r="AE38" s="82"/>
      <c r="AF38" s="82">
        <f t="shared" si="7"/>
        <v>0</v>
      </c>
      <c r="AG38" s="82"/>
      <c r="AH38" s="82">
        <f t="shared" si="8"/>
        <v>0</v>
      </c>
      <c r="AI38" s="82"/>
      <c r="AJ38" s="82">
        <f t="shared" si="9"/>
        <v>0</v>
      </c>
      <c r="AK38" s="82"/>
      <c r="AL38" s="82"/>
      <c r="AM38" s="82"/>
      <c r="AN38" s="82"/>
      <c r="AO38" s="82"/>
      <c r="AP38" s="82">
        <f t="shared" si="10"/>
        <v>0.21677591191622916</v>
      </c>
      <c r="AQ38" s="82"/>
      <c r="AR38" s="82">
        <f t="shared" si="11"/>
        <v>0.19934882880139504</v>
      </c>
      <c r="AS38" s="82"/>
      <c r="AT38" s="82">
        <f t="shared" si="12"/>
        <v>0.39313247222752856</v>
      </c>
      <c r="AU38" s="82"/>
      <c r="AV38" s="82">
        <f t="shared" si="13"/>
        <v>0.21199897329863895</v>
      </c>
      <c r="AW38" s="51"/>
      <c r="AX38" s="51"/>
      <c r="AY38" s="51"/>
      <c r="AZ38" s="51"/>
      <c r="BA38" s="51"/>
      <c r="BB38" s="55">
        <f t="shared" si="14"/>
        <v>3379.7335357848456</v>
      </c>
      <c r="BC38" s="51"/>
      <c r="BD38" s="55">
        <f t="shared" si="15"/>
        <v>9242.53660806468</v>
      </c>
      <c r="BE38" s="51"/>
      <c r="BF38" s="55">
        <f t="shared" si="16"/>
        <v>14976.475132477277</v>
      </c>
      <c r="BG38" s="51"/>
      <c r="BH38" s="55">
        <f t="shared" si="17"/>
        <v>11370.854022381543</v>
      </c>
      <c r="BI38" s="51"/>
      <c r="BJ38" s="51"/>
      <c r="BK38" s="51"/>
      <c r="BL38" s="51"/>
      <c r="BM38" s="51"/>
      <c r="BN38" s="55">
        <f t="shared" si="18"/>
        <v>9.774622937313609</v>
      </c>
      <c r="BO38" s="51"/>
      <c r="BP38" s="55">
        <f t="shared" si="19"/>
        <v>24.73737739217312</v>
      </c>
      <c r="BQ38" s="51"/>
      <c r="BR38" s="55">
        <f t="shared" si="20"/>
        <v>18.096574118410047</v>
      </c>
      <c r="BS38" s="51"/>
      <c r="BT38" s="55">
        <f t="shared" si="21"/>
        <v>3.825617836343621</v>
      </c>
      <c r="BU38" s="51"/>
      <c r="BV38" s="51"/>
      <c r="BW38" s="51"/>
      <c r="BX38" s="51"/>
      <c r="BY38" s="51"/>
      <c r="BZ38" s="55">
        <f t="shared" si="22"/>
        <v>0</v>
      </c>
      <c r="CA38" s="51"/>
      <c r="CB38" s="55">
        <f t="shared" si="23"/>
        <v>0</v>
      </c>
      <c r="CC38" s="51"/>
      <c r="CD38" s="55">
        <f t="shared" si="24"/>
        <v>0</v>
      </c>
      <c r="CE38" s="51"/>
      <c r="CF38" s="55">
        <f t="shared" si="25"/>
        <v>0</v>
      </c>
      <c r="CG38" s="51"/>
      <c r="CH38" s="51"/>
      <c r="CI38" s="51"/>
      <c r="CJ38" s="51"/>
      <c r="CK38" s="51"/>
      <c r="CL38" s="55">
        <f t="shared" si="27"/>
        <v>3389.7249346340755</v>
      </c>
      <c r="CM38" s="55"/>
      <c r="CN38" s="55">
        <f t="shared" si="28"/>
        <v>9267.473334285654</v>
      </c>
      <c r="CO38" s="55"/>
      <c r="CP38" s="55">
        <f t="shared" si="29"/>
        <v>14994.964839067914</v>
      </c>
      <c r="CQ38" s="55"/>
      <c r="CR38" s="55">
        <f t="shared" si="30"/>
        <v>11374.891639191186</v>
      </c>
      <c r="CS38" s="51"/>
      <c r="CT38" s="51"/>
      <c r="CU38" s="51"/>
      <c r="CV38" s="51"/>
      <c r="CX38" s="55">
        <f t="shared" si="31"/>
        <v>3389.7249346340755</v>
      </c>
      <c r="CZ38" s="55">
        <f t="shared" si="31"/>
        <v>9267.473334285654</v>
      </c>
      <c r="DB38" s="55">
        <f t="shared" si="31"/>
        <v>14994.964839067914</v>
      </c>
      <c r="DD38" s="55">
        <f t="shared" si="31"/>
        <v>11374.891639191186</v>
      </c>
      <c r="DJ38" s="55">
        <f t="shared" si="32"/>
        <v>9756.763686794708</v>
      </c>
    </row>
    <row r="39" spans="2:114" ht="12.75">
      <c r="B39" s="53" t="s">
        <v>100</v>
      </c>
      <c r="D39" s="53" t="s">
        <v>65</v>
      </c>
      <c r="E39" s="74"/>
      <c r="F39" s="82">
        <f t="shared" si="26"/>
        <v>490.70183697400967</v>
      </c>
      <c r="G39" s="83"/>
      <c r="H39" s="82">
        <f t="shared" si="26"/>
        <v>323.48878128226386</v>
      </c>
      <c r="I39" s="83"/>
      <c r="J39" s="82">
        <f t="shared" si="0"/>
        <v>253.1737462871159</v>
      </c>
      <c r="K39" s="83"/>
      <c r="L39" s="82">
        <f t="shared" si="1"/>
        <v>454.83416089526185</v>
      </c>
      <c r="M39" s="82"/>
      <c r="N39" s="82"/>
      <c r="O39" s="82"/>
      <c r="P39" s="82"/>
      <c r="Q39" s="83"/>
      <c r="R39" s="82">
        <f t="shared" si="2"/>
        <v>3507.828392826254</v>
      </c>
      <c r="S39" s="83"/>
      <c r="T39" s="82">
        <f t="shared" si="3"/>
        <v>4023.221817628156</v>
      </c>
      <c r="U39" s="83"/>
      <c r="V39" s="82">
        <f t="shared" si="4"/>
        <v>3958.0684278689946</v>
      </c>
      <c r="W39" s="83"/>
      <c r="X39" s="82">
        <f t="shared" si="5"/>
        <v>5984.15283720249</v>
      </c>
      <c r="Y39" s="82"/>
      <c r="Z39" s="82"/>
      <c r="AA39" s="82"/>
      <c r="AB39" s="82"/>
      <c r="AC39" s="82"/>
      <c r="AD39" s="82">
        <f t="shared" si="6"/>
        <v>452.27337986158733</v>
      </c>
      <c r="AE39" s="82"/>
      <c r="AF39" s="82">
        <f t="shared" si="7"/>
        <v>7276.232251250921</v>
      </c>
      <c r="AG39" s="82"/>
      <c r="AH39" s="82">
        <f t="shared" si="8"/>
        <v>1007.3462440297216</v>
      </c>
      <c r="AI39" s="82"/>
      <c r="AJ39" s="82">
        <f t="shared" si="9"/>
        <v>4423.0694883670585</v>
      </c>
      <c r="AK39" s="82"/>
      <c r="AL39" s="82"/>
      <c r="AM39" s="82"/>
      <c r="AN39" s="82"/>
      <c r="AO39" s="82"/>
      <c r="AP39" s="82">
        <f t="shared" si="10"/>
        <v>158.6405537205132</v>
      </c>
      <c r="AQ39" s="82"/>
      <c r="AR39" s="82">
        <f t="shared" si="11"/>
        <v>117.79703520082437</v>
      </c>
      <c r="AS39" s="82"/>
      <c r="AT39" s="82">
        <f t="shared" si="12"/>
        <v>58.390423879598906</v>
      </c>
      <c r="AU39" s="82"/>
      <c r="AV39" s="82">
        <f t="shared" si="13"/>
        <v>266.92598001692267</v>
      </c>
      <c r="AW39" s="51"/>
      <c r="AX39" s="51"/>
      <c r="AY39" s="51"/>
      <c r="AZ39" s="51"/>
      <c r="BA39" s="51"/>
      <c r="BB39" s="55">
        <f t="shared" si="14"/>
        <v>1783.4745480380673</v>
      </c>
      <c r="BC39" s="51"/>
      <c r="BD39" s="55">
        <f t="shared" si="15"/>
        <v>1313.8900080091946</v>
      </c>
      <c r="BE39" s="51"/>
      <c r="BF39" s="55">
        <f t="shared" si="16"/>
        <v>358.3656549557062</v>
      </c>
      <c r="BG39" s="51"/>
      <c r="BH39" s="55">
        <f t="shared" si="17"/>
        <v>334.3801987937624</v>
      </c>
      <c r="BI39" s="51"/>
      <c r="BJ39" s="51"/>
      <c r="BK39" s="51"/>
      <c r="BL39" s="51"/>
      <c r="BM39" s="51"/>
      <c r="BN39" s="55">
        <f t="shared" si="18"/>
        <v>35669.49096076135</v>
      </c>
      <c r="BO39" s="51"/>
      <c r="BP39" s="55">
        <f t="shared" si="19"/>
        <v>36245.24160025365</v>
      </c>
      <c r="BQ39" s="51"/>
      <c r="BR39" s="55">
        <f t="shared" si="20"/>
        <v>53130.828446169384</v>
      </c>
      <c r="BS39" s="51"/>
      <c r="BT39" s="55">
        <f t="shared" si="21"/>
        <v>26596.23483201107</v>
      </c>
      <c r="BU39" s="51"/>
      <c r="BV39" s="51"/>
      <c r="BW39" s="51"/>
      <c r="BX39" s="51"/>
      <c r="BY39" s="51"/>
      <c r="BZ39" s="55">
        <f t="shared" si="22"/>
        <v>0</v>
      </c>
      <c r="CA39" s="51"/>
      <c r="CB39" s="55">
        <f t="shared" si="23"/>
        <v>0</v>
      </c>
      <c r="CC39" s="51"/>
      <c r="CD39" s="55">
        <f t="shared" si="24"/>
        <v>0</v>
      </c>
      <c r="CE39" s="51"/>
      <c r="CF39" s="55">
        <f t="shared" si="25"/>
        <v>0</v>
      </c>
      <c r="CG39" s="51"/>
      <c r="CH39" s="51"/>
      <c r="CI39" s="51"/>
      <c r="CJ39" s="51"/>
      <c r="CK39" s="51"/>
      <c r="CL39" s="55">
        <f t="shared" si="27"/>
        <v>37611.60606251993</v>
      </c>
      <c r="CM39" s="55"/>
      <c r="CN39" s="55">
        <f t="shared" si="28"/>
        <v>37676.92864346367</v>
      </c>
      <c r="CO39" s="55"/>
      <c r="CP39" s="55">
        <f t="shared" si="29"/>
        <v>53547.58452500469</v>
      </c>
      <c r="CQ39" s="55"/>
      <c r="CR39" s="55">
        <f t="shared" si="30"/>
        <v>27197.541010821755</v>
      </c>
      <c r="CS39" s="51"/>
      <c r="CT39" s="51"/>
      <c r="CU39" s="51"/>
      <c r="CV39" s="51"/>
      <c r="CX39" s="55">
        <f t="shared" si="31"/>
        <v>42062.409672181784</v>
      </c>
      <c r="CZ39" s="55">
        <f t="shared" si="31"/>
        <v>49299.87149362501</v>
      </c>
      <c r="DB39" s="55">
        <f t="shared" si="31"/>
        <v>58766.17294319052</v>
      </c>
      <c r="DD39" s="55">
        <f t="shared" si="31"/>
        <v>38059.597497286566</v>
      </c>
      <c r="DJ39" s="55">
        <f t="shared" si="32"/>
        <v>47047.01290157097</v>
      </c>
    </row>
    <row r="40" spans="2:120" ht="12.75">
      <c r="B40" s="53" t="s">
        <v>107</v>
      </c>
      <c r="D40" s="53" t="s">
        <v>65</v>
      </c>
      <c r="E40" s="74"/>
      <c r="F40" s="82">
        <f t="shared" si="26"/>
        <v>13.006554714973753</v>
      </c>
      <c r="G40" s="83"/>
      <c r="H40" s="82">
        <f t="shared" si="26"/>
        <v>15.947906304111608</v>
      </c>
      <c r="I40" s="83"/>
      <c r="J40" s="82">
        <f t="shared" si="0"/>
        <v>13.728435538104169</v>
      </c>
      <c r="K40" s="83"/>
      <c r="L40" s="82">
        <f t="shared" si="1"/>
        <v>21.199897329863898</v>
      </c>
      <c r="M40" s="82"/>
      <c r="N40" s="82"/>
      <c r="O40" s="82"/>
      <c r="P40" s="82"/>
      <c r="Q40" s="83" t="s">
        <v>12</v>
      </c>
      <c r="R40" s="82">
        <f t="shared" si="2"/>
        <v>86.90743377732461</v>
      </c>
      <c r="S40" s="83" t="s">
        <v>12</v>
      </c>
      <c r="T40" s="82">
        <f t="shared" si="3"/>
        <v>79.9207577285593</v>
      </c>
      <c r="U40" s="83" t="s">
        <v>12</v>
      </c>
      <c r="V40" s="82">
        <f t="shared" si="4"/>
        <v>78.6264944455057</v>
      </c>
      <c r="W40" s="83" t="s">
        <v>12</v>
      </c>
      <c r="X40" s="82">
        <f t="shared" si="5"/>
        <v>84.99231565881797</v>
      </c>
      <c r="Y40" s="82"/>
      <c r="Z40" s="82"/>
      <c r="AA40" s="82"/>
      <c r="AB40" s="82"/>
      <c r="AC40" s="82"/>
      <c r="AD40" s="82">
        <f t="shared" si="6"/>
        <v>0</v>
      </c>
      <c r="AE40" s="82"/>
      <c r="AF40" s="82">
        <f t="shared" si="7"/>
        <v>0</v>
      </c>
      <c r="AG40" s="82"/>
      <c r="AH40" s="82">
        <f t="shared" si="8"/>
        <v>0</v>
      </c>
      <c r="AI40" s="82"/>
      <c r="AJ40" s="82">
        <f t="shared" si="9"/>
        <v>0</v>
      </c>
      <c r="AK40" s="82"/>
      <c r="AL40" s="82"/>
      <c r="AM40" s="82"/>
      <c r="AN40" s="82"/>
      <c r="AO40" s="82"/>
      <c r="AP40" s="82">
        <f t="shared" si="10"/>
        <v>0</v>
      </c>
      <c r="AQ40" s="82"/>
      <c r="AR40" s="82">
        <f t="shared" si="11"/>
        <v>0</v>
      </c>
      <c r="AS40" s="82"/>
      <c r="AT40" s="82">
        <f t="shared" si="12"/>
        <v>0</v>
      </c>
      <c r="AU40" s="82"/>
      <c r="AV40" s="82">
        <f t="shared" si="13"/>
        <v>0.21199897329863895</v>
      </c>
      <c r="AW40" s="51"/>
      <c r="AX40" s="51"/>
      <c r="AY40" s="51"/>
      <c r="AZ40" s="51"/>
      <c r="BA40" s="51"/>
      <c r="BB40" s="55">
        <f t="shared" si="14"/>
        <v>1.3006554714973753</v>
      </c>
      <c r="BC40" s="51"/>
      <c r="BD40" s="55">
        <f t="shared" si="15"/>
        <v>1.1960929728083705</v>
      </c>
      <c r="BE40" s="51"/>
      <c r="BF40" s="55">
        <f t="shared" si="16"/>
        <v>0.9806025384360123</v>
      </c>
      <c r="BG40" s="51"/>
      <c r="BH40" s="55">
        <f t="shared" si="17"/>
        <v>0.8499231565881799</v>
      </c>
      <c r="BI40" s="51"/>
      <c r="BJ40" s="51"/>
      <c r="BK40" s="51"/>
      <c r="BL40" s="51"/>
      <c r="BM40" s="51"/>
      <c r="BN40" s="55">
        <f t="shared" si="18"/>
        <v>5.646027160363604</v>
      </c>
      <c r="BO40" s="51"/>
      <c r="BP40" s="55">
        <f t="shared" si="19"/>
        <v>4.793433201633546</v>
      </c>
      <c r="BQ40" s="51"/>
      <c r="BR40" s="55">
        <f t="shared" si="20"/>
        <v>5.304168276085704</v>
      </c>
      <c r="BS40" s="51"/>
      <c r="BT40" s="55">
        <f t="shared" si="21"/>
        <v>2.977621943149066</v>
      </c>
      <c r="BU40" s="51"/>
      <c r="BV40" s="51"/>
      <c r="BW40" s="51"/>
      <c r="BX40" s="51"/>
      <c r="BY40" s="51"/>
      <c r="BZ40" s="55">
        <f t="shared" si="22"/>
        <v>0</v>
      </c>
      <c r="CA40" s="51"/>
      <c r="CB40" s="55">
        <f t="shared" si="23"/>
        <v>0</v>
      </c>
      <c r="CC40" s="51"/>
      <c r="CD40" s="55">
        <f t="shared" si="24"/>
        <v>0</v>
      </c>
      <c r="CE40" s="51"/>
      <c r="CF40" s="55">
        <f t="shared" si="25"/>
        <v>0</v>
      </c>
      <c r="CG40" s="51"/>
      <c r="CH40" s="51"/>
      <c r="CI40" s="51"/>
      <c r="CJ40" s="51"/>
      <c r="CK40" s="51"/>
      <c r="CL40" s="55">
        <f t="shared" si="27"/>
        <v>6.94668263186098</v>
      </c>
      <c r="CM40" s="55"/>
      <c r="CN40" s="55">
        <f t="shared" si="28"/>
        <v>5.989526174441917</v>
      </c>
      <c r="CO40" s="55"/>
      <c r="CP40" s="55">
        <f t="shared" si="29"/>
        <v>6.284770814521717</v>
      </c>
      <c r="CQ40" s="55"/>
      <c r="CR40" s="55">
        <f t="shared" si="30"/>
        <v>4.039544073035885</v>
      </c>
      <c r="CS40" s="51"/>
      <c r="CT40" s="51"/>
      <c r="CU40" s="51"/>
      <c r="CV40" s="51"/>
      <c r="CX40" s="55">
        <f>F40+R40+AD40+AP40+BB40+BN40+BZ40</f>
        <v>106.86067112415934</v>
      </c>
      <c r="CZ40" s="55">
        <f>H40+T40+AF40+AR40+BD40+BP40+CB40</f>
        <v>101.85819020711283</v>
      </c>
      <c r="DB40" s="55">
        <f>J40+V40+AH40+AT40+BF40+BR40+CD40</f>
        <v>98.63970079813159</v>
      </c>
      <c r="DD40" s="55">
        <f>L40+X40+AJ40+AV40+BH40+BT40+CF40</f>
        <v>110.23175706171774</v>
      </c>
      <c r="DJ40" s="55">
        <f t="shared" si="32"/>
        <v>104.39757979778038</v>
      </c>
      <c r="DM40" s="55">
        <f>AVERAGE(AD40,AF40,AH40,AJ40,AL40,AN40)</f>
        <v>0</v>
      </c>
      <c r="DN40" s="55">
        <f>AVERAGE(AP40,AR40,AT40,AV40,AX40,AZ40)+AVERAGE(BB40,BD40,BF40,BH40,BJ40,BL40)+AVERAGE(BN40,BP40,BR40,BT40,BV40,BX40)+AVERAGE(BZ40,CB40,CD40,CF40,CH40,CJ40)</f>
        <v>5.815130923465125</v>
      </c>
      <c r="DO40" s="55">
        <f>AVERAGE(F40,H40,J40,L40,N40,P40)+AVERAGE(R40,T40,V40,X40,Z40,AB40)/2</f>
        <v>57.27657367303931</v>
      </c>
      <c r="DP40" s="55">
        <f>SUM(DM40,DN40,DO40)</f>
        <v>63.091704596504435</v>
      </c>
    </row>
    <row r="41" spans="2:114" ht="12.75">
      <c r="B41" s="53" t="s">
        <v>101</v>
      </c>
      <c r="D41" s="53" t="s">
        <v>65</v>
      </c>
      <c r="E41" s="74" t="s">
        <v>12</v>
      </c>
      <c r="F41" s="82">
        <f t="shared" si="26"/>
        <v>458.1854501865753</v>
      </c>
      <c r="G41" s="83" t="s">
        <v>12</v>
      </c>
      <c r="H41" s="82">
        <f t="shared" si="26"/>
        <v>527.3682652836908</v>
      </c>
      <c r="I41" s="83"/>
      <c r="J41" s="82">
        <f t="shared" si="0"/>
        <v>432.356573764969</v>
      </c>
      <c r="K41" s="83"/>
      <c r="L41" s="82">
        <f t="shared" si="1"/>
        <v>608.0516006883689</v>
      </c>
      <c r="M41" s="82"/>
      <c r="N41" s="82"/>
      <c r="O41" s="82"/>
      <c r="P41" s="82"/>
      <c r="Q41" s="83" t="s">
        <v>12</v>
      </c>
      <c r="R41" s="82">
        <f t="shared" si="2"/>
        <v>3507.828392826254</v>
      </c>
      <c r="S41" s="83"/>
      <c r="T41" s="82">
        <f t="shared" si="3"/>
        <v>4023.221817628156</v>
      </c>
      <c r="U41" s="83"/>
      <c r="V41" s="82">
        <f t="shared" si="4"/>
        <v>3958.0684278689946</v>
      </c>
      <c r="W41" s="83"/>
      <c r="X41" s="82">
        <f t="shared" si="5"/>
        <v>5984.15283720249</v>
      </c>
      <c r="Y41" s="82"/>
      <c r="Z41" s="82"/>
      <c r="AA41" s="82"/>
      <c r="AB41" s="82"/>
      <c r="AC41" s="82"/>
      <c r="AD41" s="82">
        <f t="shared" si="6"/>
        <v>0</v>
      </c>
      <c r="AE41" s="82"/>
      <c r="AF41" s="82">
        <f t="shared" si="7"/>
        <v>363.35854704254274</v>
      </c>
      <c r="AG41" s="82"/>
      <c r="AH41" s="82">
        <f t="shared" si="8"/>
        <v>0</v>
      </c>
      <c r="AI41" s="82"/>
      <c r="AJ41" s="82">
        <f t="shared" si="9"/>
        <v>0</v>
      </c>
      <c r="AK41" s="82"/>
      <c r="AL41" s="82"/>
      <c r="AM41" s="82"/>
      <c r="AN41" s="82"/>
      <c r="AO41" s="82"/>
      <c r="AP41" s="82">
        <f t="shared" si="10"/>
        <v>43.65078589949523</v>
      </c>
      <c r="AQ41" s="82"/>
      <c r="AR41" s="82">
        <f t="shared" si="11"/>
        <v>34.34236641624033</v>
      </c>
      <c r="AS41" s="82"/>
      <c r="AT41" s="82">
        <f t="shared" si="12"/>
        <v>35.74741981025826</v>
      </c>
      <c r="AU41" s="82"/>
      <c r="AV41" s="82">
        <f t="shared" si="13"/>
        <v>40.95434711450981</v>
      </c>
      <c r="AW41" s="51"/>
      <c r="AX41" s="51"/>
      <c r="AY41" s="51"/>
      <c r="AZ41" s="51"/>
      <c r="BA41" s="51"/>
      <c r="BB41" s="55">
        <f t="shared" si="14"/>
        <v>657.2251511278401</v>
      </c>
      <c r="BC41" s="51"/>
      <c r="BD41" s="55">
        <f t="shared" si="15"/>
        <v>1730.7102864121118</v>
      </c>
      <c r="BE41" s="51"/>
      <c r="BF41" s="55">
        <f t="shared" si="16"/>
        <v>2317.7878181214837</v>
      </c>
      <c r="BG41" s="51"/>
      <c r="BH41" s="55">
        <f t="shared" si="17"/>
        <v>314.1439331607104</v>
      </c>
      <c r="BI41" s="51"/>
      <c r="BJ41" s="51"/>
      <c r="BK41" s="51"/>
      <c r="BL41" s="51"/>
      <c r="BM41" s="51"/>
      <c r="BN41" s="55">
        <f t="shared" si="18"/>
        <v>1478.0175812470172</v>
      </c>
      <c r="BO41" s="51"/>
      <c r="BP41" s="55">
        <f t="shared" si="19"/>
        <v>835.4528188858466</v>
      </c>
      <c r="BQ41" s="51"/>
      <c r="BR41" s="55">
        <f t="shared" si="20"/>
        <v>1034.089949623431</v>
      </c>
      <c r="BS41" s="51"/>
      <c r="BT41" s="55">
        <f t="shared" si="21"/>
        <v>638.8878149863529</v>
      </c>
      <c r="BU41" s="51"/>
      <c r="BV41" s="51"/>
      <c r="BW41" s="51"/>
      <c r="BX41" s="51"/>
      <c r="BY41" s="51"/>
      <c r="BZ41" s="55">
        <f t="shared" si="22"/>
        <v>0</v>
      </c>
      <c r="CA41" s="51"/>
      <c r="CB41" s="55">
        <f t="shared" si="23"/>
        <v>0</v>
      </c>
      <c r="CC41" s="51"/>
      <c r="CD41" s="55">
        <f t="shared" si="24"/>
        <v>0</v>
      </c>
      <c r="CE41" s="51"/>
      <c r="CF41" s="55">
        <f t="shared" si="25"/>
        <v>0</v>
      </c>
      <c r="CG41" s="51"/>
      <c r="CH41" s="51"/>
      <c r="CI41" s="51"/>
      <c r="CJ41" s="51"/>
      <c r="CK41" s="51"/>
      <c r="CL41" s="55">
        <f t="shared" si="27"/>
        <v>2178.8935182743526</v>
      </c>
      <c r="CM41" s="55"/>
      <c r="CN41" s="55">
        <f t="shared" si="28"/>
        <v>2600.5054717141984</v>
      </c>
      <c r="CO41" s="55"/>
      <c r="CP41" s="55">
        <f t="shared" si="29"/>
        <v>3387.625187555173</v>
      </c>
      <c r="CQ41" s="55"/>
      <c r="CR41" s="55">
        <f t="shared" si="30"/>
        <v>993.986095261573</v>
      </c>
      <c r="CS41" s="51"/>
      <c r="CT41" s="51"/>
      <c r="CU41" s="51"/>
      <c r="CV41" s="51"/>
      <c r="CX41" s="55">
        <f t="shared" si="31"/>
        <v>6144.907361287182</v>
      </c>
      <c r="CZ41" s="55">
        <f t="shared" si="31"/>
        <v>7514.454101668587</v>
      </c>
      <c r="DB41" s="55">
        <f t="shared" si="31"/>
        <v>7778.050189189136</v>
      </c>
      <c r="DD41" s="55">
        <f t="shared" si="31"/>
        <v>7586.190533152433</v>
      </c>
      <c r="DJ41" s="55">
        <f t="shared" si="32"/>
        <v>7255.900546324334</v>
      </c>
    </row>
    <row r="42" spans="2:114" ht="12.75">
      <c r="B42" s="53" t="s">
        <v>103</v>
      </c>
      <c r="D42" s="53" t="s">
        <v>65</v>
      </c>
      <c r="E42" s="74" t="s">
        <v>12</v>
      </c>
      <c r="F42" s="82">
        <f t="shared" si="26"/>
        <v>30.447162173688557</v>
      </c>
      <c r="G42" s="83" t="s">
        <v>12</v>
      </c>
      <c r="H42" s="82">
        <f t="shared" si="26"/>
        <v>31.986425712223852</v>
      </c>
      <c r="I42" s="83" t="s">
        <v>12</v>
      </c>
      <c r="J42" s="82">
        <f t="shared" si="0"/>
        <v>25.58481168464868</v>
      </c>
      <c r="K42" s="83" t="s">
        <v>12</v>
      </c>
      <c r="L42" s="82">
        <f t="shared" si="1"/>
        <v>36.13618863044983</v>
      </c>
      <c r="M42" s="82"/>
      <c r="N42" s="82"/>
      <c r="O42" s="82"/>
      <c r="P42" s="82"/>
      <c r="Q42" s="83" t="s">
        <v>12</v>
      </c>
      <c r="R42" s="82">
        <f t="shared" si="2"/>
        <v>877.9424432607283</v>
      </c>
      <c r="S42" s="83" t="s">
        <v>12</v>
      </c>
      <c r="T42" s="82">
        <f t="shared" si="3"/>
        <v>724.9048320050729</v>
      </c>
      <c r="U42" s="83" t="s">
        <v>12</v>
      </c>
      <c r="V42" s="82">
        <f t="shared" si="4"/>
        <v>791.613685573799</v>
      </c>
      <c r="W42" s="83" t="s">
        <v>12</v>
      </c>
      <c r="X42" s="82">
        <f t="shared" si="5"/>
        <v>853.7776833754276</v>
      </c>
      <c r="Y42" s="82"/>
      <c r="Z42" s="82"/>
      <c r="AA42" s="82"/>
      <c r="AB42" s="82"/>
      <c r="AC42" s="82"/>
      <c r="AD42" s="82">
        <f t="shared" si="6"/>
        <v>0</v>
      </c>
      <c r="AE42" s="82"/>
      <c r="AF42" s="82">
        <f t="shared" si="7"/>
        <v>0</v>
      </c>
      <c r="AG42" s="82"/>
      <c r="AH42" s="82">
        <f t="shared" si="8"/>
        <v>0</v>
      </c>
      <c r="AI42" s="82"/>
      <c r="AJ42" s="82">
        <f t="shared" si="9"/>
        <v>0</v>
      </c>
      <c r="AK42" s="82"/>
      <c r="AL42" s="82"/>
      <c r="AM42" s="82"/>
      <c r="AN42" s="82"/>
      <c r="AO42" s="82"/>
      <c r="AP42" s="82">
        <f t="shared" si="10"/>
        <v>0</v>
      </c>
      <c r="AQ42" s="82"/>
      <c r="AR42" s="82">
        <f t="shared" si="11"/>
        <v>0</v>
      </c>
      <c r="AS42" s="82"/>
      <c r="AT42" s="82">
        <f t="shared" si="12"/>
        <v>0</v>
      </c>
      <c r="AU42" s="82"/>
      <c r="AV42" s="82">
        <f t="shared" si="13"/>
        <v>0.4249615782940899</v>
      </c>
      <c r="AW42" s="51"/>
      <c r="AX42" s="51"/>
      <c r="AY42" s="51"/>
      <c r="AZ42" s="51"/>
      <c r="BA42" s="51"/>
      <c r="BB42" s="55">
        <f t="shared" si="14"/>
        <v>2.827940305452626</v>
      </c>
      <c r="BC42" s="51"/>
      <c r="BD42" s="55">
        <f t="shared" si="15"/>
        <v>1.3954418016097654</v>
      </c>
      <c r="BE42" s="51"/>
      <c r="BF42" s="55">
        <f t="shared" si="16"/>
        <v>0.19612050768720243</v>
      </c>
      <c r="BG42" s="51"/>
      <c r="BH42" s="55">
        <f t="shared" si="17"/>
        <v>0.21199897329863895</v>
      </c>
      <c r="BI42" s="51"/>
      <c r="BJ42" s="51"/>
      <c r="BK42" s="51"/>
      <c r="BL42" s="51"/>
      <c r="BM42" s="51"/>
      <c r="BN42" s="55">
        <f t="shared" si="18"/>
        <v>0</v>
      </c>
      <c r="BO42" s="51"/>
      <c r="BP42" s="55">
        <f t="shared" si="19"/>
        <v>0.5989526174441915</v>
      </c>
      <c r="BQ42" s="51"/>
      <c r="BR42" s="55">
        <f t="shared" si="20"/>
        <v>1.1767230461232148</v>
      </c>
      <c r="BS42" s="51"/>
      <c r="BT42" s="55">
        <f t="shared" si="21"/>
        <v>0.4249615782940899</v>
      </c>
      <c r="BU42" s="51"/>
      <c r="BV42" s="51"/>
      <c r="BW42" s="51"/>
      <c r="BX42" s="51"/>
      <c r="BY42" s="51"/>
      <c r="BZ42" s="55">
        <f t="shared" si="22"/>
        <v>0</v>
      </c>
      <c r="CA42" s="51"/>
      <c r="CB42" s="55">
        <f t="shared" si="23"/>
        <v>0</v>
      </c>
      <c r="CC42" s="51"/>
      <c r="CD42" s="55">
        <f t="shared" si="24"/>
        <v>0</v>
      </c>
      <c r="CE42" s="51"/>
      <c r="CF42" s="55">
        <f t="shared" si="25"/>
        <v>0</v>
      </c>
      <c r="CG42" s="51"/>
      <c r="CH42" s="51"/>
      <c r="CI42" s="51"/>
      <c r="CJ42" s="51"/>
      <c r="CK42" s="51"/>
      <c r="CL42" s="55">
        <f t="shared" si="27"/>
        <v>2.827940305452626</v>
      </c>
      <c r="CM42" s="55"/>
      <c r="CN42" s="55">
        <f t="shared" si="28"/>
        <v>1.9943944190539569</v>
      </c>
      <c r="CO42" s="55"/>
      <c r="CP42" s="55">
        <f t="shared" si="29"/>
        <v>1.3728435538104171</v>
      </c>
      <c r="CQ42" s="55"/>
      <c r="CR42" s="55">
        <f t="shared" si="30"/>
        <v>1.0619221298868189</v>
      </c>
      <c r="CS42" s="51"/>
      <c r="CT42" s="51"/>
      <c r="CU42" s="51"/>
      <c r="CV42" s="51"/>
      <c r="CX42" s="55">
        <f t="shared" si="31"/>
        <v>911.2175457398695</v>
      </c>
      <c r="CZ42" s="55">
        <f t="shared" si="31"/>
        <v>758.8856521363507</v>
      </c>
      <c r="DB42" s="55">
        <f t="shared" si="31"/>
        <v>818.5713408122581</v>
      </c>
      <c r="DD42" s="55">
        <f t="shared" si="31"/>
        <v>890.9757941357642</v>
      </c>
      <c r="DJ42" s="55">
        <f t="shared" si="32"/>
        <v>844.9125832060607</v>
      </c>
    </row>
    <row r="43" spans="2:114" ht="12.75">
      <c r="B43" s="53" t="s">
        <v>98</v>
      </c>
      <c r="D43" s="53" t="s">
        <v>65</v>
      </c>
      <c r="E43" s="74" t="s">
        <v>12</v>
      </c>
      <c r="F43" s="82">
        <f t="shared" si="26"/>
        <v>28.27940305452626</v>
      </c>
      <c r="G43" s="83" t="s">
        <v>12</v>
      </c>
      <c r="H43" s="82">
        <f t="shared" si="26"/>
        <v>35.973402288251734</v>
      </c>
      <c r="I43" s="83" t="s">
        <v>12</v>
      </c>
      <c r="J43" s="82">
        <f t="shared" si="0"/>
        <v>33.429631992136784</v>
      </c>
      <c r="K43" s="83" t="s">
        <v>12</v>
      </c>
      <c r="L43" s="82">
        <f t="shared" si="1"/>
        <v>44.616147562395376</v>
      </c>
      <c r="M43" s="82"/>
      <c r="N43" s="82"/>
      <c r="O43" s="82"/>
      <c r="P43" s="82"/>
      <c r="Q43" s="83" t="s">
        <v>12</v>
      </c>
      <c r="R43" s="82">
        <f t="shared" si="2"/>
        <v>877.9424432607283</v>
      </c>
      <c r="S43" s="83" t="s">
        <v>12</v>
      </c>
      <c r="T43" s="82">
        <f t="shared" si="3"/>
        <v>804.6443635256311</v>
      </c>
      <c r="U43" s="83" t="s">
        <v>12</v>
      </c>
      <c r="V43" s="82">
        <f t="shared" si="4"/>
        <v>791.613685573799</v>
      </c>
      <c r="W43" s="83" t="s">
        <v>12</v>
      </c>
      <c r="X43" s="82">
        <f t="shared" si="5"/>
        <v>853.7776833754276</v>
      </c>
      <c r="Y43" s="82"/>
      <c r="Z43" s="82"/>
      <c r="AA43" s="82"/>
      <c r="AB43" s="82"/>
      <c r="AC43" s="82"/>
      <c r="AD43" s="82">
        <f t="shared" si="6"/>
        <v>0</v>
      </c>
      <c r="AE43" s="82"/>
      <c r="AF43" s="82">
        <f t="shared" si="7"/>
        <v>0</v>
      </c>
      <c r="AG43" s="82"/>
      <c r="AH43" s="82">
        <f t="shared" si="8"/>
        <v>0</v>
      </c>
      <c r="AI43" s="82"/>
      <c r="AJ43" s="82">
        <f t="shared" si="9"/>
        <v>0</v>
      </c>
      <c r="AK43" s="82"/>
      <c r="AL43" s="82"/>
      <c r="AM43" s="82"/>
      <c r="AN43" s="82"/>
      <c r="AO43" s="82"/>
      <c r="AP43" s="82">
        <f t="shared" si="10"/>
        <v>0</v>
      </c>
      <c r="AQ43" s="82"/>
      <c r="AR43" s="82">
        <f t="shared" si="11"/>
        <v>0</v>
      </c>
      <c r="AS43" s="82"/>
      <c r="AT43" s="82">
        <f t="shared" si="12"/>
        <v>0</v>
      </c>
      <c r="AU43" s="82"/>
      <c r="AV43" s="82">
        <f t="shared" si="13"/>
        <v>0</v>
      </c>
      <c r="AW43" s="51"/>
      <c r="AX43" s="51"/>
      <c r="AY43" s="51"/>
      <c r="AZ43" s="51"/>
      <c r="BA43" s="51"/>
      <c r="BB43" s="55">
        <f t="shared" si="14"/>
        <v>0</v>
      </c>
      <c r="BC43" s="51"/>
      <c r="BD43" s="55">
        <f t="shared" si="15"/>
        <v>0</v>
      </c>
      <c r="BE43" s="51"/>
      <c r="BF43" s="55">
        <f t="shared" si="16"/>
        <v>0</v>
      </c>
      <c r="BG43" s="51"/>
      <c r="BH43" s="55">
        <f t="shared" si="17"/>
        <v>0</v>
      </c>
      <c r="BI43" s="51"/>
      <c r="BJ43" s="51"/>
      <c r="BK43" s="51"/>
      <c r="BL43" s="51"/>
      <c r="BM43" s="51"/>
      <c r="BN43" s="55">
        <f t="shared" si="18"/>
        <v>0</v>
      </c>
      <c r="BO43" s="51"/>
      <c r="BP43" s="55">
        <f t="shared" si="19"/>
        <v>0</v>
      </c>
      <c r="BQ43" s="51"/>
      <c r="BR43" s="55">
        <f t="shared" si="20"/>
        <v>0</v>
      </c>
      <c r="BS43" s="51"/>
      <c r="BT43" s="55">
        <f t="shared" si="21"/>
        <v>0</v>
      </c>
      <c r="BU43" s="51"/>
      <c r="BV43" s="51"/>
      <c r="BW43" s="51"/>
      <c r="BX43" s="51"/>
      <c r="BY43" s="51"/>
      <c r="BZ43" s="55">
        <f t="shared" si="22"/>
        <v>0</v>
      </c>
      <c r="CA43" s="51"/>
      <c r="CB43" s="55">
        <f t="shared" si="23"/>
        <v>0</v>
      </c>
      <c r="CC43" s="51"/>
      <c r="CD43" s="55">
        <f t="shared" si="24"/>
        <v>0</v>
      </c>
      <c r="CE43" s="51"/>
      <c r="CF43" s="55">
        <f t="shared" si="25"/>
        <v>0</v>
      </c>
      <c r="CG43" s="51"/>
      <c r="CH43" s="51"/>
      <c r="CI43" s="51"/>
      <c r="CJ43" s="51"/>
      <c r="CK43" s="51"/>
      <c r="CL43" s="55">
        <f t="shared" si="27"/>
        <v>0</v>
      </c>
      <c r="CM43" s="55"/>
      <c r="CN43" s="55">
        <f t="shared" si="28"/>
        <v>0</v>
      </c>
      <c r="CO43" s="55"/>
      <c r="CP43" s="55">
        <f t="shared" si="29"/>
        <v>0</v>
      </c>
      <c r="CQ43" s="55"/>
      <c r="CR43" s="55">
        <f t="shared" si="30"/>
        <v>0</v>
      </c>
      <c r="CS43" s="51"/>
      <c r="CT43" s="51"/>
      <c r="CU43" s="51"/>
      <c r="CV43" s="51"/>
      <c r="CX43" s="55">
        <f t="shared" si="31"/>
        <v>906.2218463152545</v>
      </c>
      <c r="CZ43" s="55">
        <f t="shared" si="31"/>
        <v>840.6177658138828</v>
      </c>
      <c r="DB43" s="55">
        <f t="shared" si="31"/>
        <v>825.0433175659358</v>
      </c>
      <c r="DD43" s="55">
        <f t="shared" si="31"/>
        <v>898.3938309378229</v>
      </c>
      <c r="DJ43" s="55">
        <f t="shared" si="32"/>
        <v>867.569190158224</v>
      </c>
    </row>
    <row r="44" spans="2:120" ht="12.75">
      <c r="B44" s="53" t="s">
        <v>72</v>
      </c>
      <c r="D44" s="53" t="s">
        <v>65</v>
      </c>
      <c r="E44" s="74"/>
      <c r="F44" s="82">
        <f>F36+F39</f>
        <v>529.8200356243474</v>
      </c>
      <c r="G44" s="83"/>
      <c r="H44" s="82">
        <f>H36+H39</f>
        <v>339.43668758637546</v>
      </c>
      <c r="I44" s="83"/>
      <c r="J44" s="82">
        <f>J36+J39</f>
        <v>278.75855797176456</v>
      </c>
      <c r="K44" s="83"/>
      <c r="L44" s="82">
        <f>L36+L39</f>
        <v>476.03405822512576</v>
      </c>
      <c r="M44" s="82"/>
      <c r="N44" s="82"/>
      <c r="O44" s="82"/>
      <c r="P44" s="82"/>
      <c r="Q44" s="83"/>
      <c r="R44" s="82">
        <f>R36/2+R39</f>
        <v>3727.067667377895</v>
      </c>
      <c r="S44" s="83"/>
      <c r="T44" s="82">
        <f>T36/2+T39</f>
        <v>4224.835974029566</v>
      </c>
      <c r="U44" s="83"/>
      <c r="V44" s="82">
        <f>V36/2+V39</f>
        <v>4156.417577689006</v>
      </c>
      <c r="W44" s="83"/>
      <c r="X44" s="82">
        <f>X36/2+X39</f>
        <v>11958.669357436862</v>
      </c>
      <c r="Y44" s="82"/>
      <c r="Z44" s="82"/>
      <c r="AA44" s="82"/>
      <c r="AB44" s="82"/>
      <c r="AC44" s="82"/>
      <c r="AD44" s="82">
        <f>AD36+AD39</f>
        <v>519.5724470610348</v>
      </c>
      <c r="AE44" s="82"/>
      <c r="AF44" s="82">
        <f>AF36+AF39</f>
        <v>7801.788254454599</v>
      </c>
      <c r="AG44" s="82"/>
      <c r="AH44" s="82">
        <f>AH36+AH39</f>
        <v>1068.2327470980667</v>
      </c>
      <c r="AI44" s="82"/>
      <c r="AJ44" s="82">
        <f>AJ36+AJ39</f>
        <v>4574.359664766542</v>
      </c>
      <c r="AK44" s="82"/>
      <c r="AL44" s="82"/>
      <c r="AM44" s="82"/>
      <c r="AN44" s="82"/>
      <c r="AO44" s="82"/>
      <c r="AP44" s="82">
        <f>AP36+AP39</f>
        <v>39868.04623655704</v>
      </c>
      <c r="AQ44" s="82"/>
      <c r="AR44" s="82">
        <f>AR36+AR39</f>
        <v>31379.3179154196</v>
      </c>
      <c r="AS44" s="82"/>
      <c r="AT44" s="82">
        <f>AT36+AT39</f>
        <v>32507.419877580363</v>
      </c>
      <c r="AU44" s="82"/>
      <c r="AV44" s="82">
        <f>AV36+AV39</f>
        <v>31488.59295672557</v>
      </c>
      <c r="AW44" s="51"/>
      <c r="AX44" s="51"/>
      <c r="AY44" s="51"/>
      <c r="AZ44" s="51"/>
      <c r="BA44" s="51"/>
      <c r="BB44" s="55">
        <f>BB36+BB39</f>
        <v>5912.070324988069</v>
      </c>
      <c r="BC44" s="51"/>
      <c r="BD44" s="55">
        <f>BD36+BD39</f>
        <v>5373.357067237604</v>
      </c>
      <c r="BE44" s="51"/>
      <c r="BF44" s="55">
        <f>BF36+BF39</f>
        <v>954.7502896954263</v>
      </c>
      <c r="BG44" s="51"/>
      <c r="BH44" s="55">
        <f>BH36+BH39</f>
        <v>452.90689750163784</v>
      </c>
      <c r="BI44" s="51"/>
      <c r="BJ44" s="51"/>
      <c r="BK44" s="51"/>
      <c r="BL44" s="51"/>
      <c r="BM44" s="51"/>
      <c r="BN44" s="55">
        <f>BN36+BN39</f>
        <v>39472.922869837006</v>
      </c>
      <c r="BO44" s="51"/>
      <c r="BP44" s="55">
        <f>BP36+BP39</f>
        <v>37604.43816026316</v>
      </c>
      <c r="BQ44" s="51"/>
      <c r="BR44" s="55">
        <f>BR36+BR39</f>
        <v>54147.08925873034</v>
      </c>
      <c r="BS44" s="51"/>
      <c r="BT44" s="55">
        <f>BT36+BT39</f>
        <v>27172.486586704643</v>
      </c>
      <c r="BU44" s="51"/>
      <c r="BV44" s="51"/>
      <c r="BW44" s="51"/>
      <c r="BX44" s="51"/>
      <c r="BY44" s="51"/>
      <c r="BZ44" s="55">
        <f>BZ36+BZ39</f>
        <v>0</v>
      </c>
      <c r="CA44" s="51"/>
      <c r="CB44" s="55">
        <f>CB36+CB39</f>
        <v>0</v>
      </c>
      <c r="CC44" s="51"/>
      <c r="CD44" s="55">
        <f>CD36+CD39</f>
        <v>0</v>
      </c>
      <c r="CE44" s="51"/>
      <c r="CF44" s="55">
        <f>CF36+CF39</f>
        <v>0</v>
      </c>
      <c r="CG44" s="51"/>
      <c r="CH44" s="51"/>
      <c r="CI44" s="51"/>
      <c r="CJ44" s="51"/>
      <c r="CK44" s="51"/>
      <c r="CL44" s="55">
        <f t="shared" si="27"/>
        <v>85253.03943138212</v>
      </c>
      <c r="CM44" s="55"/>
      <c r="CN44" s="55">
        <f t="shared" si="28"/>
        <v>74357.11314292037</v>
      </c>
      <c r="CO44" s="55"/>
      <c r="CP44" s="55">
        <f t="shared" si="29"/>
        <v>87609.25942600613</v>
      </c>
      <c r="CQ44" s="55"/>
      <c r="CR44" s="55">
        <f t="shared" si="30"/>
        <v>59113.986440931854</v>
      </c>
      <c r="CS44" s="51"/>
      <c r="CT44" s="51"/>
      <c r="CU44" s="51"/>
      <c r="CV44" s="51"/>
      <c r="CX44" s="55">
        <f t="shared" si="31"/>
        <v>90029.49958144539</v>
      </c>
      <c r="CZ44" s="55">
        <f t="shared" si="31"/>
        <v>86723.1740589909</v>
      </c>
      <c r="DB44" s="55">
        <f t="shared" si="31"/>
        <v>93112.66830876496</v>
      </c>
      <c r="DD44" s="55">
        <f t="shared" si="31"/>
        <v>76123.04952136037</v>
      </c>
      <c r="DJ44" s="55">
        <f t="shared" si="32"/>
        <v>86497.0978676404</v>
      </c>
      <c r="DM44" s="55">
        <f>AVERAGE(AD44,AF44,AH44,AJ44,AL44,AN44)</f>
        <v>3490.9882783450607</v>
      </c>
      <c r="DN44" s="55">
        <f>AVERAGE(AP44,AR44,AT44,AV44,AX44,AZ44)+AVERAGE(BB44,BD44,BF44,BH44,BJ44,BL44)+AVERAGE(BN44,BP44,BR44,BT44,BV44,BX44)+AVERAGE(BZ44,CB44,CD44,CF44,CH44,CJ44)</f>
        <v>76583.34961031012</v>
      </c>
      <c r="DO44" s="55">
        <f>AVERAGE(F44,H44,J44,L44,N44,P44)+AVERAGE(R44,T44,V44,X44,Z44,AB44)</f>
        <v>6422.759978985237</v>
      </c>
      <c r="DP44" s="55">
        <f>SUM(DM44,DN44,DO44)</f>
        <v>86497.09786764042</v>
      </c>
    </row>
    <row r="45" spans="2:120" ht="12.75">
      <c r="B45" s="53" t="s">
        <v>73</v>
      </c>
      <c r="D45" s="53" t="s">
        <v>65</v>
      </c>
      <c r="E45" s="74"/>
      <c r="F45" s="82">
        <f>F33+F35+F37</f>
        <v>1250.7970117566424</v>
      </c>
      <c r="G45" s="83"/>
      <c r="H45" s="82">
        <f>H33+H35+H37</f>
        <v>1535.8921128107481</v>
      </c>
      <c r="I45" s="83"/>
      <c r="J45" s="82">
        <f>J33+J35+J37</f>
        <v>1407.6103710822395</v>
      </c>
      <c r="K45" s="83"/>
      <c r="L45" s="82">
        <f>L33+L35+L37</f>
        <v>2018.80840482113</v>
      </c>
      <c r="M45" s="82"/>
      <c r="N45" s="82"/>
      <c r="O45" s="82"/>
      <c r="P45" s="82"/>
      <c r="Q45" s="83"/>
      <c r="R45" s="82">
        <f>R33/2+R35/2+R37</f>
        <v>3289.081790801695</v>
      </c>
      <c r="S45" s="83"/>
      <c r="T45" s="82">
        <f>T33/2+T35/2+T37</f>
        <v>3023.306214981157</v>
      </c>
      <c r="U45" s="83"/>
      <c r="V45" s="82">
        <f>V33/2+V35/2+V37</f>
        <v>3767.7423897270965</v>
      </c>
      <c r="W45" s="83"/>
      <c r="X45" s="82">
        <f>X33/2+X35/2+X37</f>
        <v>4061.2257862141537</v>
      </c>
      <c r="Y45" s="82"/>
      <c r="Z45" s="82"/>
      <c r="AA45" s="82"/>
      <c r="AB45" s="82"/>
      <c r="AC45" s="82"/>
      <c r="AD45" s="82">
        <f>AD33+AD35+AD37</f>
        <v>418.7716480199882</v>
      </c>
      <c r="AE45" s="82"/>
      <c r="AF45" s="82">
        <f>AF33+AF35+AF37</f>
        <v>1776.016838412429</v>
      </c>
      <c r="AG45" s="82"/>
      <c r="AH45" s="82">
        <f>AH33+AH35+AH37</f>
        <v>204.7676391625018</v>
      </c>
      <c r="AI45" s="82"/>
      <c r="AJ45" s="82">
        <f>AJ33+AJ35+AJ37</f>
        <v>257.28966304880277</v>
      </c>
      <c r="AK45" s="82"/>
      <c r="AL45" s="82"/>
      <c r="AM45" s="82"/>
      <c r="AN45" s="82"/>
      <c r="AO45" s="82"/>
      <c r="AP45" s="82">
        <f>AP33+AP35+AP37</f>
        <v>993.2278145979957</v>
      </c>
      <c r="AQ45" s="82"/>
      <c r="AR45" s="82">
        <f>AR33+AR35+AR37</f>
        <v>830.9221636858149</v>
      </c>
      <c r="AS45" s="82"/>
      <c r="AT45" s="82">
        <f>AT33+AT35+AT37</f>
        <v>1287.2636959105469</v>
      </c>
      <c r="AU45" s="82"/>
      <c r="AV45" s="82">
        <f>AV33+AV35+AV37</f>
        <v>1164.7040503004832</v>
      </c>
      <c r="AW45" s="51"/>
      <c r="AX45" s="51"/>
      <c r="AY45" s="51"/>
      <c r="AZ45" s="51"/>
      <c r="BA45" s="51"/>
      <c r="BB45" s="55">
        <f>BB33+BB35+BB37</f>
        <v>8735.08390516987</v>
      </c>
      <c r="BC45" s="51"/>
      <c r="BD45" s="55">
        <f>BD33+BD35+BD37</f>
        <v>14290.592631940006</v>
      </c>
      <c r="BE45" s="51"/>
      <c r="BF45" s="55">
        <f>BF33+BF35+BF37</f>
        <v>18050.48579910355</v>
      </c>
      <c r="BG45" s="51"/>
      <c r="BH45" s="55">
        <f>BH33+BH35+BH37</f>
        <v>14089.451765427548</v>
      </c>
      <c r="BI45" s="51"/>
      <c r="BJ45" s="51"/>
      <c r="BK45" s="51"/>
      <c r="BL45" s="51"/>
      <c r="BM45" s="51"/>
      <c r="BN45" s="55">
        <f>BN33+BN35+BN37</f>
        <v>736.0527554610146</v>
      </c>
      <c r="BO45" s="51"/>
      <c r="BP45" s="55">
        <f>BP33+BP35+BP37</f>
        <v>270.3895023378922</v>
      </c>
      <c r="BQ45" s="51"/>
      <c r="BR45" s="55">
        <f>BR33+BR35+BR37</f>
        <v>165.72182899568608</v>
      </c>
      <c r="BS45" s="51"/>
      <c r="BT45" s="55">
        <f>BT33+BT35+BT37</f>
        <v>79.49961498698961</v>
      </c>
      <c r="BU45" s="51"/>
      <c r="BV45" s="51"/>
      <c r="BW45" s="51"/>
      <c r="BX45" s="51"/>
      <c r="BY45" s="51"/>
      <c r="BZ45" s="55">
        <f>BZ33+BZ35+BZ37</f>
        <v>43.453716888662306</v>
      </c>
      <c r="CA45" s="51"/>
      <c r="CB45" s="55">
        <f>CB33+CB35+CB37</f>
        <v>39.96037886427965</v>
      </c>
      <c r="CC45" s="51"/>
      <c r="CD45" s="55">
        <f>CD33+CD35+CD37</f>
        <v>39.31324722275285</v>
      </c>
      <c r="CE45" s="51"/>
      <c r="CF45" s="55">
        <f>CF33+CF35+CF37</f>
        <v>42.496157829408986</v>
      </c>
      <c r="CG45" s="51"/>
      <c r="CH45" s="51"/>
      <c r="CI45" s="51"/>
      <c r="CJ45" s="51"/>
      <c r="CK45" s="51"/>
      <c r="CL45" s="55">
        <f t="shared" si="27"/>
        <v>10507.818192117542</v>
      </c>
      <c r="CM45" s="55"/>
      <c r="CN45" s="55">
        <f t="shared" si="28"/>
        <v>15431.864676827992</v>
      </c>
      <c r="CO45" s="55"/>
      <c r="CP45" s="55">
        <f t="shared" si="29"/>
        <v>19542.784571232536</v>
      </c>
      <c r="CQ45" s="55"/>
      <c r="CR45" s="55">
        <f t="shared" si="30"/>
        <v>15376.15158854443</v>
      </c>
      <c r="CS45" s="51"/>
      <c r="CT45" s="51"/>
      <c r="CU45" s="51"/>
      <c r="CV45" s="51"/>
      <c r="CX45" s="55">
        <f t="shared" si="31"/>
        <v>15466.468642695867</v>
      </c>
      <c r="CZ45" s="55">
        <f t="shared" si="31"/>
        <v>21767.079843032327</v>
      </c>
      <c r="DB45" s="55">
        <f t="shared" si="31"/>
        <v>24922.90497120437</v>
      </c>
      <c r="DD45" s="55">
        <f t="shared" si="31"/>
        <v>21713.475442628518</v>
      </c>
      <c r="DJ45" s="55">
        <f t="shared" si="32"/>
        <v>20967.48222489027</v>
      </c>
      <c r="DM45" s="55">
        <f>AVERAGE(AD45,AF45,AH45,AJ45,AL45,AN45)</f>
        <v>664.2114471609304</v>
      </c>
      <c r="DN45" s="55">
        <f>AVERAGE(AP45,AR45,AT45,AV45,AX45,AZ45)+AVERAGE(BB45,BD45,BF45,BH45,BJ45,BL45)+AVERAGE(BN45,BP45,BR45,BT45,BV45,BX45)+AVERAGE(BZ45,CB45,CD45,CF45,CH45,CJ45)</f>
        <v>15214.654757180626</v>
      </c>
      <c r="DO45" s="55">
        <f>AVERAGE(F45,H45,J45,L45,N45,P45)+AVERAGE(R45,T45,V45,X45,Z45,AB45)</f>
        <v>5088.616020548716</v>
      </c>
      <c r="DP45" s="55">
        <f>SUM(DM45,DN45,DO45)</f>
        <v>20967.48222489027</v>
      </c>
    </row>
    <row r="46" spans="5:100" ht="12.75">
      <c r="E46" s="74"/>
      <c r="F46" s="51"/>
      <c r="G46" s="74"/>
      <c r="H46" s="51"/>
      <c r="I46" s="74"/>
      <c r="J46" s="51"/>
      <c r="K46" s="74"/>
      <c r="L46" s="51"/>
      <c r="M46" s="51"/>
      <c r="N46" s="51"/>
      <c r="O46" s="51"/>
      <c r="P46" s="51"/>
      <c r="Q46" s="74"/>
      <c r="R46" s="51"/>
      <c r="S46" s="74"/>
      <c r="T46" s="51"/>
      <c r="U46" s="74"/>
      <c r="V46" s="51"/>
      <c r="W46" s="74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</row>
    <row r="47" spans="2:114" ht="12.75">
      <c r="B47" s="27" t="s">
        <v>190</v>
      </c>
      <c r="C47" s="27"/>
      <c r="D47" s="27"/>
      <c r="E47" s="74"/>
      <c r="F47" s="59" t="s">
        <v>122</v>
      </c>
      <c r="H47" s="59" t="s">
        <v>123</v>
      </c>
      <c r="J47" s="59" t="s">
        <v>124</v>
      </c>
      <c r="L47" s="59" t="s">
        <v>196</v>
      </c>
      <c r="M47" s="59"/>
      <c r="N47" s="59" t="s">
        <v>197</v>
      </c>
      <c r="O47" s="59"/>
      <c r="P47" s="59" t="s">
        <v>198</v>
      </c>
      <c r="R47" s="59" t="s">
        <v>122</v>
      </c>
      <c r="T47" s="59" t="s">
        <v>123</v>
      </c>
      <c r="V47" s="59" t="s">
        <v>124</v>
      </c>
      <c r="X47" s="59" t="s">
        <v>196</v>
      </c>
      <c r="Y47" s="59"/>
      <c r="Z47" s="59" t="s">
        <v>197</v>
      </c>
      <c r="AA47" s="59"/>
      <c r="AB47" s="59" t="s">
        <v>198</v>
      </c>
      <c r="AC47" s="59"/>
      <c r="AD47" s="59" t="s">
        <v>122</v>
      </c>
      <c r="AE47" s="59"/>
      <c r="AF47" s="59" t="s">
        <v>123</v>
      </c>
      <c r="AG47" s="59"/>
      <c r="AH47" s="59" t="s">
        <v>124</v>
      </c>
      <c r="AI47" s="59"/>
      <c r="AJ47" s="59" t="s">
        <v>196</v>
      </c>
      <c r="AK47" s="59"/>
      <c r="AL47" s="59" t="s">
        <v>197</v>
      </c>
      <c r="AM47" s="59"/>
      <c r="AN47" s="59" t="s">
        <v>198</v>
      </c>
      <c r="AO47" s="59"/>
      <c r="AP47" s="59" t="s">
        <v>122</v>
      </c>
      <c r="AQ47" s="59"/>
      <c r="AR47" s="59" t="s">
        <v>123</v>
      </c>
      <c r="AS47" s="59"/>
      <c r="AT47" s="59" t="s">
        <v>124</v>
      </c>
      <c r="AU47" s="59"/>
      <c r="AV47" s="59" t="s">
        <v>196</v>
      </c>
      <c r="AW47" s="59"/>
      <c r="AX47" s="59" t="s">
        <v>197</v>
      </c>
      <c r="AY47" s="59"/>
      <c r="AZ47" s="59" t="s">
        <v>198</v>
      </c>
      <c r="BA47" s="59"/>
      <c r="BB47" s="59" t="s">
        <v>122</v>
      </c>
      <c r="BC47" s="59"/>
      <c r="BD47" s="59" t="s">
        <v>123</v>
      </c>
      <c r="BE47" s="59"/>
      <c r="BF47" s="59" t="s">
        <v>124</v>
      </c>
      <c r="BG47" s="59"/>
      <c r="BH47" s="59" t="s">
        <v>196</v>
      </c>
      <c r="BI47" s="59"/>
      <c r="BJ47" s="59" t="s">
        <v>197</v>
      </c>
      <c r="BK47" s="59"/>
      <c r="BL47" s="59" t="s">
        <v>198</v>
      </c>
      <c r="BM47" s="59"/>
      <c r="BN47" s="59" t="s">
        <v>122</v>
      </c>
      <c r="BO47" s="59"/>
      <c r="BP47" s="59" t="s">
        <v>123</v>
      </c>
      <c r="BQ47" s="59"/>
      <c r="BR47" s="59" t="s">
        <v>124</v>
      </c>
      <c r="BS47" s="59"/>
      <c r="BT47" s="59" t="s">
        <v>196</v>
      </c>
      <c r="BU47" s="59"/>
      <c r="BV47" s="59" t="s">
        <v>197</v>
      </c>
      <c r="BW47" s="59"/>
      <c r="BX47" s="59" t="s">
        <v>198</v>
      </c>
      <c r="BY47" s="59"/>
      <c r="BZ47" s="59" t="s">
        <v>122</v>
      </c>
      <c r="CA47" s="59"/>
      <c r="CB47" s="59" t="s">
        <v>123</v>
      </c>
      <c r="CC47" s="59"/>
      <c r="CD47" s="59" t="s">
        <v>124</v>
      </c>
      <c r="CE47" s="59"/>
      <c r="CF47" s="59" t="s">
        <v>196</v>
      </c>
      <c r="CG47" s="59"/>
      <c r="CH47" s="59" t="s">
        <v>197</v>
      </c>
      <c r="CI47" s="59"/>
      <c r="CJ47" s="59" t="s">
        <v>198</v>
      </c>
      <c r="CK47" s="59"/>
      <c r="CL47" s="59" t="s">
        <v>122</v>
      </c>
      <c r="CM47" s="59"/>
      <c r="CN47" s="59" t="s">
        <v>123</v>
      </c>
      <c r="CO47" s="59"/>
      <c r="CP47" s="59" t="s">
        <v>124</v>
      </c>
      <c r="CQ47" s="59"/>
      <c r="CR47" s="59" t="s">
        <v>196</v>
      </c>
      <c r="CS47" s="59"/>
      <c r="CT47" s="59" t="s">
        <v>197</v>
      </c>
      <c r="CU47" s="59"/>
      <c r="CV47" s="59" t="s">
        <v>198</v>
      </c>
      <c r="CW47" s="59"/>
      <c r="CX47" s="59" t="s">
        <v>122</v>
      </c>
      <c r="CY47" s="59"/>
      <c r="CZ47" s="59" t="s">
        <v>123</v>
      </c>
      <c r="DA47" s="59"/>
      <c r="DB47" s="59" t="s">
        <v>124</v>
      </c>
      <c r="DC47" s="59"/>
      <c r="DD47" s="59" t="s">
        <v>196</v>
      </c>
      <c r="DE47" s="59"/>
      <c r="DF47" s="59" t="s">
        <v>197</v>
      </c>
      <c r="DG47" s="59"/>
      <c r="DH47" s="59" t="s">
        <v>198</v>
      </c>
      <c r="DI47" s="59"/>
      <c r="DJ47" s="59" t="s">
        <v>66</v>
      </c>
    </row>
    <row r="48" spans="2:114" ht="12.75">
      <c r="B48" s="27"/>
      <c r="C48" s="27"/>
      <c r="D48" s="27"/>
      <c r="E48" s="74"/>
      <c r="F48" s="59"/>
      <c r="H48" s="59"/>
      <c r="J48" s="59"/>
      <c r="L48" s="59"/>
      <c r="M48" s="59"/>
      <c r="N48" s="59"/>
      <c r="O48" s="59"/>
      <c r="P48" s="59"/>
      <c r="R48" s="59"/>
      <c r="T48" s="59"/>
      <c r="V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</row>
    <row r="49" spans="2:114" ht="12.75">
      <c r="B49" s="9" t="s">
        <v>285</v>
      </c>
      <c r="C49" s="9"/>
      <c r="D49" s="27"/>
      <c r="F49" s="59" t="s">
        <v>289</v>
      </c>
      <c r="H49" s="59" t="s">
        <v>289</v>
      </c>
      <c r="J49" s="59" t="s">
        <v>289</v>
      </c>
      <c r="L49" s="59" t="s">
        <v>289</v>
      </c>
      <c r="M49" s="59"/>
      <c r="N49" s="59" t="s">
        <v>289</v>
      </c>
      <c r="O49" s="59"/>
      <c r="P49" s="59" t="s">
        <v>289</v>
      </c>
      <c r="R49" s="59" t="s">
        <v>290</v>
      </c>
      <c r="T49" s="59" t="s">
        <v>290</v>
      </c>
      <c r="V49" s="59" t="s">
        <v>290</v>
      </c>
      <c r="X49" s="59" t="s">
        <v>290</v>
      </c>
      <c r="Y49" s="59"/>
      <c r="Z49" s="59" t="s">
        <v>290</v>
      </c>
      <c r="AA49" s="59"/>
      <c r="AB49" s="59" t="s">
        <v>290</v>
      </c>
      <c r="AC49" s="59"/>
      <c r="AD49" s="59" t="s">
        <v>291</v>
      </c>
      <c r="AE49" s="59"/>
      <c r="AF49" s="59" t="s">
        <v>291</v>
      </c>
      <c r="AG49" s="59"/>
      <c r="AH49" s="59" t="s">
        <v>291</v>
      </c>
      <c r="AI49" s="59"/>
      <c r="AJ49" s="59" t="s">
        <v>291</v>
      </c>
      <c r="AK49" s="59"/>
      <c r="AL49" s="59" t="s">
        <v>291</v>
      </c>
      <c r="AM49" s="59"/>
      <c r="AN49" s="59" t="s">
        <v>291</v>
      </c>
      <c r="AO49" s="59"/>
      <c r="AP49" s="59" t="s">
        <v>292</v>
      </c>
      <c r="AQ49" s="59"/>
      <c r="AR49" s="59" t="s">
        <v>292</v>
      </c>
      <c r="AS49" s="59"/>
      <c r="AT49" s="59" t="s">
        <v>292</v>
      </c>
      <c r="AU49" s="59"/>
      <c r="AV49" s="59" t="s">
        <v>292</v>
      </c>
      <c r="AW49" s="59"/>
      <c r="AX49" s="59" t="s">
        <v>292</v>
      </c>
      <c r="AY49" s="59"/>
      <c r="AZ49" s="59" t="s">
        <v>292</v>
      </c>
      <c r="BA49" s="59"/>
      <c r="BB49" s="59" t="s">
        <v>293</v>
      </c>
      <c r="BC49" s="59"/>
      <c r="BD49" s="59" t="s">
        <v>293</v>
      </c>
      <c r="BE49" s="59"/>
      <c r="BF49" s="59" t="s">
        <v>293</v>
      </c>
      <c r="BG49" s="59"/>
      <c r="BH49" s="59" t="s">
        <v>293</v>
      </c>
      <c r="BI49" s="59"/>
      <c r="BJ49" s="59" t="s">
        <v>293</v>
      </c>
      <c r="BK49" s="59"/>
      <c r="BL49" s="59" t="s">
        <v>293</v>
      </c>
      <c r="BM49" s="59"/>
      <c r="BN49" s="59" t="s">
        <v>294</v>
      </c>
      <c r="BO49" s="59"/>
      <c r="BP49" s="59" t="s">
        <v>294</v>
      </c>
      <c r="BQ49" s="59"/>
      <c r="BR49" s="59" t="s">
        <v>294</v>
      </c>
      <c r="BS49" s="59"/>
      <c r="BT49" s="59" t="s">
        <v>294</v>
      </c>
      <c r="BU49" s="59"/>
      <c r="BV49" s="59" t="s">
        <v>294</v>
      </c>
      <c r="BW49" s="59"/>
      <c r="BX49" s="59" t="s">
        <v>294</v>
      </c>
      <c r="BY49" s="59"/>
      <c r="BZ49" s="59" t="s">
        <v>294</v>
      </c>
      <c r="CA49" s="59"/>
      <c r="CB49" s="59" t="s">
        <v>294</v>
      </c>
      <c r="CC49" s="59"/>
      <c r="CD49" s="59" t="s">
        <v>294</v>
      </c>
      <c r="CE49" s="59"/>
      <c r="CF49" s="59" t="s">
        <v>294</v>
      </c>
      <c r="CG49" s="59"/>
      <c r="CH49" s="59" t="s">
        <v>294</v>
      </c>
      <c r="CI49" s="59"/>
      <c r="CJ49" s="59" t="s">
        <v>294</v>
      </c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 t="s">
        <v>295</v>
      </c>
      <c r="CY49" s="59"/>
      <c r="CZ49" s="59" t="s">
        <v>295</v>
      </c>
      <c r="DA49" s="59"/>
      <c r="DB49" s="59" t="s">
        <v>295</v>
      </c>
      <c r="DC49" s="59"/>
      <c r="DD49" s="59" t="s">
        <v>295</v>
      </c>
      <c r="DE49" s="59"/>
      <c r="DF49" s="59" t="s">
        <v>295</v>
      </c>
      <c r="DG49" s="59"/>
      <c r="DH49" s="59" t="s">
        <v>295</v>
      </c>
      <c r="DI49" s="59"/>
      <c r="DJ49" s="59" t="s">
        <v>295</v>
      </c>
    </row>
    <row r="50" spans="2:114" ht="12.75">
      <c r="B50" s="9" t="s">
        <v>286</v>
      </c>
      <c r="C50" s="9"/>
      <c r="F50" s="53" t="s">
        <v>121</v>
      </c>
      <c r="H50" s="53" t="s">
        <v>121</v>
      </c>
      <c r="J50" s="53" t="s">
        <v>121</v>
      </c>
      <c r="L50" s="53" t="s">
        <v>121</v>
      </c>
      <c r="N50" s="53" t="s">
        <v>121</v>
      </c>
      <c r="P50" s="53" t="s">
        <v>121</v>
      </c>
      <c r="R50" s="53" t="s">
        <v>287</v>
      </c>
      <c r="T50" s="53" t="s">
        <v>287</v>
      </c>
      <c r="V50" s="53" t="s">
        <v>287</v>
      </c>
      <c r="X50" s="53" t="s">
        <v>287</v>
      </c>
      <c r="Z50" s="53" t="s">
        <v>287</v>
      </c>
      <c r="AB50" s="53" t="s">
        <v>287</v>
      </c>
      <c r="AD50" s="53" t="s">
        <v>288</v>
      </c>
      <c r="AF50" s="53" t="s">
        <v>288</v>
      </c>
      <c r="AH50" s="53" t="s">
        <v>288</v>
      </c>
      <c r="AJ50" s="53" t="s">
        <v>288</v>
      </c>
      <c r="AL50" s="53" t="s">
        <v>288</v>
      </c>
      <c r="AN50" s="53" t="s">
        <v>288</v>
      </c>
      <c r="AP50" s="53" t="s">
        <v>63</v>
      </c>
      <c r="AR50" s="53" t="s">
        <v>63</v>
      </c>
      <c r="AT50" s="53" t="s">
        <v>63</v>
      </c>
      <c r="AV50" s="53" t="s">
        <v>63</v>
      </c>
      <c r="AX50" s="53" t="s">
        <v>63</v>
      </c>
      <c r="AZ50" s="53" t="s">
        <v>63</v>
      </c>
      <c r="BB50" s="53" t="s">
        <v>63</v>
      </c>
      <c r="BD50" s="53" t="s">
        <v>63</v>
      </c>
      <c r="BF50" s="53" t="s">
        <v>63</v>
      </c>
      <c r="BH50" s="53" t="s">
        <v>63</v>
      </c>
      <c r="BJ50" s="53" t="s">
        <v>63</v>
      </c>
      <c r="BL50" s="53" t="s">
        <v>63</v>
      </c>
      <c r="BN50" s="53" t="s">
        <v>63</v>
      </c>
      <c r="BP50" s="53" t="s">
        <v>63</v>
      </c>
      <c r="BR50" s="53" t="s">
        <v>63</v>
      </c>
      <c r="BT50" s="53" t="s">
        <v>63</v>
      </c>
      <c r="BV50" s="53" t="s">
        <v>63</v>
      </c>
      <c r="BX50" s="53" t="s">
        <v>63</v>
      </c>
      <c r="BZ50" s="53" t="s">
        <v>63</v>
      </c>
      <c r="CB50" s="53" t="s">
        <v>63</v>
      </c>
      <c r="CD50" s="53" t="s">
        <v>63</v>
      </c>
      <c r="CF50" s="53" t="s">
        <v>63</v>
      </c>
      <c r="CH50" s="53" t="s">
        <v>63</v>
      </c>
      <c r="CJ50" s="53" t="s">
        <v>63</v>
      </c>
      <c r="CX50" s="53" t="s">
        <v>29</v>
      </c>
      <c r="CZ50" s="53" t="s">
        <v>29</v>
      </c>
      <c r="DB50" s="53" t="s">
        <v>29</v>
      </c>
      <c r="DD50" s="53" t="s">
        <v>29</v>
      </c>
      <c r="DF50" s="53" t="s">
        <v>29</v>
      </c>
      <c r="DH50" s="53" t="s">
        <v>29</v>
      </c>
      <c r="DJ50" s="53" t="s">
        <v>29</v>
      </c>
    </row>
    <row r="51" spans="2:114" ht="12.75">
      <c r="B51" s="9" t="s">
        <v>297</v>
      </c>
      <c r="C51" s="9"/>
      <c r="F51" s="53" t="s">
        <v>121</v>
      </c>
      <c r="H51" s="53" t="s">
        <v>121</v>
      </c>
      <c r="J51" s="53" t="s">
        <v>121</v>
      </c>
      <c r="L51" s="53" t="s">
        <v>121</v>
      </c>
      <c r="N51" s="53" t="s">
        <v>121</v>
      </c>
      <c r="P51" s="53" t="s">
        <v>121</v>
      </c>
      <c r="R51" s="59" t="s">
        <v>298</v>
      </c>
      <c r="T51" s="59" t="s">
        <v>298</v>
      </c>
      <c r="V51" s="59" t="s">
        <v>298</v>
      </c>
      <c r="X51" s="59" t="s">
        <v>298</v>
      </c>
      <c r="Z51" s="59" t="s">
        <v>298</v>
      </c>
      <c r="AB51" s="59" t="s">
        <v>298</v>
      </c>
      <c r="AD51" s="59" t="s">
        <v>74</v>
      </c>
      <c r="AF51" s="59" t="s">
        <v>74</v>
      </c>
      <c r="AH51" s="59" t="s">
        <v>74</v>
      </c>
      <c r="AJ51" s="59" t="s">
        <v>74</v>
      </c>
      <c r="AL51" s="59" t="s">
        <v>74</v>
      </c>
      <c r="AN51" s="59" t="s">
        <v>74</v>
      </c>
      <c r="CL51" s="53" t="s">
        <v>63</v>
      </c>
      <c r="CN51" s="53" t="s">
        <v>63</v>
      </c>
      <c r="CP51" s="53" t="s">
        <v>63</v>
      </c>
      <c r="CR51" s="53" t="s">
        <v>63</v>
      </c>
      <c r="CT51" s="53" t="s">
        <v>63</v>
      </c>
      <c r="CV51" s="53" t="s">
        <v>63</v>
      </c>
      <c r="CX51" s="53" t="s">
        <v>29</v>
      </c>
      <c r="CZ51" s="53" t="s">
        <v>29</v>
      </c>
      <c r="DB51" s="53" t="s">
        <v>29</v>
      </c>
      <c r="DD51" s="53" t="s">
        <v>29</v>
      </c>
      <c r="DF51" s="53" t="s">
        <v>29</v>
      </c>
      <c r="DH51" s="53" t="s">
        <v>29</v>
      </c>
      <c r="DJ51" s="53" t="s">
        <v>29</v>
      </c>
    </row>
    <row r="52" spans="2:114" ht="12.75">
      <c r="B52" s="16" t="s">
        <v>105</v>
      </c>
      <c r="C52" s="16"/>
      <c r="F52" s="53" t="s">
        <v>121</v>
      </c>
      <c r="H52" s="53" t="s">
        <v>121</v>
      </c>
      <c r="J52" s="53" t="s">
        <v>121</v>
      </c>
      <c r="L52" s="53" t="s">
        <v>121</v>
      </c>
      <c r="N52" s="53" t="s">
        <v>121</v>
      </c>
      <c r="P52" s="53" t="s">
        <v>121</v>
      </c>
      <c r="R52" s="53" t="s">
        <v>206</v>
      </c>
      <c r="T52" s="53" t="s">
        <v>206</v>
      </c>
      <c r="V52" s="53" t="s">
        <v>206</v>
      </c>
      <c r="X52" s="53" t="s">
        <v>206</v>
      </c>
      <c r="Z52" s="53" t="s">
        <v>206</v>
      </c>
      <c r="AB52" s="53" t="s">
        <v>206</v>
      </c>
      <c r="AD52" s="53" t="s">
        <v>207</v>
      </c>
      <c r="AF52" s="53" t="s">
        <v>207</v>
      </c>
      <c r="AH52" s="53" t="s">
        <v>207</v>
      </c>
      <c r="AJ52" s="53" t="s">
        <v>207</v>
      </c>
      <c r="AL52" s="53" t="s">
        <v>207</v>
      </c>
      <c r="AN52" s="53" t="s">
        <v>207</v>
      </c>
      <c r="AP52" s="53" t="s">
        <v>208</v>
      </c>
      <c r="AR52" s="53" t="s">
        <v>208</v>
      </c>
      <c r="AT52" s="53" t="s">
        <v>208</v>
      </c>
      <c r="AV52" s="53" t="s">
        <v>208</v>
      </c>
      <c r="AX52" s="53" t="s">
        <v>208</v>
      </c>
      <c r="AZ52" s="53" t="s">
        <v>208</v>
      </c>
      <c r="BB52" s="53" t="s">
        <v>209</v>
      </c>
      <c r="BD52" s="53" t="s">
        <v>209</v>
      </c>
      <c r="BF52" s="53" t="s">
        <v>209</v>
      </c>
      <c r="BH52" s="53" t="s">
        <v>209</v>
      </c>
      <c r="BJ52" s="53" t="s">
        <v>209</v>
      </c>
      <c r="BL52" s="53" t="s">
        <v>209</v>
      </c>
      <c r="BN52" s="53" t="s">
        <v>210</v>
      </c>
      <c r="BP52" s="53" t="s">
        <v>210</v>
      </c>
      <c r="BR52" s="53" t="s">
        <v>210</v>
      </c>
      <c r="BT52" s="53" t="s">
        <v>210</v>
      </c>
      <c r="BV52" s="53" t="s">
        <v>210</v>
      </c>
      <c r="BX52" s="53" t="s">
        <v>210</v>
      </c>
      <c r="BZ52" s="53" t="s">
        <v>211</v>
      </c>
      <c r="CB52" s="53" t="s">
        <v>211</v>
      </c>
      <c r="CD52" s="53" t="s">
        <v>211</v>
      </c>
      <c r="CF52" s="53" t="s">
        <v>211</v>
      </c>
      <c r="CH52" s="53" t="s">
        <v>211</v>
      </c>
      <c r="CJ52" s="53" t="s">
        <v>211</v>
      </c>
      <c r="CX52" s="53" t="s">
        <v>29</v>
      </c>
      <c r="CZ52" s="53" t="s">
        <v>29</v>
      </c>
      <c r="DB52" s="53" t="s">
        <v>29</v>
      </c>
      <c r="DD52" s="53" t="s">
        <v>29</v>
      </c>
      <c r="DF52" s="53" t="s">
        <v>29</v>
      </c>
      <c r="DH52" s="53" t="s">
        <v>29</v>
      </c>
      <c r="DJ52" s="53" t="s">
        <v>29</v>
      </c>
    </row>
    <row r="53" spans="1:100" ht="12.75">
      <c r="A53" s="53" t="s">
        <v>190</v>
      </c>
      <c r="B53" s="53" t="s">
        <v>108</v>
      </c>
      <c r="D53" s="53" t="s">
        <v>162</v>
      </c>
      <c r="E53" s="74"/>
      <c r="F53" s="82">
        <v>5052</v>
      </c>
      <c r="G53" s="83"/>
      <c r="H53" s="82">
        <v>6396</v>
      </c>
      <c r="I53" s="83"/>
      <c r="J53" s="82">
        <v>5100</v>
      </c>
      <c r="K53" s="83"/>
      <c r="L53" s="82">
        <v>5250</v>
      </c>
      <c r="M53" s="82"/>
      <c r="N53" s="82">
        <v>9558</v>
      </c>
      <c r="O53" s="82"/>
      <c r="P53" s="82">
        <v>8418</v>
      </c>
      <c r="Q53" s="83"/>
      <c r="R53" s="78">
        <v>88890</v>
      </c>
      <c r="S53" s="83"/>
      <c r="T53" s="78">
        <v>88712</v>
      </c>
      <c r="U53" s="83"/>
      <c r="V53" s="78">
        <v>88902</v>
      </c>
      <c r="W53" s="83"/>
      <c r="X53" s="78">
        <v>88902</v>
      </c>
      <c r="Y53" s="82"/>
      <c r="Z53" s="78">
        <v>88324</v>
      </c>
      <c r="AA53" s="82"/>
      <c r="AB53" s="78">
        <v>88324</v>
      </c>
      <c r="AC53" s="82"/>
      <c r="AD53" s="82">
        <v>4584</v>
      </c>
      <c r="AE53" s="82"/>
      <c r="AF53" s="82">
        <v>3305</v>
      </c>
      <c r="AG53" s="82"/>
      <c r="AH53" s="82">
        <v>3778</v>
      </c>
      <c r="AI53" s="82"/>
      <c r="AJ53" s="82">
        <v>3683</v>
      </c>
      <c r="AK53" s="82"/>
      <c r="AL53" s="82">
        <v>1858</v>
      </c>
      <c r="AM53" s="82"/>
      <c r="AN53" s="82">
        <v>2647</v>
      </c>
      <c r="AO53" s="51"/>
      <c r="AP53" s="55">
        <v>113.3010078</v>
      </c>
      <c r="AQ53" s="55"/>
      <c r="AR53" s="55">
        <v>67.8002684</v>
      </c>
      <c r="AS53" s="55"/>
      <c r="AT53" s="55">
        <v>116.60085308</v>
      </c>
      <c r="AU53" s="55"/>
      <c r="AV53" s="55">
        <v>175.6007992</v>
      </c>
      <c r="AW53" s="55"/>
      <c r="AX53" s="55">
        <v>72.7010942</v>
      </c>
      <c r="AY53" s="55"/>
      <c r="AZ53" s="55">
        <v>150.2016026</v>
      </c>
      <c r="BA53" s="55"/>
      <c r="BB53" s="55">
        <v>146.4008722</v>
      </c>
      <c r="BC53" s="55"/>
      <c r="BD53" s="55">
        <v>64.6013938</v>
      </c>
      <c r="BE53" s="51"/>
      <c r="BF53" s="55">
        <v>96.4005442</v>
      </c>
      <c r="BG53" s="55"/>
      <c r="BH53" s="55">
        <v>114.80079718</v>
      </c>
      <c r="BI53" s="55"/>
      <c r="BJ53" s="55">
        <v>113.0011822</v>
      </c>
      <c r="BK53" s="55"/>
      <c r="BL53" s="55">
        <v>109.1012448</v>
      </c>
      <c r="BM53" s="55"/>
      <c r="BN53" s="55">
        <v>246.5007352</v>
      </c>
      <c r="BO53" s="55"/>
      <c r="BP53" s="55">
        <v>38.3997228</v>
      </c>
      <c r="BQ53" s="55"/>
      <c r="BR53" s="55">
        <v>200.4003446</v>
      </c>
      <c r="BS53" s="55"/>
      <c r="BT53" s="55">
        <v>177.3005458</v>
      </c>
      <c r="BU53" s="55"/>
      <c r="BV53" s="55">
        <v>84.4009064</v>
      </c>
      <c r="BW53" s="55"/>
      <c r="BX53" s="55">
        <v>112.401531</v>
      </c>
      <c r="BY53" s="51"/>
      <c r="BZ53" s="52">
        <v>0.25000164</v>
      </c>
      <c r="CA53" s="52"/>
      <c r="CB53" s="52">
        <v>0.25000164</v>
      </c>
      <c r="CC53" s="52"/>
      <c r="CD53" s="52">
        <v>0.25000164</v>
      </c>
      <c r="CE53" s="52"/>
      <c r="CF53" s="52">
        <v>0.25000164</v>
      </c>
      <c r="CG53" s="52"/>
      <c r="CH53" s="52">
        <v>0.25000164</v>
      </c>
      <c r="CI53" s="52"/>
      <c r="CJ53" s="52">
        <v>0.25000164</v>
      </c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</row>
    <row r="54" spans="1:100" ht="12.75">
      <c r="A54" s="53" t="s">
        <v>190</v>
      </c>
      <c r="B54" s="53" t="s">
        <v>296</v>
      </c>
      <c r="D54" s="53" t="s">
        <v>212</v>
      </c>
      <c r="E54" s="74"/>
      <c r="F54" s="82">
        <f>F55*1000000/F53</f>
        <v>13994.457640538401</v>
      </c>
      <c r="G54" s="83"/>
      <c r="H54" s="82">
        <f>H55*1000000/H53</f>
        <v>18918.073796122575</v>
      </c>
      <c r="I54" s="83"/>
      <c r="J54" s="82">
        <f>J55*1000000/J53</f>
        <v>12980.392156862745</v>
      </c>
      <c r="K54" s="83"/>
      <c r="L54" s="82">
        <f>L55*1000000/L53</f>
        <v>14000</v>
      </c>
      <c r="M54" s="82"/>
      <c r="N54" s="82">
        <f>N55*1000000/N53</f>
        <v>14961.288972588407</v>
      </c>
      <c r="O54" s="82"/>
      <c r="P54" s="82">
        <f>P55*1000000/P53</f>
        <v>18056.545497742933</v>
      </c>
      <c r="Q54" s="83"/>
      <c r="R54" s="82"/>
      <c r="S54" s="83"/>
      <c r="T54" s="82"/>
      <c r="U54" s="83"/>
      <c r="V54" s="82"/>
      <c r="W54" s="83"/>
      <c r="X54" s="82"/>
      <c r="Y54" s="82"/>
      <c r="Z54" s="82"/>
      <c r="AA54" s="82"/>
      <c r="AB54" s="82"/>
      <c r="AC54" s="82"/>
      <c r="AD54" s="82">
        <f>AD55/AD53*1000000</f>
        <v>13001.74520069808</v>
      </c>
      <c r="AE54" s="82"/>
      <c r="AF54" s="82">
        <f>AF55/AF53*1000000</f>
        <v>12012.10287443268</v>
      </c>
      <c r="AG54" s="82"/>
      <c r="AH54" s="82">
        <f>AH55/AH53*1000000</f>
        <v>8496.55902593965</v>
      </c>
      <c r="AI54" s="82"/>
      <c r="AJ54" s="82">
        <f>AJ55/AJ53*1000000</f>
        <v>10996.470268802606</v>
      </c>
      <c r="AK54" s="82"/>
      <c r="AL54" s="82">
        <f>AL55/AL53*1000000</f>
        <v>15016.146393972012</v>
      </c>
      <c r="AM54" s="82"/>
      <c r="AN54" s="82">
        <f>AN55/AN53*1000000</f>
        <v>12013.600302228939</v>
      </c>
      <c r="AO54" s="51"/>
      <c r="AP54" s="51">
        <v>0</v>
      </c>
      <c r="AQ54" s="51"/>
      <c r="AR54" s="51">
        <v>0</v>
      </c>
      <c r="AS54" s="51"/>
      <c r="AT54" s="51">
        <v>0</v>
      </c>
      <c r="AU54" s="51"/>
      <c r="AV54" s="51">
        <v>0</v>
      </c>
      <c r="AW54" s="51"/>
      <c r="AX54" s="51">
        <v>0</v>
      </c>
      <c r="AY54" s="51"/>
      <c r="AZ54" s="51">
        <v>0</v>
      </c>
      <c r="BA54" s="51"/>
      <c r="BB54" s="51">
        <v>0</v>
      </c>
      <c r="BC54" s="51"/>
      <c r="BD54" s="51">
        <v>0</v>
      </c>
      <c r="BE54" s="51"/>
      <c r="BF54" s="51">
        <v>0</v>
      </c>
      <c r="BG54" s="51"/>
      <c r="BH54" s="51">
        <v>0</v>
      </c>
      <c r="BI54" s="51"/>
      <c r="BJ54" s="51">
        <v>0</v>
      </c>
      <c r="BK54" s="51"/>
      <c r="BL54" s="51">
        <v>0</v>
      </c>
      <c r="BM54" s="51"/>
      <c r="BN54" s="51">
        <v>0</v>
      </c>
      <c r="BO54" s="51"/>
      <c r="BP54" s="51">
        <v>0</v>
      </c>
      <c r="BQ54" s="51"/>
      <c r="BR54" s="51">
        <v>0</v>
      </c>
      <c r="BS54" s="51"/>
      <c r="BT54" s="51">
        <v>0</v>
      </c>
      <c r="BU54" s="51"/>
      <c r="BV54" s="51">
        <v>0</v>
      </c>
      <c r="BW54" s="51"/>
      <c r="BX54" s="51">
        <v>0</v>
      </c>
      <c r="BY54" s="51"/>
      <c r="BZ54" s="51">
        <v>0</v>
      </c>
      <c r="CA54" s="51"/>
      <c r="CB54" s="51">
        <v>0</v>
      </c>
      <c r="CC54" s="51"/>
      <c r="CD54" s="51">
        <v>0</v>
      </c>
      <c r="CE54" s="51"/>
      <c r="CF54" s="51">
        <v>0</v>
      </c>
      <c r="CG54" s="51"/>
      <c r="CH54" s="51">
        <v>0</v>
      </c>
      <c r="CI54" s="51"/>
      <c r="CJ54" s="51">
        <v>0</v>
      </c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</row>
    <row r="55" spans="2:114" ht="12.75">
      <c r="B55" s="53" t="s">
        <v>137</v>
      </c>
      <c r="D55" s="53" t="s">
        <v>68</v>
      </c>
      <c r="E55" s="74"/>
      <c r="F55" s="82">
        <v>70.7</v>
      </c>
      <c r="G55" s="83"/>
      <c r="H55" s="82">
        <v>121</v>
      </c>
      <c r="I55" s="83"/>
      <c r="J55" s="82">
        <v>66.2</v>
      </c>
      <c r="K55" s="83"/>
      <c r="L55" s="82">
        <v>73.5</v>
      </c>
      <c r="M55" s="82"/>
      <c r="N55" s="82">
        <v>143</v>
      </c>
      <c r="O55" s="82"/>
      <c r="P55" s="82">
        <v>152</v>
      </c>
      <c r="Q55" s="83"/>
      <c r="R55" s="82"/>
      <c r="S55" s="83"/>
      <c r="T55" s="82"/>
      <c r="U55" s="83"/>
      <c r="V55" s="82"/>
      <c r="W55" s="83"/>
      <c r="X55" s="82"/>
      <c r="Y55" s="82"/>
      <c r="Z55" s="82"/>
      <c r="AA55" s="82"/>
      <c r="AB55" s="82"/>
      <c r="AC55" s="82"/>
      <c r="AD55" s="82">
        <v>59.6</v>
      </c>
      <c r="AE55" s="82"/>
      <c r="AF55" s="82">
        <v>39.7</v>
      </c>
      <c r="AG55" s="82"/>
      <c r="AH55" s="82">
        <v>32.1</v>
      </c>
      <c r="AI55" s="82"/>
      <c r="AJ55" s="82">
        <v>40.5</v>
      </c>
      <c r="AK55" s="82"/>
      <c r="AL55" s="82">
        <v>27.9</v>
      </c>
      <c r="AM55" s="82"/>
      <c r="AN55" s="82">
        <v>31.8</v>
      </c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X55" s="55">
        <f>F55+R55+AD55+AP55+BB55+BN55+BZ55</f>
        <v>130.3</v>
      </c>
      <c r="CZ55" s="55">
        <f>H55+T55+AF55+AR55+BD55+BP55+CB55</f>
        <v>160.7</v>
      </c>
      <c r="DB55" s="55">
        <f>J55+V55+AH55+AT55+BF55+BR55+CD55</f>
        <v>98.30000000000001</v>
      </c>
      <c r="DD55" s="55">
        <f>L55+X55+AJ55+AV55+BH55+BT55+CF55</f>
        <v>114</v>
      </c>
      <c r="DF55" s="55">
        <f>N55+Z55+AL55+AX55+BJ55+BV55+CH55</f>
        <v>170.9</v>
      </c>
      <c r="DH55" s="55">
        <f>P55+AB55+AN55+AZ55+BL55+BX55+CJ55</f>
        <v>183.8</v>
      </c>
      <c r="DJ55" s="55">
        <f>AVERAGE(DH55,DF55,DD55,DB55,CZ55,CX55)</f>
        <v>143</v>
      </c>
    </row>
    <row r="56" spans="1:114" ht="12.75">
      <c r="A56" s="53" t="s">
        <v>190</v>
      </c>
      <c r="B56" s="53" t="s">
        <v>20</v>
      </c>
      <c r="D56" s="53" t="s">
        <v>162</v>
      </c>
      <c r="E56" s="74"/>
      <c r="F56" s="67">
        <v>7.07</v>
      </c>
      <c r="G56" s="74"/>
      <c r="H56" s="51">
        <v>10.9</v>
      </c>
      <c r="I56" s="74"/>
      <c r="J56" s="51">
        <v>8.16</v>
      </c>
      <c r="K56" s="74"/>
      <c r="L56" s="51">
        <v>8.4</v>
      </c>
      <c r="M56" s="51"/>
      <c r="N56" s="51">
        <v>17.2</v>
      </c>
      <c r="O56" s="51"/>
      <c r="P56" s="51">
        <v>14.3</v>
      </c>
      <c r="Q56" s="74" t="s">
        <v>12</v>
      </c>
      <c r="R56" s="51">
        <v>17.8</v>
      </c>
      <c r="S56" s="74" t="s">
        <v>12</v>
      </c>
      <c r="T56" s="51">
        <v>17.7</v>
      </c>
      <c r="U56" s="74" t="s">
        <v>12</v>
      </c>
      <c r="V56" s="51">
        <v>17.8</v>
      </c>
      <c r="W56" s="74" t="s">
        <v>12</v>
      </c>
      <c r="X56" s="51">
        <v>17.8</v>
      </c>
      <c r="Y56" s="51" t="s">
        <v>12</v>
      </c>
      <c r="Z56" s="51">
        <v>17.7</v>
      </c>
      <c r="AA56" s="51" t="s">
        <v>12</v>
      </c>
      <c r="AB56" s="51">
        <v>17.7</v>
      </c>
      <c r="AC56" s="51"/>
      <c r="AD56" s="51">
        <v>119</v>
      </c>
      <c r="AE56" s="51"/>
      <c r="AF56" s="51">
        <v>39.7</v>
      </c>
      <c r="AG56" s="51"/>
      <c r="AH56" s="51">
        <v>35.9</v>
      </c>
      <c r="AI56" s="51"/>
      <c r="AJ56" s="51">
        <v>40.5</v>
      </c>
      <c r="AK56" s="51"/>
      <c r="AL56" s="51">
        <v>22.3</v>
      </c>
      <c r="AM56" s="51"/>
      <c r="AN56" s="51">
        <v>25.4</v>
      </c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X56" s="55"/>
      <c r="CZ56" s="55"/>
      <c r="DB56" s="55"/>
      <c r="DD56" s="55"/>
      <c r="DF56" s="55"/>
      <c r="DH56" s="55"/>
      <c r="DJ56" s="55"/>
    </row>
    <row r="57" spans="1:100" ht="12.75">
      <c r="A57" s="53" t="s">
        <v>190</v>
      </c>
      <c r="B57" s="53" t="s">
        <v>99</v>
      </c>
      <c r="D57" s="53" t="s">
        <v>162</v>
      </c>
      <c r="E57" s="74" t="s">
        <v>12</v>
      </c>
      <c r="F57" s="56">
        <v>0.0302</v>
      </c>
      <c r="G57" s="77" t="s">
        <v>12</v>
      </c>
      <c r="H57" s="56">
        <v>0.0511</v>
      </c>
      <c r="I57" s="77" t="s">
        <v>12</v>
      </c>
      <c r="J57" s="56">
        <v>0.0509</v>
      </c>
      <c r="K57" s="77" t="s">
        <v>12</v>
      </c>
      <c r="L57" s="56">
        <v>0.0421</v>
      </c>
      <c r="M57" s="56" t="s">
        <v>12</v>
      </c>
      <c r="N57" s="56">
        <v>0.086</v>
      </c>
      <c r="O57" s="56" t="s">
        <v>12</v>
      </c>
      <c r="P57" s="56">
        <v>0.0758</v>
      </c>
      <c r="Q57" s="77" t="s">
        <v>12</v>
      </c>
      <c r="R57" s="56">
        <v>0.8</v>
      </c>
      <c r="S57" s="77" t="s">
        <v>12</v>
      </c>
      <c r="T57" s="56">
        <v>0.887</v>
      </c>
      <c r="U57" s="77" t="s">
        <v>12</v>
      </c>
      <c r="V57" s="56">
        <v>0.711</v>
      </c>
      <c r="W57" s="77" t="s">
        <v>12</v>
      </c>
      <c r="X57" s="56">
        <v>0.889</v>
      </c>
      <c r="Y57" s="56" t="s">
        <v>12</v>
      </c>
      <c r="Z57" s="56">
        <v>0.795</v>
      </c>
      <c r="AA57" s="56" t="s">
        <v>12</v>
      </c>
      <c r="AB57" s="56">
        <v>0.795</v>
      </c>
      <c r="AC57" s="56"/>
      <c r="AD57" s="56"/>
      <c r="AE57" s="56"/>
      <c r="AF57" s="56"/>
      <c r="AG57" s="56"/>
      <c r="AH57" s="56"/>
      <c r="AI57" s="56"/>
      <c r="AJ57" s="56"/>
      <c r="AK57" s="56"/>
      <c r="AL57" s="56">
        <v>0.446</v>
      </c>
      <c r="AM57" s="56"/>
      <c r="AN57" s="56">
        <v>0.476</v>
      </c>
      <c r="AO57" s="56"/>
      <c r="AP57" s="56"/>
      <c r="AQ57" s="56"/>
      <c r="AR57" s="56">
        <v>0.000838</v>
      </c>
      <c r="AS57" s="56"/>
      <c r="AT57" s="56">
        <v>0.0013</v>
      </c>
      <c r="AU57" s="56"/>
      <c r="AV57" s="56">
        <v>0.00132</v>
      </c>
      <c r="AW57" s="56"/>
      <c r="AX57" s="56">
        <v>0.000573</v>
      </c>
      <c r="AY57" s="56"/>
      <c r="AZ57" s="56">
        <v>0.0011</v>
      </c>
      <c r="BA57" s="56"/>
      <c r="BB57" s="56">
        <v>0.0192</v>
      </c>
      <c r="BC57" s="56"/>
      <c r="BD57" s="56">
        <v>0.00853</v>
      </c>
      <c r="BE57" s="56"/>
      <c r="BF57" s="56">
        <v>0.00926</v>
      </c>
      <c r="BG57" s="56"/>
      <c r="BH57" s="56">
        <v>0.013</v>
      </c>
      <c r="BI57" s="56"/>
      <c r="BJ57" s="56">
        <v>0.0117</v>
      </c>
      <c r="BK57" s="56"/>
      <c r="BL57" s="56">
        <v>0.0106</v>
      </c>
      <c r="BM57" s="56"/>
      <c r="BN57" s="56">
        <v>0.00699</v>
      </c>
      <c r="BO57" s="56"/>
      <c r="BP57" s="56">
        <v>0.00317</v>
      </c>
      <c r="BQ57" s="56"/>
      <c r="BR57" s="56">
        <v>0.0127</v>
      </c>
      <c r="BS57" s="56"/>
      <c r="BT57" s="56">
        <v>0.0065</v>
      </c>
      <c r="BU57" s="56"/>
      <c r="BV57" s="56">
        <v>0.00384</v>
      </c>
      <c r="BW57" s="56"/>
      <c r="BX57" s="56">
        <v>0.00478</v>
      </c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</row>
    <row r="58" spans="1:100" ht="12.75">
      <c r="A58" s="53" t="s">
        <v>190</v>
      </c>
      <c r="B58" s="53" t="s">
        <v>95</v>
      </c>
      <c r="D58" s="53" t="s">
        <v>162</v>
      </c>
      <c r="E58" s="74"/>
      <c r="F58" s="56">
        <v>0.106</v>
      </c>
      <c r="G58" s="77"/>
      <c r="H58" s="56">
        <v>0.115</v>
      </c>
      <c r="I58" s="77"/>
      <c r="J58" s="56">
        <v>0.107</v>
      </c>
      <c r="K58" s="77"/>
      <c r="L58" s="56">
        <v>0.116</v>
      </c>
      <c r="M58" s="56"/>
      <c r="N58" s="56">
        <v>0.172</v>
      </c>
      <c r="O58" s="56"/>
      <c r="P58" s="56">
        <v>0.16</v>
      </c>
      <c r="Q58" s="77" t="s">
        <v>12</v>
      </c>
      <c r="R58" s="56">
        <v>0.08</v>
      </c>
      <c r="S58" s="77" t="s">
        <v>12</v>
      </c>
      <c r="T58" s="56">
        <v>0.0886</v>
      </c>
      <c r="U58" s="77" t="s">
        <v>12</v>
      </c>
      <c r="V58" s="56">
        <v>0.0888</v>
      </c>
      <c r="W58" s="77" t="s">
        <v>12</v>
      </c>
      <c r="X58" s="56">
        <v>0.0888</v>
      </c>
      <c r="Y58" s="56" t="s">
        <v>12</v>
      </c>
      <c r="Z58" s="56">
        <v>0.0884</v>
      </c>
      <c r="AA58" s="56" t="s">
        <v>12</v>
      </c>
      <c r="AB58" s="56">
        <v>0.0884</v>
      </c>
      <c r="AC58" s="56"/>
      <c r="AD58" s="56"/>
      <c r="AE58" s="56"/>
      <c r="AF58" s="56">
        <v>0.00397</v>
      </c>
      <c r="AG58" s="56"/>
      <c r="AH58" s="56">
        <v>0.00375</v>
      </c>
      <c r="AI58" s="56"/>
      <c r="AJ58" s="56">
        <v>0.00287</v>
      </c>
      <c r="AK58" s="56"/>
      <c r="AL58" s="56"/>
      <c r="AM58" s="56"/>
      <c r="AN58" s="56"/>
      <c r="AO58" s="56"/>
      <c r="AP58" s="56">
        <v>0.0877</v>
      </c>
      <c r="AQ58" s="56"/>
      <c r="AR58" s="56">
        <v>0.123</v>
      </c>
      <c r="AS58" s="56"/>
      <c r="AT58" s="56">
        <v>0.168</v>
      </c>
      <c r="AU58" s="56"/>
      <c r="AV58" s="56">
        <v>0.244</v>
      </c>
      <c r="AW58" s="56"/>
      <c r="AX58" s="56">
        <v>0.114</v>
      </c>
      <c r="AY58" s="56"/>
      <c r="AZ58" s="56">
        <v>0.221</v>
      </c>
      <c r="BA58" s="56"/>
      <c r="BB58" s="56">
        <v>0.0156</v>
      </c>
      <c r="BC58" s="56"/>
      <c r="BD58" s="56">
        <v>0.00642</v>
      </c>
      <c r="BE58" s="56"/>
      <c r="BF58" s="56">
        <v>0.00694</v>
      </c>
      <c r="BG58" s="56"/>
      <c r="BH58" s="56">
        <v>0.00972</v>
      </c>
      <c r="BI58" s="56"/>
      <c r="BJ58" s="56">
        <v>0.00467</v>
      </c>
      <c r="BK58" s="56"/>
      <c r="BL58" s="56">
        <v>0.00423</v>
      </c>
      <c r="BM58" s="56"/>
      <c r="BN58" s="56">
        <v>0.042</v>
      </c>
      <c r="BO58" s="56"/>
      <c r="BP58" s="56">
        <v>0.00223</v>
      </c>
      <c r="BQ58" s="56"/>
      <c r="BR58" s="56">
        <v>0.0102</v>
      </c>
      <c r="BS58" s="56"/>
      <c r="BT58" s="56">
        <v>0.00522</v>
      </c>
      <c r="BU58" s="56"/>
      <c r="BV58" s="56">
        <v>0.00384</v>
      </c>
      <c r="BW58" s="56"/>
      <c r="BX58" s="56">
        <v>0.00478</v>
      </c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</row>
    <row r="59" spans="1:100" ht="12.75">
      <c r="A59" s="53" t="s">
        <v>190</v>
      </c>
      <c r="B59" s="53" t="s">
        <v>96</v>
      </c>
      <c r="D59" s="53" t="s">
        <v>162</v>
      </c>
      <c r="E59" s="74"/>
      <c r="F59" s="56">
        <v>0.232</v>
      </c>
      <c r="G59" s="77"/>
      <c r="H59" s="56">
        <v>0.294</v>
      </c>
      <c r="I59" s="77"/>
      <c r="J59" s="56">
        <v>0.235</v>
      </c>
      <c r="K59" s="77"/>
      <c r="L59" s="56">
        <v>0.21</v>
      </c>
      <c r="M59" s="56"/>
      <c r="N59" s="56">
        <v>0.449</v>
      </c>
      <c r="O59" s="56"/>
      <c r="P59" s="56">
        <v>0.396</v>
      </c>
      <c r="Q59" s="77" t="s">
        <v>12</v>
      </c>
      <c r="R59" s="56">
        <v>1.78</v>
      </c>
      <c r="S59" s="77" t="s">
        <v>12</v>
      </c>
      <c r="T59" s="56">
        <v>1.77</v>
      </c>
      <c r="U59" s="77" t="s">
        <v>12</v>
      </c>
      <c r="V59" s="56">
        <v>1.78</v>
      </c>
      <c r="W59" s="77" t="s">
        <v>12</v>
      </c>
      <c r="X59" s="56">
        <v>1.78</v>
      </c>
      <c r="Y59" s="56" t="s">
        <v>12</v>
      </c>
      <c r="Z59" s="56">
        <v>1.77</v>
      </c>
      <c r="AA59" s="56" t="s">
        <v>12</v>
      </c>
      <c r="AB59" s="56">
        <v>1.77</v>
      </c>
      <c r="AC59" s="56"/>
      <c r="AD59" s="56">
        <v>2.06</v>
      </c>
      <c r="AE59" s="56"/>
      <c r="AF59" s="56"/>
      <c r="AG59" s="56"/>
      <c r="AH59" s="56">
        <v>0.907</v>
      </c>
      <c r="AI59" s="56"/>
      <c r="AJ59" s="56">
        <v>0.737</v>
      </c>
      <c r="AK59" s="56"/>
      <c r="AL59" s="56">
        <v>0.204</v>
      </c>
      <c r="AM59" s="56"/>
      <c r="AN59" s="56">
        <v>0.167</v>
      </c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>
        <v>0.000661</v>
      </c>
      <c r="BC59" s="56"/>
      <c r="BD59" s="56">
        <v>0.000882</v>
      </c>
      <c r="BE59" s="56"/>
      <c r="BF59" s="56">
        <v>0.000948</v>
      </c>
      <c r="BG59" s="56"/>
      <c r="BH59" s="56">
        <v>0.00134</v>
      </c>
      <c r="BI59" s="56"/>
      <c r="BJ59" s="56">
        <v>0.00108</v>
      </c>
      <c r="BK59" s="56"/>
      <c r="BL59" s="56">
        <v>0.00097</v>
      </c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</row>
    <row r="60" spans="1:100" ht="12.75">
      <c r="A60" s="53" t="s">
        <v>190</v>
      </c>
      <c r="B60" s="53" t="s">
        <v>97</v>
      </c>
      <c r="D60" s="53" t="s">
        <v>162</v>
      </c>
      <c r="E60" s="74"/>
      <c r="F60" s="56">
        <v>0.0141</v>
      </c>
      <c r="G60" s="77"/>
      <c r="H60" s="56">
        <v>0.0205</v>
      </c>
      <c r="I60" s="77"/>
      <c r="J60" s="56">
        <v>0.0128</v>
      </c>
      <c r="K60" s="77"/>
      <c r="L60" s="56">
        <v>0.0141</v>
      </c>
      <c r="M60" s="56"/>
      <c r="N60" s="56">
        <v>0.0287</v>
      </c>
      <c r="O60" s="56"/>
      <c r="P60" s="56">
        <v>0.0254</v>
      </c>
      <c r="Q60" s="77" t="s">
        <v>12</v>
      </c>
      <c r="R60" s="56">
        <v>0.0445</v>
      </c>
      <c r="S60" s="77" t="s">
        <v>12</v>
      </c>
      <c r="T60" s="56">
        <v>0.0443</v>
      </c>
      <c r="U60" s="77" t="s">
        <v>12</v>
      </c>
      <c r="V60" s="56">
        <v>0.0355</v>
      </c>
      <c r="W60" s="77" t="s">
        <v>12</v>
      </c>
      <c r="X60" s="56">
        <v>0.0445</v>
      </c>
      <c r="Y60" s="56" t="s">
        <v>12</v>
      </c>
      <c r="Z60" s="56">
        <v>0.0441</v>
      </c>
      <c r="AA60" s="56" t="s">
        <v>12</v>
      </c>
      <c r="AB60" s="56">
        <v>0.0441</v>
      </c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>
        <v>0.00441</v>
      </c>
      <c r="CA60" s="56"/>
      <c r="CB60" s="56">
        <v>0.00441</v>
      </c>
      <c r="CC60" s="56"/>
      <c r="CD60" s="56">
        <v>0.00441</v>
      </c>
      <c r="CE60" s="56"/>
      <c r="CF60" s="56">
        <v>0.00441</v>
      </c>
      <c r="CG60" s="56"/>
      <c r="CH60" s="56">
        <v>0.00441</v>
      </c>
      <c r="CI60" s="56"/>
      <c r="CJ60" s="56">
        <v>0.00441</v>
      </c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</row>
    <row r="61" spans="1:100" ht="12.75">
      <c r="A61" s="53" t="s">
        <v>190</v>
      </c>
      <c r="B61" s="53" t="s">
        <v>102</v>
      </c>
      <c r="D61" s="53" t="s">
        <v>162</v>
      </c>
      <c r="E61" s="74"/>
      <c r="F61" s="56">
        <v>0.00243</v>
      </c>
      <c r="G61" s="77"/>
      <c r="H61" s="56">
        <v>0.0165</v>
      </c>
      <c r="I61" s="77"/>
      <c r="J61" s="56">
        <v>0.0214</v>
      </c>
      <c r="K61" s="77"/>
      <c r="L61" s="56">
        <v>0.00529</v>
      </c>
      <c r="M61" s="56" t="s">
        <v>12</v>
      </c>
      <c r="N61" s="56">
        <v>0.00375</v>
      </c>
      <c r="O61" s="56"/>
      <c r="P61" s="56">
        <v>0.00507</v>
      </c>
      <c r="Q61" s="77" t="s">
        <v>12</v>
      </c>
      <c r="R61" s="56">
        <v>0.0445</v>
      </c>
      <c r="S61" s="77" t="s">
        <v>12</v>
      </c>
      <c r="T61" s="56">
        <v>0.0443</v>
      </c>
      <c r="U61" s="77" t="s">
        <v>12</v>
      </c>
      <c r="V61" s="56">
        <v>0.0355</v>
      </c>
      <c r="W61" s="77" t="s">
        <v>12</v>
      </c>
      <c r="X61" s="56">
        <v>0.0445</v>
      </c>
      <c r="Y61" s="56" t="s">
        <v>12</v>
      </c>
      <c r="Z61" s="56">
        <v>0.0441</v>
      </c>
      <c r="AA61" s="56" t="s">
        <v>12</v>
      </c>
      <c r="AB61" s="56">
        <v>0.0441</v>
      </c>
      <c r="AC61" s="56"/>
      <c r="AD61" s="56">
        <v>0.119</v>
      </c>
      <c r="AE61" s="56"/>
      <c r="AF61" s="56">
        <v>0.00463</v>
      </c>
      <c r="AG61" s="56"/>
      <c r="AH61" s="56">
        <v>0.0454</v>
      </c>
      <c r="AI61" s="56"/>
      <c r="AJ61" s="56">
        <v>0.0553</v>
      </c>
      <c r="AK61" s="56"/>
      <c r="AL61" s="56">
        <v>0.0278</v>
      </c>
      <c r="AM61" s="56"/>
      <c r="AN61" s="56">
        <v>0.0249</v>
      </c>
      <c r="AO61" s="56"/>
      <c r="AP61" s="56">
        <v>4.39</v>
      </c>
      <c r="AQ61" s="56"/>
      <c r="AR61" s="56">
        <v>2.81</v>
      </c>
      <c r="AS61" s="56"/>
      <c r="AT61" s="56">
        <v>3.5</v>
      </c>
      <c r="AU61" s="56"/>
      <c r="AV61" s="56">
        <v>3.08</v>
      </c>
      <c r="AW61" s="56"/>
      <c r="AX61" s="56">
        <v>1.26</v>
      </c>
      <c r="AY61" s="56"/>
      <c r="AZ61" s="56">
        <v>2.44</v>
      </c>
      <c r="BA61" s="56"/>
      <c r="BB61" s="56">
        <v>0.242</v>
      </c>
      <c r="BC61" s="56"/>
      <c r="BD61" s="56">
        <v>0.107</v>
      </c>
      <c r="BE61" s="56"/>
      <c r="BF61" s="56">
        <v>0.116</v>
      </c>
      <c r="BG61" s="56"/>
      <c r="BH61" s="56">
        <v>0.162</v>
      </c>
      <c r="BI61" s="56"/>
      <c r="BJ61" s="56">
        <v>0.0561</v>
      </c>
      <c r="BK61" s="56"/>
      <c r="BL61" s="56">
        <v>0.0507</v>
      </c>
      <c r="BM61" s="56"/>
      <c r="BN61" s="56">
        <v>0.484</v>
      </c>
      <c r="BO61" s="56"/>
      <c r="BP61" s="56">
        <v>0.0334</v>
      </c>
      <c r="BQ61" s="56"/>
      <c r="BR61" s="56">
        <v>0.157</v>
      </c>
      <c r="BS61" s="56"/>
      <c r="BT61" s="56">
        <v>0.113</v>
      </c>
      <c r="BU61" s="56"/>
      <c r="BV61" s="56">
        <v>0.0803</v>
      </c>
      <c r="BW61" s="56"/>
      <c r="BX61" s="56">
        <v>0.1</v>
      </c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</row>
    <row r="62" spans="1:100" ht="12.75">
      <c r="A62" s="53" t="s">
        <v>190</v>
      </c>
      <c r="B62" s="53" t="s">
        <v>104</v>
      </c>
      <c r="D62" s="53" t="s">
        <v>162</v>
      </c>
      <c r="E62" s="74"/>
      <c r="F62" s="56">
        <v>0.0959</v>
      </c>
      <c r="G62" s="77"/>
      <c r="H62" s="56">
        <v>0.141</v>
      </c>
      <c r="I62" s="77"/>
      <c r="J62" s="56">
        <v>0.0714</v>
      </c>
      <c r="K62" s="77"/>
      <c r="L62" s="56">
        <v>0.0683</v>
      </c>
      <c r="M62" s="56"/>
      <c r="N62" s="56">
        <v>0.134</v>
      </c>
      <c r="O62" s="56"/>
      <c r="P62" s="56">
        <v>0.118</v>
      </c>
      <c r="Q62" s="77"/>
      <c r="R62" s="56">
        <v>0.24</v>
      </c>
      <c r="S62" s="77"/>
      <c r="T62" s="56">
        <v>0.444</v>
      </c>
      <c r="U62" s="77"/>
      <c r="V62" s="56">
        <v>0.364</v>
      </c>
      <c r="W62" s="77"/>
      <c r="X62" s="56">
        <v>0.444</v>
      </c>
      <c r="Y62" s="56"/>
      <c r="Z62" s="56">
        <v>0.353</v>
      </c>
      <c r="AA62" s="56"/>
      <c r="AB62" s="56">
        <v>0.336</v>
      </c>
      <c r="AC62" s="56"/>
      <c r="AD62" s="56">
        <v>0.248</v>
      </c>
      <c r="AE62" s="56"/>
      <c r="AF62" s="56">
        <v>0.0331</v>
      </c>
      <c r="AG62" s="56"/>
      <c r="AH62" s="56">
        <v>0.181</v>
      </c>
      <c r="AI62" s="56"/>
      <c r="AJ62" s="56">
        <v>0.199</v>
      </c>
      <c r="AK62" s="56"/>
      <c r="AL62" s="56">
        <v>0.0631</v>
      </c>
      <c r="AM62" s="56"/>
      <c r="AN62" s="56">
        <v>0.0476</v>
      </c>
      <c r="AO62" s="56"/>
      <c r="AP62" s="56">
        <v>0.0219</v>
      </c>
      <c r="AQ62" s="56"/>
      <c r="AR62" s="56">
        <v>0.0168</v>
      </c>
      <c r="AS62" s="56"/>
      <c r="AT62" s="56">
        <v>0.0245</v>
      </c>
      <c r="AU62" s="56"/>
      <c r="AV62" s="56">
        <v>0.0235</v>
      </c>
      <c r="AW62" s="56"/>
      <c r="AX62" s="56">
        <v>0.00992</v>
      </c>
      <c r="AY62" s="56"/>
      <c r="AZ62" s="56">
        <v>0.0192</v>
      </c>
      <c r="BA62" s="56"/>
      <c r="BB62" s="56">
        <v>1.83</v>
      </c>
      <c r="BC62" s="56"/>
      <c r="BD62" s="56">
        <v>0.882</v>
      </c>
      <c r="BE62" s="56"/>
      <c r="BF62" s="56">
        <v>0.954</v>
      </c>
      <c r="BG62" s="56"/>
      <c r="BH62" s="56">
        <v>1.34</v>
      </c>
      <c r="BI62" s="56"/>
      <c r="BJ62" s="56">
        <v>1.22</v>
      </c>
      <c r="BK62" s="56"/>
      <c r="BL62" s="56">
        <v>1.1</v>
      </c>
      <c r="BM62" s="56"/>
      <c r="BN62" s="56">
        <v>0.0662</v>
      </c>
      <c r="BO62" s="56"/>
      <c r="BP62" s="56">
        <v>0.00132</v>
      </c>
      <c r="BQ62" s="56"/>
      <c r="BR62" s="56">
        <v>0.0152</v>
      </c>
      <c r="BS62" s="56"/>
      <c r="BT62" s="56">
        <v>0.0173</v>
      </c>
      <c r="BU62" s="56"/>
      <c r="BV62" s="56">
        <v>0.0112</v>
      </c>
      <c r="BW62" s="56"/>
      <c r="BX62" s="56">
        <v>0.0139</v>
      </c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</row>
    <row r="63" spans="1:100" ht="12.75">
      <c r="A63" s="53" t="s">
        <v>190</v>
      </c>
      <c r="B63" s="53" t="s">
        <v>201</v>
      </c>
      <c r="D63" s="53" t="s">
        <v>162</v>
      </c>
      <c r="E63" s="74"/>
      <c r="F63" s="56"/>
      <c r="G63" s="77"/>
      <c r="H63" s="56"/>
      <c r="I63" s="77"/>
      <c r="J63" s="56"/>
      <c r="K63" s="77"/>
      <c r="L63" s="56"/>
      <c r="M63" s="56"/>
      <c r="N63" s="56"/>
      <c r="O63" s="56"/>
      <c r="P63" s="56"/>
      <c r="Q63" s="77"/>
      <c r="R63" s="56"/>
      <c r="S63" s="77"/>
      <c r="T63" s="56"/>
      <c r="U63" s="77"/>
      <c r="V63" s="56"/>
      <c r="W63" s="77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>
        <v>2.2E-05</v>
      </c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>
        <v>1.55</v>
      </c>
      <c r="BC63" s="56"/>
      <c r="BD63" s="56">
        <v>0.722</v>
      </c>
      <c r="BE63" s="56"/>
      <c r="BF63" s="56">
        <v>0.781</v>
      </c>
      <c r="BG63" s="56"/>
      <c r="BH63" s="56">
        <v>1.09</v>
      </c>
      <c r="BI63" s="56"/>
      <c r="BJ63" s="56">
        <v>1.08</v>
      </c>
      <c r="BK63" s="56"/>
      <c r="BL63" s="56">
        <v>0.971</v>
      </c>
      <c r="BM63" s="56"/>
      <c r="BN63" s="56">
        <v>0.00086</v>
      </c>
      <c r="BO63" s="56"/>
      <c r="BP63" s="56">
        <v>0.000309</v>
      </c>
      <c r="BQ63" s="56"/>
      <c r="BR63" s="56">
        <v>0.000948</v>
      </c>
      <c r="BS63" s="56"/>
      <c r="BT63" s="56">
        <v>0.000198</v>
      </c>
      <c r="BU63" s="56"/>
      <c r="BV63" s="56">
        <v>0.000331</v>
      </c>
      <c r="BW63" s="56"/>
      <c r="BX63" s="56">
        <v>0.000397</v>
      </c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</row>
    <row r="64" spans="1:100" ht="12.75">
      <c r="A64" s="53" t="s">
        <v>190</v>
      </c>
      <c r="B64" s="53" t="s">
        <v>100</v>
      </c>
      <c r="D64" s="53" t="s">
        <v>162</v>
      </c>
      <c r="E64" s="74"/>
      <c r="F64" s="56">
        <v>0.0353</v>
      </c>
      <c r="G64" s="77"/>
      <c r="H64" s="56">
        <v>0.0703</v>
      </c>
      <c r="I64" s="77"/>
      <c r="J64" s="56">
        <v>0.0613</v>
      </c>
      <c r="K64" s="77"/>
      <c r="L64" s="56">
        <v>0.0683</v>
      </c>
      <c r="M64" s="56"/>
      <c r="N64" s="56">
        <v>0.134</v>
      </c>
      <c r="O64" s="56"/>
      <c r="P64" s="56">
        <v>0.101</v>
      </c>
      <c r="Q64" s="77"/>
      <c r="R64" s="56">
        <v>0.329</v>
      </c>
      <c r="S64" s="77"/>
      <c r="T64" s="56">
        <v>0.444</v>
      </c>
      <c r="U64" s="77"/>
      <c r="V64" s="56">
        <v>0.444</v>
      </c>
      <c r="W64" s="77"/>
      <c r="X64" s="56">
        <v>0.444</v>
      </c>
      <c r="Y64" s="56"/>
      <c r="Z64" s="56">
        <v>0.654</v>
      </c>
      <c r="AA64" s="56"/>
      <c r="AB64" s="56">
        <v>0.442</v>
      </c>
      <c r="AC64" s="56"/>
      <c r="AD64" s="56">
        <v>0.275</v>
      </c>
      <c r="AE64" s="56"/>
      <c r="AF64" s="56">
        <v>0.0331</v>
      </c>
      <c r="AG64" s="56"/>
      <c r="AH64" s="56">
        <v>0.416</v>
      </c>
      <c r="AI64" s="56"/>
      <c r="AJ64" s="56">
        <v>0.442</v>
      </c>
      <c r="AK64" s="56"/>
      <c r="AL64" s="56">
        <v>0.353</v>
      </c>
      <c r="AM64" s="56"/>
      <c r="AN64" s="56">
        <v>0.318</v>
      </c>
      <c r="AO64" s="56"/>
      <c r="AP64" s="56">
        <v>0.0175</v>
      </c>
      <c r="AQ64" s="56"/>
      <c r="AR64" s="56">
        <v>0.0261</v>
      </c>
      <c r="AS64" s="56"/>
      <c r="AT64" s="56">
        <v>0.0105</v>
      </c>
      <c r="AU64" s="56"/>
      <c r="AV64" s="56">
        <v>0.024</v>
      </c>
      <c r="AW64" s="56"/>
      <c r="AX64" s="56">
        <v>0.012</v>
      </c>
      <c r="AY64" s="56"/>
      <c r="AZ64" s="56">
        <v>0.0233</v>
      </c>
      <c r="BA64" s="56"/>
      <c r="BB64" s="56">
        <v>0.295</v>
      </c>
      <c r="BC64" s="56"/>
      <c r="BD64" s="56">
        <v>0.102</v>
      </c>
      <c r="BE64" s="56"/>
      <c r="BF64" s="56">
        <v>0.11</v>
      </c>
      <c r="BG64" s="56"/>
      <c r="BH64" s="56">
        <v>0.154</v>
      </c>
      <c r="BI64" s="56"/>
      <c r="BJ64" s="56">
        <v>0.131</v>
      </c>
      <c r="BK64" s="56"/>
      <c r="BL64" s="56">
        <v>0.118</v>
      </c>
      <c r="BM64" s="56"/>
      <c r="BN64" s="56">
        <v>3.92</v>
      </c>
      <c r="BO64" s="56"/>
      <c r="BP64" s="56">
        <v>0.938</v>
      </c>
      <c r="BQ64" s="56"/>
      <c r="BR64" s="56">
        <v>2.83</v>
      </c>
      <c r="BS64" s="56"/>
      <c r="BT64" s="56">
        <v>1.32</v>
      </c>
      <c r="BU64" s="56"/>
      <c r="BV64" s="56">
        <v>0.908</v>
      </c>
      <c r="BW64" s="56"/>
      <c r="BX64" s="56">
        <v>1.13</v>
      </c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</row>
    <row r="65" spans="1:100" ht="12.75">
      <c r="A65" s="53" t="s">
        <v>190</v>
      </c>
      <c r="B65" s="53" t="s">
        <v>107</v>
      </c>
      <c r="D65" s="53" t="s">
        <v>162</v>
      </c>
      <c r="E65" s="74"/>
      <c r="F65" s="56">
        <v>0.00154</v>
      </c>
      <c r="G65" s="77"/>
      <c r="H65" s="56">
        <v>0.00198</v>
      </c>
      <c r="I65" s="77"/>
      <c r="J65" s="56">
        <v>0.00154</v>
      </c>
      <c r="K65" s="77"/>
      <c r="L65" s="56">
        <v>0.0022</v>
      </c>
      <c r="M65" s="56"/>
      <c r="N65" s="56">
        <v>0.00375</v>
      </c>
      <c r="O65" s="56"/>
      <c r="P65" s="56">
        <v>0.00331</v>
      </c>
      <c r="Q65" s="77" t="s">
        <v>12</v>
      </c>
      <c r="R65" s="56">
        <v>0.00882</v>
      </c>
      <c r="S65" s="77" t="s">
        <v>12</v>
      </c>
      <c r="T65" s="56">
        <v>0.00882</v>
      </c>
      <c r="U65" s="77" t="s">
        <v>12</v>
      </c>
      <c r="V65" s="56">
        <v>0.00882</v>
      </c>
      <c r="W65" s="77" t="s">
        <v>12</v>
      </c>
      <c r="X65" s="56">
        <v>0.00882</v>
      </c>
      <c r="Y65" s="56" t="s">
        <v>12</v>
      </c>
      <c r="Z65" s="56">
        <v>0.00882</v>
      </c>
      <c r="AA65" s="56" t="s">
        <v>12</v>
      </c>
      <c r="AB65" s="56">
        <v>0.00882</v>
      </c>
      <c r="AC65" s="56"/>
      <c r="AD65" s="56"/>
      <c r="AE65" s="56"/>
      <c r="AF65" s="56"/>
      <c r="AG65" s="56"/>
      <c r="AH65" s="56">
        <v>0.000441</v>
      </c>
      <c r="AI65" s="56"/>
      <c r="AJ65" s="56">
        <v>0.000441</v>
      </c>
      <c r="AK65" s="56"/>
      <c r="AL65" s="56">
        <v>0.00022</v>
      </c>
      <c r="AM65" s="56"/>
      <c r="AN65" s="56"/>
      <c r="AO65" s="56"/>
      <c r="AP65" s="56"/>
      <c r="AQ65" s="56"/>
      <c r="AR65" s="56"/>
      <c r="AS65" s="56"/>
      <c r="AT65" s="56"/>
      <c r="AU65" s="56"/>
      <c r="AV65" s="56">
        <v>2.2E-05</v>
      </c>
      <c r="AW65" s="56"/>
      <c r="AX65" s="56"/>
      <c r="AY65" s="56"/>
      <c r="AZ65" s="56">
        <v>2.2E-05</v>
      </c>
      <c r="BA65" s="56"/>
      <c r="BB65" s="56">
        <v>0.000154</v>
      </c>
      <c r="BC65" s="56"/>
      <c r="BD65" s="56">
        <v>6.61E-05</v>
      </c>
      <c r="BE65" s="56"/>
      <c r="BF65" s="56">
        <v>6.61E-05</v>
      </c>
      <c r="BG65" s="56"/>
      <c r="BH65" s="56">
        <v>8.82E-05</v>
      </c>
      <c r="BI65" s="56"/>
      <c r="BJ65" s="56">
        <v>6.61E-05</v>
      </c>
      <c r="BK65" s="56"/>
      <c r="BL65" s="56">
        <v>6.61E-05</v>
      </c>
      <c r="BM65" s="56"/>
      <c r="BN65" s="56">
        <v>0.000507</v>
      </c>
      <c r="BO65" s="56"/>
      <c r="BP65" s="56">
        <v>0.00011</v>
      </c>
      <c r="BQ65" s="56"/>
      <c r="BR65" s="56">
        <v>0.000397</v>
      </c>
      <c r="BS65" s="56"/>
      <c r="BT65" s="56">
        <v>0.000176</v>
      </c>
      <c r="BU65" s="56"/>
      <c r="BV65" s="56">
        <v>0.000198</v>
      </c>
      <c r="BW65" s="56"/>
      <c r="BX65" s="56">
        <v>0.000243</v>
      </c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</row>
    <row r="66" spans="1:100" ht="12.75">
      <c r="A66" s="53" t="s">
        <v>190</v>
      </c>
      <c r="B66" s="53" t="s">
        <v>101</v>
      </c>
      <c r="D66" s="53" t="s">
        <v>162</v>
      </c>
      <c r="E66" s="74"/>
      <c r="F66" s="56">
        <v>0.111</v>
      </c>
      <c r="G66" s="77"/>
      <c r="H66" s="56">
        <v>0.109</v>
      </c>
      <c r="I66" s="77"/>
      <c r="J66" s="56">
        <v>0.0613</v>
      </c>
      <c r="K66" s="77"/>
      <c r="L66" s="56">
        <v>0.0578</v>
      </c>
      <c r="M66" s="56"/>
      <c r="N66" s="56">
        <v>0.124</v>
      </c>
      <c r="O66" s="56"/>
      <c r="P66" s="56">
        <v>0.118</v>
      </c>
      <c r="Q66" s="77"/>
      <c r="R66" s="56">
        <v>0.356</v>
      </c>
      <c r="S66" s="77"/>
      <c r="T66" s="56">
        <v>0.444</v>
      </c>
      <c r="U66" s="77"/>
      <c r="V66" s="56">
        <v>0.534</v>
      </c>
      <c r="W66" s="77"/>
      <c r="X66" s="56">
        <v>0.534</v>
      </c>
      <c r="Y66" s="56"/>
      <c r="Z66" s="56">
        <v>0.442</v>
      </c>
      <c r="AA66" s="56"/>
      <c r="AB66" s="56">
        <v>0.442</v>
      </c>
      <c r="AC66" s="56"/>
      <c r="AD66" s="56">
        <v>0.0322</v>
      </c>
      <c r="AE66" s="56"/>
      <c r="AF66" s="56">
        <v>0.0198</v>
      </c>
      <c r="AG66" s="56"/>
      <c r="AH66" s="56">
        <v>0.0642</v>
      </c>
      <c r="AI66" s="56"/>
      <c r="AJ66" s="56">
        <v>0.0736</v>
      </c>
      <c r="AK66" s="56"/>
      <c r="AL66" s="56">
        <v>0.00926</v>
      </c>
      <c r="AM66" s="56"/>
      <c r="AN66" s="56"/>
      <c r="AO66" s="56"/>
      <c r="AP66" s="56">
        <v>0.00483</v>
      </c>
      <c r="AQ66" s="56"/>
      <c r="AR66" s="56">
        <v>0.00364</v>
      </c>
      <c r="AS66" s="56"/>
      <c r="AT66" s="56">
        <v>0.00454</v>
      </c>
      <c r="AU66" s="56"/>
      <c r="AV66" s="56">
        <v>0.00445</v>
      </c>
      <c r="AW66" s="56"/>
      <c r="AX66" s="56">
        <v>0.0019</v>
      </c>
      <c r="AY66" s="56"/>
      <c r="AZ66" s="56">
        <v>0.00366</v>
      </c>
      <c r="BA66" s="56"/>
      <c r="BB66" s="56">
        <v>0.0514</v>
      </c>
      <c r="BC66" s="56"/>
      <c r="BD66" s="56">
        <v>0.0225</v>
      </c>
      <c r="BE66" s="56"/>
      <c r="BF66" s="56">
        <v>0.0243</v>
      </c>
      <c r="BG66" s="56"/>
      <c r="BH66" s="56">
        <v>0.034</v>
      </c>
      <c r="BI66" s="56"/>
      <c r="BJ66" s="56">
        <v>0.0299</v>
      </c>
      <c r="BK66" s="56"/>
      <c r="BL66" s="56">
        <v>0.027</v>
      </c>
      <c r="BM66" s="56"/>
      <c r="BN66" s="56">
        <v>0.0968</v>
      </c>
      <c r="BO66" s="56"/>
      <c r="BP66" s="56">
        <v>0.0191</v>
      </c>
      <c r="BQ66" s="56"/>
      <c r="BR66" s="56">
        <v>0.0699</v>
      </c>
      <c r="BS66" s="56"/>
      <c r="BT66" s="56">
        <v>0.0358</v>
      </c>
      <c r="BU66" s="56"/>
      <c r="BV66" s="56">
        <v>0.0335</v>
      </c>
      <c r="BW66" s="56"/>
      <c r="BX66" s="56">
        <v>0.0418</v>
      </c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</row>
    <row r="67" spans="1:100" ht="12.75">
      <c r="A67" s="53" t="s">
        <v>190</v>
      </c>
      <c r="B67" s="53" t="s">
        <v>103</v>
      </c>
      <c r="D67" s="53" t="s">
        <v>162</v>
      </c>
      <c r="E67" s="74" t="s">
        <v>12</v>
      </c>
      <c r="F67" s="56">
        <v>0.00309</v>
      </c>
      <c r="G67" s="77" t="s">
        <v>12</v>
      </c>
      <c r="H67" s="56">
        <v>0.00507</v>
      </c>
      <c r="I67" s="77" t="s">
        <v>12</v>
      </c>
      <c r="J67" s="56">
        <v>0.00507</v>
      </c>
      <c r="K67" s="77" t="s">
        <v>12</v>
      </c>
      <c r="L67" s="56">
        <v>0.00419</v>
      </c>
      <c r="M67" s="56" t="s">
        <v>12</v>
      </c>
      <c r="N67" s="56">
        <v>0.00661</v>
      </c>
      <c r="O67" s="56" t="s">
        <v>12</v>
      </c>
      <c r="P67" s="56">
        <v>0.0075</v>
      </c>
      <c r="Q67" s="77" t="s">
        <v>12</v>
      </c>
      <c r="R67" s="56">
        <v>0.08</v>
      </c>
      <c r="S67" s="77" t="s">
        <v>12</v>
      </c>
      <c r="T67" s="56">
        <v>0.0886</v>
      </c>
      <c r="U67" s="77" t="s">
        <v>12</v>
      </c>
      <c r="V67" s="56">
        <v>0.0712</v>
      </c>
      <c r="W67" s="77" t="s">
        <v>12</v>
      </c>
      <c r="X67" s="56">
        <v>0.0888</v>
      </c>
      <c r="Y67" s="56" t="s">
        <v>12</v>
      </c>
      <c r="Z67" s="56">
        <v>0.0796</v>
      </c>
      <c r="AA67" s="56" t="s">
        <v>12</v>
      </c>
      <c r="AB67" s="56">
        <v>0.0796</v>
      </c>
      <c r="AC67" s="56"/>
      <c r="AD67" s="56"/>
      <c r="AE67" s="56"/>
      <c r="AF67" s="56"/>
      <c r="AG67" s="56"/>
      <c r="AH67" s="56"/>
      <c r="AI67" s="56"/>
      <c r="AJ67" s="56">
        <v>0.00441</v>
      </c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</row>
    <row r="68" spans="1:100" ht="12.75">
      <c r="A68" s="53" t="s">
        <v>190</v>
      </c>
      <c r="B68" s="53" t="s">
        <v>98</v>
      </c>
      <c r="D68" s="53" t="s">
        <v>162</v>
      </c>
      <c r="E68" s="74" t="s">
        <v>12</v>
      </c>
      <c r="F68" s="56">
        <v>0.00397</v>
      </c>
      <c r="G68" s="77" t="s">
        <v>12</v>
      </c>
      <c r="H68" s="56">
        <v>0.00375</v>
      </c>
      <c r="I68" s="77" t="s">
        <v>12</v>
      </c>
      <c r="J68" s="56">
        <v>0.00419</v>
      </c>
      <c r="K68" s="77" t="s">
        <v>12</v>
      </c>
      <c r="L68" s="56">
        <v>0.00463</v>
      </c>
      <c r="M68" s="56" t="s">
        <v>12</v>
      </c>
      <c r="N68" s="56">
        <v>0.00772</v>
      </c>
      <c r="O68" s="56" t="s">
        <v>12</v>
      </c>
      <c r="P68" s="56">
        <v>0.0075</v>
      </c>
      <c r="Q68" s="77" t="s">
        <v>12</v>
      </c>
      <c r="R68" s="56">
        <v>0.08</v>
      </c>
      <c r="S68" s="77" t="s">
        <v>12</v>
      </c>
      <c r="T68" s="56">
        <v>0.0886</v>
      </c>
      <c r="U68" s="77" t="s">
        <v>12</v>
      </c>
      <c r="V68" s="56">
        <v>0.0888</v>
      </c>
      <c r="W68" s="77" t="s">
        <v>12</v>
      </c>
      <c r="X68" s="56">
        <v>0.0888</v>
      </c>
      <c r="Y68" s="56" t="s">
        <v>12</v>
      </c>
      <c r="Z68" s="56">
        <v>0.0884</v>
      </c>
      <c r="AA68" s="56" t="s">
        <v>12</v>
      </c>
      <c r="AB68" s="56">
        <v>0.0884</v>
      </c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>
        <v>0.00243</v>
      </c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</row>
    <row r="70" spans="2:88" ht="12.75">
      <c r="B70" s="16" t="s">
        <v>67</v>
      </c>
      <c r="C70" s="16"/>
      <c r="D70" s="16" t="s">
        <v>15</v>
      </c>
      <c r="F70" s="82">
        <f>'emiss 2'!$G$80</f>
        <v>45700</v>
      </c>
      <c r="G70" s="83"/>
      <c r="H70" s="82">
        <f>'emiss 2'!$I$80</f>
        <v>47200</v>
      </c>
      <c r="I70" s="83"/>
      <c r="J70" s="82">
        <f>'emiss 2'!$K$80</f>
        <v>47600</v>
      </c>
      <c r="K70" s="83"/>
      <c r="L70" s="82">
        <f>'emiss 2'!$M$80</f>
        <v>45100</v>
      </c>
      <c r="M70" s="82"/>
      <c r="N70" s="82">
        <f>'emiss 2'!$O$80</f>
        <v>47800</v>
      </c>
      <c r="O70" s="82"/>
      <c r="P70" s="82">
        <f>'emiss 2'!$Q$80</f>
        <v>46100</v>
      </c>
      <c r="Q70" s="83"/>
      <c r="R70" s="82">
        <f>'emiss 2'!$G$80</f>
        <v>45700</v>
      </c>
      <c r="S70" s="83"/>
      <c r="T70" s="82">
        <f>'emiss 2'!$I$80</f>
        <v>47200</v>
      </c>
      <c r="U70" s="83"/>
      <c r="V70" s="82">
        <f>'emiss 2'!$K$80</f>
        <v>47600</v>
      </c>
      <c r="W70" s="83"/>
      <c r="X70" s="82">
        <f>'emiss 2'!$M$80</f>
        <v>45100</v>
      </c>
      <c r="Y70" s="82"/>
      <c r="Z70" s="82">
        <f>'emiss 2'!$O$80</f>
        <v>47800</v>
      </c>
      <c r="AA70" s="82"/>
      <c r="AB70" s="82">
        <f>'emiss 2'!$Q$80</f>
        <v>46100</v>
      </c>
      <c r="AC70" s="82"/>
      <c r="AD70" s="82">
        <f>'emiss 2'!$G$80</f>
        <v>45700</v>
      </c>
      <c r="AE70" s="82"/>
      <c r="AF70" s="82">
        <f>'emiss 2'!$I$80</f>
        <v>47200</v>
      </c>
      <c r="AG70" s="82"/>
      <c r="AH70" s="82">
        <f>'emiss 2'!$K$80</f>
        <v>47600</v>
      </c>
      <c r="AI70" s="82"/>
      <c r="AJ70" s="82">
        <f>'emiss 2'!$M$80</f>
        <v>45100</v>
      </c>
      <c r="AK70" s="82"/>
      <c r="AL70" s="82">
        <f>'emiss 2'!$O$80</f>
        <v>47800</v>
      </c>
      <c r="AM70" s="82"/>
      <c r="AN70" s="82">
        <f>'emiss 2'!$Q$80</f>
        <v>46100</v>
      </c>
      <c r="AO70" s="82"/>
      <c r="AP70" s="82">
        <f>'emiss 2'!$G$80</f>
        <v>45700</v>
      </c>
      <c r="AQ70" s="82"/>
      <c r="AR70" s="82">
        <f>'emiss 2'!$I$80</f>
        <v>47200</v>
      </c>
      <c r="AS70" s="82"/>
      <c r="AT70" s="82">
        <f>'emiss 2'!$K$80</f>
        <v>47600</v>
      </c>
      <c r="AU70" s="82"/>
      <c r="AV70" s="82">
        <f>'emiss 2'!$M$80</f>
        <v>45100</v>
      </c>
      <c r="AW70" s="82"/>
      <c r="AX70" s="82">
        <f>'emiss 2'!$O$80</f>
        <v>47800</v>
      </c>
      <c r="AY70" s="82"/>
      <c r="AZ70" s="82">
        <f>'emiss 2'!$Q$80</f>
        <v>46100</v>
      </c>
      <c r="BA70" s="82"/>
      <c r="BB70" s="82">
        <f>'emiss 2'!$G$80</f>
        <v>45700</v>
      </c>
      <c r="BC70" s="82"/>
      <c r="BD70" s="82">
        <f>'emiss 2'!$I$80</f>
        <v>47200</v>
      </c>
      <c r="BE70" s="82"/>
      <c r="BF70" s="82">
        <f>'emiss 2'!$K$80</f>
        <v>47600</v>
      </c>
      <c r="BG70" s="82"/>
      <c r="BH70" s="82">
        <f>'emiss 2'!$M$80</f>
        <v>45100</v>
      </c>
      <c r="BI70" s="82"/>
      <c r="BJ70" s="82">
        <f>'emiss 2'!$O$80</f>
        <v>47800</v>
      </c>
      <c r="BK70" s="82"/>
      <c r="BL70" s="82">
        <f>'emiss 2'!$Q$80</f>
        <v>46100</v>
      </c>
      <c r="BM70" s="82"/>
      <c r="BN70" s="82">
        <f>'emiss 2'!$G$80</f>
        <v>45700</v>
      </c>
      <c r="BO70" s="82"/>
      <c r="BP70" s="82">
        <f>'emiss 2'!$I$80</f>
        <v>47200</v>
      </c>
      <c r="BQ70" s="82"/>
      <c r="BR70" s="82">
        <f>'emiss 2'!$K$80</f>
        <v>47600</v>
      </c>
      <c r="BS70" s="82"/>
      <c r="BT70" s="82">
        <f>'emiss 2'!$M$80</f>
        <v>45100</v>
      </c>
      <c r="BU70" s="82"/>
      <c r="BV70" s="82">
        <f>'emiss 2'!$O$80</f>
        <v>47800</v>
      </c>
      <c r="BW70" s="82"/>
      <c r="BX70" s="82">
        <f>'emiss 2'!$Q$80</f>
        <v>46100</v>
      </c>
      <c r="BY70" s="82"/>
      <c r="BZ70" s="82">
        <f>'emiss 2'!$G$80</f>
        <v>45700</v>
      </c>
      <c r="CA70" s="82"/>
      <c r="CB70" s="82">
        <f>'emiss 2'!$I$80</f>
        <v>47200</v>
      </c>
      <c r="CC70" s="82"/>
      <c r="CD70" s="82">
        <f>'emiss 2'!$K$80</f>
        <v>47600</v>
      </c>
      <c r="CE70" s="82"/>
      <c r="CF70" s="82">
        <f>'emiss 2'!$M$80</f>
        <v>45100</v>
      </c>
      <c r="CG70" s="82"/>
      <c r="CH70" s="82">
        <f>'emiss 2'!$O$80</f>
        <v>47800</v>
      </c>
      <c r="CI70" s="82"/>
      <c r="CJ70" s="82">
        <f>'emiss 2'!$Q$80</f>
        <v>46100</v>
      </c>
    </row>
    <row r="71" spans="2:88" ht="12.75">
      <c r="B71" s="16" t="s">
        <v>60</v>
      </c>
      <c r="C71" s="16"/>
      <c r="D71" s="16" t="s">
        <v>13</v>
      </c>
      <c r="F71" s="53">
        <f>'emiss 2'!$G$81</f>
        <v>12.1</v>
      </c>
      <c r="H71" s="53">
        <f>'emiss 2'!$I$81</f>
        <v>11.8</v>
      </c>
      <c r="J71" s="53">
        <f>'emiss 2'!$K$81</f>
        <v>11.8</v>
      </c>
      <c r="L71" s="53">
        <f>'emiss 2'!$M$81</f>
        <v>12.3</v>
      </c>
      <c r="N71" s="53">
        <f>'emiss 2'!$O$81</f>
        <v>11.2</v>
      </c>
      <c r="P71" s="53">
        <f>'emiss 2'!$Q$81</f>
        <v>11.1</v>
      </c>
      <c r="R71" s="53">
        <f>'emiss 2'!$G$81</f>
        <v>12.1</v>
      </c>
      <c r="T71" s="53">
        <f>'emiss 2'!$I$81</f>
        <v>11.8</v>
      </c>
      <c r="V71" s="53">
        <f>'emiss 2'!$K$81</f>
        <v>11.8</v>
      </c>
      <c r="X71" s="53">
        <f>'emiss 2'!$M$81</f>
        <v>12.3</v>
      </c>
      <c r="Z71" s="53">
        <f>'emiss 2'!$O$81</f>
        <v>11.2</v>
      </c>
      <c r="AB71" s="53">
        <f>'emiss 2'!$Q$81</f>
        <v>11.1</v>
      </c>
      <c r="AD71" s="53">
        <f>'emiss 2'!$G$81</f>
        <v>12.1</v>
      </c>
      <c r="AF71" s="53">
        <f>'emiss 2'!$I$81</f>
        <v>11.8</v>
      </c>
      <c r="AH71" s="53">
        <f>'emiss 2'!$K$81</f>
        <v>11.8</v>
      </c>
      <c r="AJ71" s="53">
        <f>'emiss 2'!$M$81</f>
        <v>12.3</v>
      </c>
      <c r="AL71" s="53">
        <f>'emiss 2'!$O$81</f>
        <v>11.2</v>
      </c>
      <c r="AN71" s="53">
        <f>'emiss 2'!$Q$81</f>
        <v>11.1</v>
      </c>
      <c r="AP71" s="53">
        <f>'emiss 2'!$G$81</f>
        <v>12.1</v>
      </c>
      <c r="AR71" s="53">
        <f>'emiss 2'!$I$81</f>
        <v>11.8</v>
      </c>
      <c r="AT71" s="53">
        <f>'emiss 2'!$K$81</f>
        <v>11.8</v>
      </c>
      <c r="AV71" s="53">
        <f>'emiss 2'!$M$81</f>
        <v>12.3</v>
      </c>
      <c r="AX71" s="53">
        <f>'emiss 2'!$O$81</f>
        <v>11.2</v>
      </c>
      <c r="AZ71" s="53">
        <f>'emiss 2'!$Q$81</f>
        <v>11.1</v>
      </c>
      <c r="BB71" s="53">
        <f>'emiss 2'!$G$81</f>
        <v>12.1</v>
      </c>
      <c r="BD71" s="53">
        <f>'emiss 2'!$I$81</f>
        <v>11.8</v>
      </c>
      <c r="BF71" s="53">
        <f>'emiss 2'!$K$81</f>
        <v>11.8</v>
      </c>
      <c r="BH71" s="53">
        <f>'emiss 2'!$M$81</f>
        <v>12.3</v>
      </c>
      <c r="BJ71" s="53">
        <f>'emiss 2'!$O$81</f>
        <v>11.2</v>
      </c>
      <c r="BL71" s="53">
        <f>'emiss 2'!$Q$81</f>
        <v>11.1</v>
      </c>
      <c r="BN71" s="53">
        <f>'emiss 2'!$G$81</f>
        <v>12.1</v>
      </c>
      <c r="BP71" s="53">
        <f>'emiss 2'!$I$81</f>
        <v>11.8</v>
      </c>
      <c r="BR71" s="53">
        <f>'emiss 2'!$K$81</f>
        <v>11.8</v>
      </c>
      <c r="BT71" s="53">
        <f>'emiss 2'!$M$81</f>
        <v>12.3</v>
      </c>
      <c r="BV71" s="53">
        <f>'emiss 2'!$O$81</f>
        <v>11.2</v>
      </c>
      <c r="BX71" s="53">
        <f>'emiss 2'!$Q$81</f>
        <v>11.1</v>
      </c>
      <c r="BZ71" s="53">
        <f>'emiss 2'!$G$81</f>
        <v>12.1</v>
      </c>
      <c r="CB71" s="53">
        <f>'emiss 2'!$I$81</f>
        <v>11.8</v>
      </c>
      <c r="CD71" s="53">
        <f>'emiss 2'!$K$81</f>
        <v>11.8</v>
      </c>
      <c r="CF71" s="53">
        <f>'emiss 2'!$M$81</f>
        <v>12.3</v>
      </c>
      <c r="CH71" s="53">
        <f>'emiss 2'!$O$81</f>
        <v>11.2</v>
      </c>
      <c r="CJ71" s="53">
        <f>'emiss 2'!$Q$81</f>
        <v>11.1</v>
      </c>
    </row>
    <row r="73" ht="12.75">
      <c r="B73" s="41" t="s">
        <v>85</v>
      </c>
    </row>
    <row r="74" spans="2:120" ht="12.75">
      <c r="B74" s="53" t="s">
        <v>20</v>
      </c>
      <c r="D74" s="53" t="s">
        <v>65</v>
      </c>
      <c r="E74" s="74"/>
      <c r="F74" s="82">
        <f>F56*454*1000000/F$70*14/(21-F$71)/0.0283/60</f>
        <v>65066.794179681856</v>
      </c>
      <c r="G74" s="83"/>
      <c r="H74" s="82">
        <f>H56*454*1000000/H$70*14/(21-H$71)/0.0283/60</f>
        <v>93959.97111344313</v>
      </c>
      <c r="I74" s="83"/>
      <c r="J74" s="82">
        <f aca="true" t="shared" si="33" ref="J74:J86">J56*454*1000000/J$70*14/(21-J$71)/0.0283/60</f>
        <v>69749.57750806576</v>
      </c>
      <c r="K74" s="83"/>
      <c r="L74" s="82">
        <f aca="true" t="shared" si="34" ref="L74:L86">L56*454*1000000/L$70*14/(21-L$71)/0.0283/60</f>
        <v>80136.37520869602</v>
      </c>
      <c r="M74" s="82"/>
      <c r="N74" s="82">
        <f aca="true" t="shared" si="35" ref="N74:N86">N56*454*1000000/N$70*14/(21-N$71)/0.0283/60</f>
        <v>137442.3832545866</v>
      </c>
      <c r="O74" s="82"/>
      <c r="P74" s="82">
        <f aca="true" t="shared" si="36" ref="P74:P86">P56*454*1000000/P$70*14/(21-P$71)/0.0283/60</f>
        <v>117285.98515656916</v>
      </c>
      <c r="Q74" s="83" t="s">
        <v>12</v>
      </c>
      <c r="R74" s="82">
        <f aca="true" t="shared" si="37" ref="R74:R86">R56*454*1000000/R$70*14/(21-R$71)/0.0283/60</f>
        <v>163817.3884580392</v>
      </c>
      <c r="S74" s="83" t="s">
        <v>12</v>
      </c>
      <c r="T74" s="82">
        <f aca="true" t="shared" si="38" ref="T74:T86">T56*454*1000000/T$70*14/(21-T$71)/0.0283/60</f>
        <v>152577.2007988938</v>
      </c>
      <c r="U74" s="83" t="s">
        <v>12</v>
      </c>
      <c r="V74" s="82">
        <f aca="true" t="shared" si="39" ref="V74:V86">V56*454*1000000/V$70*14/(21-V$71)/0.0283/60</f>
        <v>152149.81368181013</v>
      </c>
      <c r="W74" s="83" t="s">
        <v>12</v>
      </c>
      <c r="X74" s="82">
        <f aca="true" t="shared" si="40" ref="X74:X86">X56*454*1000000/X$70*14/(21-X$71)/0.0283/60</f>
        <v>169812.7950850939</v>
      </c>
      <c r="Y74" s="82" t="s">
        <v>12</v>
      </c>
      <c r="Z74" s="82">
        <f aca="true" t="shared" si="41" ref="Z74:Z86">Z56*454*1000000/Z$70*14/(21-Z$71)/0.0283/60</f>
        <v>141437.80137245252</v>
      </c>
      <c r="AA74" s="82" t="s">
        <v>12</v>
      </c>
      <c r="AB74" s="82">
        <f aca="true" t="shared" si="42" ref="AB74:AB86">AB56*454*1000000/AB$70*14/(21-AB$71)/0.0283/60</f>
        <v>145172.1634455436</v>
      </c>
      <c r="AC74" s="82"/>
      <c r="AD74" s="82">
        <f aca="true" t="shared" si="43" ref="AD74:AD86">AD56*454*1000000/AD$70*14/(21-AD$71)/0.0283/60</f>
        <v>1095183.6644104866</v>
      </c>
      <c r="AE74" s="82"/>
      <c r="AF74" s="82">
        <f aca="true" t="shared" si="44" ref="AF74:AF86">AF56*454*1000000/AF$70*14/(21-AF$71)/0.0283/60</f>
        <v>342221.17919299926</v>
      </c>
      <c r="AG74" s="82"/>
      <c r="AH74" s="82">
        <f aca="true" t="shared" si="45" ref="AH74:AH86">AH56*454*1000000/AH$70*14/(21-AH$71)/0.0283/60</f>
        <v>306863.9500661226</v>
      </c>
      <c r="AI74" s="82"/>
      <c r="AJ74" s="82">
        <f aca="true" t="shared" si="46" ref="AJ74:AJ86">AJ56*454*1000000/AJ$70*14/(21-AJ$71)/0.0283/60</f>
        <v>386371.80904192716</v>
      </c>
      <c r="AK74" s="82"/>
      <c r="AL74" s="82">
        <f aca="true" t="shared" si="47" ref="AL74:AL86">AL56*454*1000000/AL$70*14/(21-AL$71)/0.0283/60</f>
        <v>178195.64805681873</v>
      </c>
      <c r="AM74" s="82"/>
      <c r="AN74" s="82">
        <f aca="true" t="shared" si="48" ref="AN74:AN86">AN56*454*1000000/AN$70*14/(21-AN$71)/0.0283/60</f>
        <v>208326.15545292702</v>
      </c>
      <c r="AO74" s="82"/>
      <c r="AP74" s="82">
        <f aca="true" t="shared" si="49" ref="AP74:AP86">AP56*454*1000000/AP$70*14/(21-AP$71)/0.0283/60</f>
        <v>0</v>
      </c>
      <c r="AQ74" s="82"/>
      <c r="AR74" s="82">
        <f aca="true" t="shared" si="50" ref="AR74:AR86">AR56*454*1000000/AR$70*14/(21-AR$71)/0.0283/60</f>
        <v>0</v>
      </c>
      <c r="AS74" s="82"/>
      <c r="AT74" s="82">
        <f aca="true" t="shared" si="51" ref="AT74:AT86">AT56*454*1000000/AT$70*14/(21-AT$71)/0.0283/60</f>
        <v>0</v>
      </c>
      <c r="AU74" s="82"/>
      <c r="AV74" s="82">
        <f aca="true" t="shared" si="52" ref="AV74:AV86">AV56*454*1000000/AV$70*14/(21-AV$71)/0.0283/60</f>
        <v>0</v>
      </c>
      <c r="AW74" s="82"/>
      <c r="AX74" s="82">
        <f aca="true" t="shared" si="53" ref="AX74:AX86">AX56*454*1000000/AX$70*14/(21-AX$71)/0.0283/60</f>
        <v>0</v>
      </c>
      <c r="AY74" s="82"/>
      <c r="AZ74" s="82">
        <f aca="true" t="shared" si="54" ref="AZ74:AZ86">AZ56*454*1000000/AZ$70*14/(21-AZ$71)/0.0283/60</f>
        <v>0</v>
      </c>
      <c r="BA74" s="82"/>
      <c r="BB74" s="82">
        <f aca="true" t="shared" si="55" ref="BB74:BB86">BB56*454*1000000/BB$70*14/(21-BB$71)/0.0283/60</f>
        <v>0</v>
      </c>
      <c r="BC74" s="82"/>
      <c r="BD74" s="82">
        <f aca="true" t="shared" si="56" ref="BD74:BD86">BD56*454*1000000/BD$70*14/(21-BD$71)/0.0283/60</f>
        <v>0</v>
      </c>
      <c r="BE74" s="82"/>
      <c r="BF74" s="82">
        <f aca="true" t="shared" si="57" ref="BF74:BF86">BF56*454*1000000/BF$70*14/(21-BF$71)/0.0283/60</f>
        <v>0</v>
      </c>
      <c r="BG74" s="82"/>
      <c r="BH74" s="82">
        <f aca="true" t="shared" si="58" ref="BH74:BH86">BH56*454*1000000/BH$70*14/(21-BH$71)/0.0283/60</f>
        <v>0</v>
      </c>
      <c r="BI74" s="82"/>
      <c r="BJ74" s="82">
        <f aca="true" t="shared" si="59" ref="BJ74:BJ86">BJ56*454*1000000/BJ$70*14/(21-BJ$71)/0.0283/60</f>
        <v>0</v>
      </c>
      <c r="BK74" s="82"/>
      <c r="BL74" s="82">
        <f aca="true" t="shared" si="60" ref="BL74:BL86">BL56*454*1000000/BL$70*14/(21-BL$71)/0.0283/60</f>
        <v>0</v>
      </c>
      <c r="BM74" s="82"/>
      <c r="BN74" s="82">
        <f aca="true" t="shared" si="61" ref="BN74:BN86">BN56*454*1000000/BN$70*14/(21-BN$71)/0.0283/60</f>
        <v>0</v>
      </c>
      <c r="BO74" s="82"/>
      <c r="BP74" s="82">
        <f aca="true" t="shared" si="62" ref="BP74:BP86">BP56*454*1000000/BP$70*14/(21-BP$71)/0.0283/60</f>
        <v>0</v>
      </c>
      <c r="BQ74" s="82"/>
      <c r="BR74" s="82">
        <f aca="true" t="shared" si="63" ref="BR74:BR86">BR56*454*1000000/BR$70*14/(21-BR$71)/0.0283/60</f>
        <v>0</v>
      </c>
      <c r="BS74" s="82"/>
      <c r="BT74" s="82">
        <f aca="true" t="shared" si="64" ref="BT74:BT86">BT56*454*1000000/BT$70*14/(21-BT$71)/0.0283/60</f>
        <v>0</v>
      </c>
      <c r="BU74" s="82"/>
      <c r="BV74" s="82">
        <f aca="true" t="shared" si="65" ref="BV74:BV86">BV56*454*1000000/BV$70*14/(21-BV$71)/0.0283/60</f>
        <v>0</v>
      </c>
      <c r="BW74" s="82"/>
      <c r="BX74" s="82">
        <f aca="true" t="shared" si="66" ref="BX74:BX86">BX56*454*1000000/BX$70*14/(21-BX$71)/0.0283/60</f>
        <v>0</v>
      </c>
      <c r="BY74" s="82"/>
      <c r="BZ74" s="82">
        <f aca="true" t="shared" si="67" ref="BZ74:BZ86">BZ56*454*1000000/BZ$70*14/(21-BZ$71)/0.0283/60</f>
        <v>0</v>
      </c>
      <c r="CA74" s="82"/>
      <c r="CB74" s="82">
        <f aca="true" t="shared" si="68" ref="CB74:CB86">CB56*454*1000000/CB$70*14/(21-CB$71)/0.0283/60</f>
        <v>0</v>
      </c>
      <c r="CC74" s="82"/>
      <c r="CD74" s="82">
        <f aca="true" t="shared" si="69" ref="CD74:CD86">CD56*454*1000000/CD$70*14/(21-CD$71)/0.0283/60</f>
        <v>0</v>
      </c>
      <c r="CE74" s="82"/>
      <c r="CF74" s="82">
        <f aca="true" t="shared" si="70" ref="CF74:CF86">CF56*454*1000000/CF$70*14/(21-CF$71)/0.0283/60</f>
        <v>0</v>
      </c>
      <c r="CG74" s="82"/>
      <c r="CH74" s="82">
        <f aca="true" t="shared" si="71" ref="CH74:CH86">CH56*454*1000000/CH$70*14/(21-CH$71)/0.0283/60</f>
        <v>0</v>
      </c>
      <c r="CI74" s="82"/>
      <c r="CJ74" s="82">
        <f aca="true" t="shared" si="72" ref="CJ74:CJ86">CJ56*454*1000000/CJ$70*14/(21-CJ$71)/0.0283/60</f>
        <v>0</v>
      </c>
      <c r="CK74" s="82"/>
      <c r="CL74" s="82">
        <f>SUM(BZ74,BN74,BB74,AP74)</f>
        <v>0</v>
      </c>
      <c r="CM74" s="82"/>
      <c r="CN74" s="82">
        <f>SUM(CB74,BP74,BD74,AR74)</f>
        <v>0</v>
      </c>
      <c r="CO74" s="82"/>
      <c r="CP74" s="82">
        <f>SUM(CD74,BR74,BF74,AT74)</f>
        <v>0</v>
      </c>
      <c r="CQ74" s="82"/>
      <c r="CR74" s="82">
        <f>SUM(CF74,BT74,BH74,AV74)</f>
        <v>0</v>
      </c>
      <c r="CS74" s="82"/>
      <c r="CT74" s="82">
        <f>SUM(CH74,BV74,BJ74,AX74)</f>
        <v>0</v>
      </c>
      <c r="CU74" s="82"/>
      <c r="CV74" s="82">
        <f>SUM(CJ74,BX74,BL74,AZ74)</f>
        <v>0</v>
      </c>
      <c r="CW74" s="82"/>
      <c r="CX74" s="82">
        <f aca="true" t="shared" si="73" ref="CX74:DH88">F74+R74+AD74+AP74+BB74+BN74+BZ74</f>
        <v>1324067.8470482077</v>
      </c>
      <c r="CY74" s="82"/>
      <c r="CZ74" s="82">
        <f t="shared" si="73"/>
        <v>588758.3511053362</v>
      </c>
      <c r="DA74" s="82"/>
      <c r="DB74" s="82">
        <f t="shared" si="73"/>
        <v>528763.3412559985</v>
      </c>
      <c r="DC74" s="82"/>
      <c r="DD74" s="82">
        <f t="shared" si="73"/>
        <v>636320.9793357172</v>
      </c>
      <c r="DE74" s="82"/>
      <c r="DF74" s="82">
        <f t="shared" si="73"/>
        <v>457075.8326838579</v>
      </c>
      <c r="DG74" s="82"/>
      <c r="DH74" s="82">
        <f t="shared" si="73"/>
        <v>470784.3040550398</v>
      </c>
      <c r="DI74" s="82"/>
      <c r="DJ74" s="82">
        <f>AVERAGE(DH74,DF74,DD74,DB74,CZ74,CX74)</f>
        <v>667628.4425806928</v>
      </c>
      <c r="DM74" s="55">
        <f>AVERAGE(AD74,AF74,AH74,AJ74,AL74,AN74)</f>
        <v>419527.0677035469</v>
      </c>
      <c r="DN74" s="55">
        <f>AVERAGE(AP74,AR74,AT74,AV74,AX74,AZ74)+AVERAGE(BB74,BD74,BF74,BH74,BJ74,BL74)+AVERAGE(BN74,BP74,BR74,BT74,BV74,BX74)+AVERAGE(BZ74,CB74,CD74,CF74,CH74,CJ74)</f>
        <v>0</v>
      </c>
      <c r="DO74" s="55">
        <f>AVERAGE(F74,H74,J74,L74,N74,P74)+AVERAGE(R74,T74,V74,X74,Z74,AB74)</f>
        <v>248101.37487714595</v>
      </c>
      <c r="DP74" s="55">
        <f>SUM(DM74,DN74,DO74)</f>
        <v>667628.4425806928</v>
      </c>
    </row>
    <row r="75" spans="2:114" ht="12.75">
      <c r="B75" s="53" t="s">
        <v>99</v>
      </c>
      <c r="D75" s="53" t="s">
        <v>65</v>
      </c>
      <c r="E75" s="74" t="s">
        <v>12</v>
      </c>
      <c r="F75" s="82">
        <f aca="true" t="shared" si="74" ref="F75:H86">F57*454*1000000/F$70*14/(21-F$71)/0.0283/60</f>
        <v>277.93736693442605</v>
      </c>
      <c r="G75" s="83" t="s">
        <v>12</v>
      </c>
      <c r="H75" s="82">
        <f t="shared" si="74"/>
        <v>440.4912407244902</v>
      </c>
      <c r="I75" s="83" t="s">
        <v>12</v>
      </c>
      <c r="J75" s="82">
        <f t="shared" si="33"/>
        <v>435.08008519124354</v>
      </c>
      <c r="K75" s="83" t="s">
        <v>12</v>
      </c>
      <c r="L75" s="82">
        <f t="shared" si="34"/>
        <v>401.6358805102501</v>
      </c>
      <c r="M75" s="82" t="s">
        <v>12</v>
      </c>
      <c r="N75" s="82">
        <f t="shared" si="35"/>
        <v>687.2119162729331</v>
      </c>
      <c r="O75" s="82" t="s">
        <v>12</v>
      </c>
      <c r="P75" s="82">
        <f t="shared" si="36"/>
        <v>621.6977395012548</v>
      </c>
      <c r="Q75" s="83" t="s">
        <v>12</v>
      </c>
      <c r="R75" s="82">
        <f t="shared" si="37"/>
        <v>7362.579256541089</v>
      </c>
      <c r="S75" s="83" t="s">
        <v>12</v>
      </c>
      <c r="T75" s="82">
        <f t="shared" si="38"/>
        <v>7646.1004016168845</v>
      </c>
      <c r="U75" s="83" t="s">
        <v>12</v>
      </c>
      <c r="V75" s="82">
        <f t="shared" si="39"/>
        <v>6077.444804930729</v>
      </c>
      <c r="W75" s="83" t="s">
        <v>12</v>
      </c>
      <c r="X75" s="82">
        <f t="shared" si="40"/>
        <v>8481.099709586993</v>
      </c>
      <c r="Y75" s="82" t="s">
        <v>12</v>
      </c>
      <c r="Z75" s="82">
        <f t="shared" si="41"/>
        <v>6352.714807406766</v>
      </c>
      <c r="AA75" s="82" t="s">
        <v>12</v>
      </c>
      <c r="AB75" s="82">
        <f t="shared" si="42"/>
        <v>6520.44462933374</v>
      </c>
      <c r="AC75" s="82"/>
      <c r="AD75" s="82">
        <f t="shared" si="43"/>
        <v>0</v>
      </c>
      <c r="AE75" s="82"/>
      <c r="AF75" s="82">
        <f t="shared" si="44"/>
        <v>0</v>
      </c>
      <c r="AG75" s="82"/>
      <c r="AH75" s="82">
        <f t="shared" si="45"/>
        <v>0</v>
      </c>
      <c r="AI75" s="82"/>
      <c r="AJ75" s="82">
        <f t="shared" si="46"/>
        <v>0</v>
      </c>
      <c r="AK75" s="82"/>
      <c r="AL75" s="82">
        <f t="shared" si="47"/>
        <v>3563.912961136374</v>
      </c>
      <c r="AM75" s="82"/>
      <c r="AN75" s="82">
        <f t="shared" si="48"/>
        <v>3904.064960456427</v>
      </c>
      <c r="AO75" s="82"/>
      <c r="AP75" s="82">
        <f t="shared" si="49"/>
        <v>0</v>
      </c>
      <c r="AQ75" s="82"/>
      <c r="AR75" s="82">
        <f t="shared" si="50"/>
        <v>7.223711540648194</v>
      </c>
      <c r="AS75" s="82"/>
      <c r="AT75" s="82">
        <f t="shared" si="51"/>
        <v>11.112065044177143</v>
      </c>
      <c r="AU75" s="82"/>
      <c r="AV75" s="82">
        <f t="shared" si="52"/>
        <v>12.592858961366513</v>
      </c>
      <c r="AW75" s="82"/>
      <c r="AX75" s="82">
        <f t="shared" si="53"/>
        <v>4.578749163074311</v>
      </c>
      <c r="AY75" s="82"/>
      <c r="AZ75" s="82">
        <f t="shared" si="54"/>
        <v>9.021998858197628</v>
      </c>
      <c r="BA75" s="82"/>
      <c r="BB75" s="82">
        <f t="shared" si="55"/>
        <v>176.7019021569861</v>
      </c>
      <c r="BC75" s="82"/>
      <c r="BD75" s="82">
        <f t="shared" si="56"/>
        <v>73.5301425318963</v>
      </c>
      <c r="BE75" s="82"/>
      <c r="BF75" s="82">
        <f t="shared" si="57"/>
        <v>79.15209408390797</v>
      </c>
      <c r="BG75" s="82"/>
      <c r="BH75" s="82">
        <f t="shared" si="58"/>
        <v>124.02058068012475</v>
      </c>
      <c r="BI75" s="82"/>
      <c r="BJ75" s="82">
        <f t="shared" si="59"/>
        <v>93.49278395806184</v>
      </c>
      <c r="BK75" s="82"/>
      <c r="BL75" s="82">
        <f t="shared" si="60"/>
        <v>86.93926172444986</v>
      </c>
      <c r="BM75" s="82"/>
      <c r="BN75" s="82">
        <f t="shared" si="61"/>
        <v>64.33053625402775</v>
      </c>
      <c r="BO75" s="82"/>
      <c r="BP75" s="82">
        <f t="shared" si="62"/>
        <v>27.325973250423367</v>
      </c>
      <c r="BQ75" s="82"/>
      <c r="BR75" s="82">
        <f t="shared" si="63"/>
        <v>108.55632773926901</v>
      </c>
      <c r="BS75" s="82"/>
      <c r="BT75" s="82">
        <f t="shared" si="64"/>
        <v>62.010290340062376</v>
      </c>
      <c r="BU75" s="82"/>
      <c r="BV75" s="82">
        <f t="shared" si="65"/>
        <v>30.684811145210045</v>
      </c>
      <c r="BW75" s="82"/>
      <c r="BX75" s="82">
        <f t="shared" si="66"/>
        <v>39.2046859474406</v>
      </c>
      <c r="BY75" s="82"/>
      <c r="BZ75" s="82">
        <f t="shared" si="67"/>
        <v>0</v>
      </c>
      <c r="CA75" s="82"/>
      <c r="CB75" s="82">
        <f t="shared" si="68"/>
        <v>0</v>
      </c>
      <c r="CC75" s="82"/>
      <c r="CD75" s="82">
        <f t="shared" si="69"/>
        <v>0</v>
      </c>
      <c r="CE75" s="82"/>
      <c r="CF75" s="82">
        <f t="shared" si="70"/>
        <v>0</v>
      </c>
      <c r="CG75" s="82"/>
      <c r="CH75" s="82">
        <f t="shared" si="71"/>
        <v>0</v>
      </c>
      <c r="CI75" s="82"/>
      <c r="CJ75" s="82">
        <f t="shared" si="72"/>
        <v>0</v>
      </c>
      <c r="CK75" s="82"/>
      <c r="CL75" s="82">
        <f aca="true" t="shared" si="75" ref="CL75:CV88">SUM(BZ75,BN75,BB75,AP75)</f>
        <v>241.03243841101386</v>
      </c>
      <c r="CM75" s="82"/>
      <c r="CN75" s="82">
        <f t="shared" si="75"/>
        <v>108.07982732296787</v>
      </c>
      <c r="CO75" s="82"/>
      <c r="CP75" s="82">
        <f t="shared" si="75"/>
        <v>198.82048686735413</v>
      </c>
      <c r="CQ75" s="82"/>
      <c r="CR75" s="82">
        <f t="shared" si="75"/>
        <v>198.62372998155365</v>
      </c>
      <c r="CS75" s="82"/>
      <c r="CT75" s="82">
        <f t="shared" si="75"/>
        <v>128.7563442663462</v>
      </c>
      <c r="CU75" s="82"/>
      <c r="CV75" s="82">
        <f t="shared" si="75"/>
        <v>135.1659465300881</v>
      </c>
      <c r="CW75" s="82"/>
      <c r="CX75" s="82">
        <f t="shared" si="73"/>
        <v>7881.549061886529</v>
      </c>
      <c r="CY75" s="82"/>
      <c r="CZ75" s="82">
        <f t="shared" si="73"/>
        <v>8194.671469664343</v>
      </c>
      <c r="DA75" s="82"/>
      <c r="DB75" s="82">
        <f t="shared" si="73"/>
        <v>6711.345376989328</v>
      </c>
      <c r="DC75" s="82"/>
      <c r="DD75" s="82">
        <f t="shared" si="73"/>
        <v>9081.359320078796</v>
      </c>
      <c r="DE75" s="82"/>
      <c r="DF75" s="82">
        <f t="shared" si="73"/>
        <v>10732.59602908242</v>
      </c>
      <c r="DG75" s="82"/>
      <c r="DH75" s="82">
        <f t="shared" si="73"/>
        <v>11181.37327582151</v>
      </c>
      <c r="DI75" s="82"/>
      <c r="DJ75" s="82">
        <f aca="true" t="shared" si="76" ref="DJ75:DJ88">AVERAGE(DH75,DF75,DD75,DB75,CZ75,CX75)</f>
        <v>8963.815755587157</v>
      </c>
    </row>
    <row r="76" spans="2:114" ht="12.75">
      <c r="B76" s="53" t="s">
        <v>95</v>
      </c>
      <c r="D76" s="53" t="s">
        <v>65</v>
      </c>
      <c r="E76" s="74"/>
      <c r="F76" s="82">
        <f t="shared" si="74"/>
        <v>975.541751491694</v>
      </c>
      <c r="G76" s="83"/>
      <c r="H76" s="82">
        <f t="shared" si="74"/>
        <v>991.3207961510053</v>
      </c>
      <c r="I76" s="83"/>
      <c r="J76" s="82">
        <f t="shared" si="33"/>
        <v>914.6084305591954</v>
      </c>
      <c r="K76" s="83"/>
      <c r="L76" s="82">
        <f t="shared" si="34"/>
        <v>1106.6451814534207</v>
      </c>
      <c r="M76" s="82"/>
      <c r="N76" s="82">
        <f t="shared" si="35"/>
        <v>1374.4238325458662</v>
      </c>
      <c r="O76" s="82"/>
      <c r="P76" s="82">
        <f t="shared" si="36"/>
        <v>1312.2907430105636</v>
      </c>
      <c r="Q76" s="83" t="s">
        <v>12</v>
      </c>
      <c r="R76" s="82">
        <f t="shared" si="37"/>
        <v>736.2579256541087</v>
      </c>
      <c r="S76" s="83" t="s">
        <v>12</v>
      </c>
      <c r="T76" s="82">
        <f t="shared" si="38"/>
        <v>763.7480220780785</v>
      </c>
      <c r="U76" s="83" t="s">
        <v>12</v>
      </c>
      <c r="V76" s="82">
        <f t="shared" si="39"/>
        <v>759.0395199407158</v>
      </c>
      <c r="W76" s="83" t="s">
        <v>12</v>
      </c>
      <c r="X76" s="82">
        <f t="shared" si="40"/>
        <v>847.1559664919292</v>
      </c>
      <c r="Y76" s="82" t="s">
        <v>12</v>
      </c>
      <c r="Z76" s="82">
        <f t="shared" si="41"/>
        <v>706.3899232386894</v>
      </c>
      <c r="AA76" s="82" t="s">
        <v>12</v>
      </c>
      <c r="AB76" s="82">
        <f t="shared" si="42"/>
        <v>725.0406355133365</v>
      </c>
      <c r="AC76" s="82"/>
      <c r="AD76" s="82">
        <f t="shared" si="43"/>
        <v>0</v>
      </c>
      <c r="AE76" s="82"/>
      <c r="AF76" s="82">
        <f t="shared" si="44"/>
        <v>34.22211791929992</v>
      </c>
      <c r="AG76" s="82"/>
      <c r="AH76" s="82">
        <f t="shared" si="45"/>
        <v>32.054033781280225</v>
      </c>
      <c r="AI76" s="82"/>
      <c r="AJ76" s="82">
        <f t="shared" si="46"/>
        <v>27.37992819630447</v>
      </c>
      <c r="AK76" s="82"/>
      <c r="AL76" s="82">
        <f t="shared" si="47"/>
        <v>0</v>
      </c>
      <c r="AM76" s="82"/>
      <c r="AN76" s="82">
        <f t="shared" si="48"/>
        <v>0</v>
      </c>
      <c r="AO76" s="82"/>
      <c r="AP76" s="82">
        <f t="shared" si="49"/>
        <v>807.1227509983167</v>
      </c>
      <c r="AQ76" s="82"/>
      <c r="AR76" s="82">
        <f t="shared" si="50"/>
        <v>1060.282242839771</v>
      </c>
      <c r="AS76" s="82"/>
      <c r="AT76" s="82">
        <f t="shared" si="51"/>
        <v>1436.020713401354</v>
      </c>
      <c r="AU76" s="82"/>
      <c r="AV76" s="82">
        <f t="shared" si="52"/>
        <v>2327.7708989192643</v>
      </c>
      <c r="AW76" s="82"/>
      <c r="AX76" s="82">
        <f t="shared" si="53"/>
        <v>910.955330873423</v>
      </c>
      <c r="AY76" s="82"/>
      <c r="AZ76" s="82">
        <f t="shared" si="54"/>
        <v>1812.6015887833414</v>
      </c>
      <c r="BA76" s="82"/>
      <c r="BB76" s="82">
        <f t="shared" si="55"/>
        <v>143.5702955025512</v>
      </c>
      <c r="BC76" s="82"/>
      <c r="BD76" s="82">
        <f t="shared" si="56"/>
        <v>55.34156096773438</v>
      </c>
      <c r="BE76" s="82"/>
      <c r="BF76" s="82">
        <f t="shared" si="57"/>
        <v>59.32133185122259</v>
      </c>
      <c r="BG76" s="82"/>
      <c r="BH76" s="82">
        <f t="shared" si="58"/>
        <v>92.72923417006248</v>
      </c>
      <c r="BI76" s="82"/>
      <c r="BJ76" s="82">
        <f t="shared" si="59"/>
        <v>37.31720522086742</v>
      </c>
      <c r="BK76" s="82"/>
      <c r="BL76" s="82">
        <f t="shared" si="60"/>
        <v>34.69368651834178</v>
      </c>
      <c r="BM76" s="82"/>
      <c r="BN76" s="82">
        <f t="shared" si="61"/>
        <v>386.53541096840706</v>
      </c>
      <c r="BO76" s="82"/>
      <c r="BP76" s="82">
        <f t="shared" si="62"/>
        <v>19.223003264493407</v>
      </c>
      <c r="BQ76" s="82"/>
      <c r="BR76" s="82">
        <f t="shared" si="63"/>
        <v>87.1869718850822</v>
      </c>
      <c r="BS76" s="82"/>
      <c r="BT76" s="82">
        <f t="shared" si="64"/>
        <v>49.79903316540393</v>
      </c>
      <c r="BU76" s="82"/>
      <c r="BV76" s="82">
        <f t="shared" si="65"/>
        <v>30.684811145210045</v>
      </c>
      <c r="BW76" s="82"/>
      <c r="BX76" s="82">
        <f t="shared" si="66"/>
        <v>39.2046859474406</v>
      </c>
      <c r="BY76" s="82"/>
      <c r="BZ76" s="82">
        <f t="shared" si="67"/>
        <v>0</v>
      </c>
      <c r="CA76" s="82"/>
      <c r="CB76" s="82">
        <f t="shared" si="68"/>
        <v>0</v>
      </c>
      <c r="CC76" s="82"/>
      <c r="CD76" s="82">
        <f t="shared" si="69"/>
        <v>0</v>
      </c>
      <c r="CE76" s="82"/>
      <c r="CF76" s="82">
        <f t="shared" si="70"/>
        <v>0</v>
      </c>
      <c r="CG76" s="82"/>
      <c r="CH76" s="82">
        <f t="shared" si="71"/>
        <v>0</v>
      </c>
      <c r="CI76" s="82"/>
      <c r="CJ76" s="82">
        <f t="shared" si="72"/>
        <v>0</v>
      </c>
      <c r="CK76" s="82"/>
      <c r="CL76" s="82">
        <f t="shared" si="75"/>
        <v>1337.2284574692749</v>
      </c>
      <c r="CM76" s="82"/>
      <c r="CN76" s="82">
        <f t="shared" si="75"/>
        <v>1134.8468070719987</v>
      </c>
      <c r="CO76" s="82"/>
      <c r="CP76" s="82">
        <f t="shared" si="75"/>
        <v>1582.5290171376587</v>
      </c>
      <c r="CQ76" s="82"/>
      <c r="CR76" s="82">
        <f t="shared" si="75"/>
        <v>2470.2991662547306</v>
      </c>
      <c r="CS76" s="82"/>
      <c r="CT76" s="82">
        <f t="shared" si="75"/>
        <v>978.9573472395005</v>
      </c>
      <c r="CU76" s="82"/>
      <c r="CV76" s="82">
        <f t="shared" si="75"/>
        <v>1886.4999612491238</v>
      </c>
      <c r="CW76" s="82"/>
      <c r="CX76" s="82">
        <f t="shared" si="73"/>
        <v>3049.0281346150778</v>
      </c>
      <c r="CY76" s="82"/>
      <c r="CZ76" s="82">
        <f t="shared" si="73"/>
        <v>2924.1377432203826</v>
      </c>
      <c r="DA76" s="82"/>
      <c r="DB76" s="82">
        <f t="shared" si="73"/>
        <v>3288.2310014188497</v>
      </c>
      <c r="DC76" s="82"/>
      <c r="DD76" s="82">
        <f t="shared" si="73"/>
        <v>4451.480242396385</v>
      </c>
      <c r="DE76" s="82"/>
      <c r="DF76" s="82">
        <f t="shared" si="73"/>
        <v>3059.771103024056</v>
      </c>
      <c r="DG76" s="82"/>
      <c r="DH76" s="82">
        <f t="shared" si="73"/>
        <v>3923.831339773024</v>
      </c>
      <c r="DI76" s="82"/>
      <c r="DJ76" s="82">
        <f t="shared" si="76"/>
        <v>3449.4132607412957</v>
      </c>
    </row>
    <row r="77" spans="2:114" ht="12.75">
      <c r="B77" s="53" t="s">
        <v>96</v>
      </c>
      <c r="D77" s="53" t="s">
        <v>65</v>
      </c>
      <c r="E77" s="74"/>
      <c r="F77" s="82">
        <f t="shared" si="74"/>
        <v>2135.1479843969155</v>
      </c>
      <c r="G77" s="83"/>
      <c r="H77" s="82">
        <f t="shared" si="74"/>
        <v>2534.3331658121356</v>
      </c>
      <c r="I77" s="83"/>
      <c r="J77" s="82">
        <f t="shared" si="33"/>
        <v>2008.7194502935604</v>
      </c>
      <c r="K77" s="83"/>
      <c r="L77" s="82">
        <f t="shared" si="34"/>
        <v>2003.4093802173998</v>
      </c>
      <c r="M77" s="82"/>
      <c r="N77" s="82">
        <f t="shared" si="35"/>
        <v>3587.8854698435694</v>
      </c>
      <c r="O77" s="82"/>
      <c r="P77" s="82">
        <f t="shared" si="36"/>
        <v>3247.919588951146</v>
      </c>
      <c r="Q77" s="83" t="s">
        <v>12</v>
      </c>
      <c r="R77" s="82">
        <f t="shared" si="37"/>
        <v>16381.73884580392</v>
      </c>
      <c r="S77" s="83" t="s">
        <v>12</v>
      </c>
      <c r="T77" s="82">
        <f t="shared" si="38"/>
        <v>15257.720079889385</v>
      </c>
      <c r="U77" s="83" t="s">
        <v>12</v>
      </c>
      <c r="V77" s="82">
        <f t="shared" si="39"/>
        <v>15214.98136818101</v>
      </c>
      <c r="W77" s="83" t="s">
        <v>12</v>
      </c>
      <c r="X77" s="82">
        <f t="shared" si="40"/>
        <v>16981.27950850939</v>
      </c>
      <c r="Y77" s="82" t="s">
        <v>12</v>
      </c>
      <c r="Z77" s="82">
        <f t="shared" si="41"/>
        <v>14143.78013724525</v>
      </c>
      <c r="AA77" s="82" t="s">
        <v>12</v>
      </c>
      <c r="AB77" s="82">
        <f t="shared" si="42"/>
        <v>14517.216344554365</v>
      </c>
      <c r="AC77" s="82"/>
      <c r="AD77" s="82">
        <f t="shared" si="43"/>
        <v>18958.641585593297</v>
      </c>
      <c r="AE77" s="82"/>
      <c r="AF77" s="82">
        <f t="shared" si="44"/>
        <v>0</v>
      </c>
      <c r="AG77" s="82"/>
      <c r="AH77" s="82">
        <f t="shared" si="45"/>
        <v>7752.802303898976</v>
      </c>
      <c r="AI77" s="82"/>
      <c r="AJ77" s="82">
        <f t="shared" si="46"/>
        <v>7031.012920096303</v>
      </c>
      <c r="AK77" s="82"/>
      <c r="AL77" s="82">
        <f t="shared" si="47"/>
        <v>1630.1305920892833</v>
      </c>
      <c r="AM77" s="82"/>
      <c r="AN77" s="82">
        <f t="shared" si="48"/>
        <v>1369.703463017276</v>
      </c>
      <c r="AO77" s="82"/>
      <c r="AP77" s="82">
        <f t="shared" si="49"/>
        <v>0</v>
      </c>
      <c r="AQ77" s="82"/>
      <c r="AR77" s="82">
        <f t="shared" si="50"/>
        <v>0</v>
      </c>
      <c r="AS77" s="82"/>
      <c r="AT77" s="82">
        <f t="shared" si="51"/>
        <v>0</v>
      </c>
      <c r="AU77" s="82"/>
      <c r="AV77" s="82">
        <f t="shared" si="52"/>
        <v>0</v>
      </c>
      <c r="AW77" s="82"/>
      <c r="AX77" s="82">
        <f t="shared" si="53"/>
        <v>0</v>
      </c>
      <c r="AY77" s="82"/>
      <c r="AZ77" s="82">
        <f t="shared" si="54"/>
        <v>0</v>
      </c>
      <c r="BA77" s="82"/>
      <c r="BB77" s="82">
        <f t="shared" si="55"/>
        <v>6.083331110717074</v>
      </c>
      <c r="BC77" s="82"/>
      <c r="BD77" s="82">
        <f t="shared" si="56"/>
        <v>7.602999497436406</v>
      </c>
      <c r="BE77" s="82"/>
      <c r="BF77" s="82">
        <f t="shared" si="57"/>
        <v>8.10325973990764</v>
      </c>
      <c r="BG77" s="82"/>
      <c r="BH77" s="82">
        <f t="shared" si="58"/>
        <v>12.783659854720552</v>
      </c>
      <c r="BI77" s="82"/>
      <c r="BJ77" s="82">
        <f t="shared" si="59"/>
        <v>8.630103134590325</v>
      </c>
      <c r="BK77" s="82"/>
      <c r="BL77" s="82">
        <f t="shared" si="60"/>
        <v>7.955762629501544</v>
      </c>
      <c r="BM77" s="82"/>
      <c r="BN77" s="82">
        <f t="shared" si="61"/>
        <v>0</v>
      </c>
      <c r="BO77" s="82"/>
      <c r="BP77" s="82">
        <f t="shared" si="62"/>
        <v>0</v>
      </c>
      <c r="BQ77" s="82"/>
      <c r="BR77" s="82">
        <f t="shared" si="63"/>
        <v>0</v>
      </c>
      <c r="BS77" s="82"/>
      <c r="BT77" s="82">
        <f t="shared" si="64"/>
        <v>0</v>
      </c>
      <c r="BU77" s="82"/>
      <c r="BV77" s="82">
        <f t="shared" si="65"/>
        <v>0</v>
      </c>
      <c r="BW77" s="82"/>
      <c r="BX77" s="82">
        <f t="shared" si="66"/>
        <v>0</v>
      </c>
      <c r="BY77" s="82"/>
      <c r="BZ77" s="82">
        <f t="shared" si="67"/>
        <v>0</v>
      </c>
      <c r="CA77" s="82"/>
      <c r="CB77" s="82">
        <f t="shared" si="68"/>
        <v>0</v>
      </c>
      <c r="CC77" s="82"/>
      <c r="CD77" s="82">
        <f t="shared" si="69"/>
        <v>0</v>
      </c>
      <c r="CE77" s="82"/>
      <c r="CF77" s="82">
        <f t="shared" si="70"/>
        <v>0</v>
      </c>
      <c r="CG77" s="82"/>
      <c r="CH77" s="82">
        <f t="shared" si="71"/>
        <v>0</v>
      </c>
      <c r="CI77" s="82"/>
      <c r="CJ77" s="82">
        <f t="shared" si="72"/>
        <v>0</v>
      </c>
      <c r="CK77" s="82"/>
      <c r="CL77" s="82">
        <f t="shared" si="75"/>
        <v>6.083331110717074</v>
      </c>
      <c r="CM77" s="82"/>
      <c r="CN77" s="82">
        <f t="shared" si="75"/>
        <v>7.602999497436406</v>
      </c>
      <c r="CO77" s="82"/>
      <c r="CP77" s="82">
        <f t="shared" si="75"/>
        <v>8.10325973990764</v>
      </c>
      <c r="CQ77" s="82"/>
      <c r="CR77" s="82">
        <f t="shared" si="75"/>
        <v>12.783659854720552</v>
      </c>
      <c r="CS77" s="82"/>
      <c r="CT77" s="82">
        <f t="shared" si="75"/>
        <v>8.630103134590325</v>
      </c>
      <c r="CU77" s="82"/>
      <c r="CV77" s="82">
        <f t="shared" si="75"/>
        <v>7.955762629501544</v>
      </c>
      <c r="CW77" s="82"/>
      <c r="CX77" s="82">
        <f t="shared" si="73"/>
        <v>37481.611746904855</v>
      </c>
      <c r="CY77" s="82"/>
      <c r="CZ77" s="82">
        <f t="shared" si="73"/>
        <v>17799.65624519896</v>
      </c>
      <c r="DA77" s="82"/>
      <c r="DB77" s="82">
        <f t="shared" si="73"/>
        <v>24984.606382113456</v>
      </c>
      <c r="DC77" s="82"/>
      <c r="DD77" s="82">
        <f t="shared" si="73"/>
        <v>26028.485468677813</v>
      </c>
      <c r="DE77" s="82"/>
      <c r="DF77" s="82">
        <f t="shared" si="73"/>
        <v>19370.426302312695</v>
      </c>
      <c r="DG77" s="82"/>
      <c r="DH77" s="82">
        <f t="shared" si="73"/>
        <v>19142.795159152287</v>
      </c>
      <c r="DI77" s="82"/>
      <c r="DJ77" s="82">
        <f t="shared" si="76"/>
        <v>24134.59688406001</v>
      </c>
    </row>
    <row r="78" spans="2:114" ht="12.75">
      <c r="B78" s="53" t="s">
        <v>97</v>
      </c>
      <c r="D78" s="53" t="s">
        <v>65</v>
      </c>
      <c r="E78" s="74"/>
      <c r="F78" s="82">
        <f t="shared" si="74"/>
        <v>129.76545939653664</v>
      </c>
      <c r="G78" s="83"/>
      <c r="H78" s="82">
        <f t="shared" si="74"/>
        <v>176.71370713996185</v>
      </c>
      <c r="I78" s="83"/>
      <c r="J78" s="82">
        <f t="shared" si="33"/>
        <v>109.41110197343649</v>
      </c>
      <c r="K78" s="83"/>
      <c r="L78" s="82">
        <f t="shared" si="34"/>
        <v>134.51462981459684</v>
      </c>
      <c r="M78" s="82"/>
      <c r="N78" s="82">
        <f t="shared" si="35"/>
        <v>229.33699996550212</v>
      </c>
      <c r="O78" s="82"/>
      <c r="P78" s="82">
        <f t="shared" si="36"/>
        <v>208.32615545292705</v>
      </c>
      <c r="Q78" s="83" t="s">
        <v>12</v>
      </c>
      <c r="R78" s="82">
        <f t="shared" si="37"/>
        <v>409.543471145098</v>
      </c>
      <c r="S78" s="83" t="s">
        <v>12</v>
      </c>
      <c r="T78" s="82">
        <f t="shared" si="38"/>
        <v>381.87401103903926</v>
      </c>
      <c r="U78" s="83" t="s">
        <v>12</v>
      </c>
      <c r="V78" s="82">
        <f t="shared" si="39"/>
        <v>303.4448531294527</v>
      </c>
      <c r="W78" s="83" t="s">
        <v>12</v>
      </c>
      <c r="X78" s="82">
        <f t="shared" si="40"/>
        <v>424.5319877127347</v>
      </c>
      <c r="Y78" s="82" t="s">
        <v>12</v>
      </c>
      <c r="Z78" s="82">
        <f t="shared" si="41"/>
        <v>352.3958779957715</v>
      </c>
      <c r="AA78" s="82" t="s">
        <v>12</v>
      </c>
      <c r="AB78" s="82">
        <f t="shared" si="42"/>
        <v>361.70013604228666</v>
      </c>
      <c r="AC78" s="82"/>
      <c r="AD78" s="82">
        <f t="shared" si="43"/>
        <v>0</v>
      </c>
      <c r="AE78" s="82"/>
      <c r="AF78" s="82">
        <f t="shared" si="44"/>
        <v>0</v>
      </c>
      <c r="AG78" s="82"/>
      <c r="AH78" s="82">
        <f t="shared" si="45"/>
        <v>0</v>
      </c>
      <c r="AI78" s="82"/>
      <c r="AJ78" s="82">
        <f t="shared" si="46"/>
        <v>0</v>
      </c>
      <c r="AK78" s="82"/>
      <c r="AL78" s="82">
        <f t="shared" si="47"/>
        <v>0</v>
      </c>
      <c r="AM78" s="82"/>
      <c r="AN78" s="82">
        <f t="shared" si="48"/>
        <v>0</v>
      </c>
      <c r="AO78" s="82"/>
      <c r="AP78" s="82">
        <f t="shared" si="49"/>
        <v>0</v>
      </c>
      <c r="AQ78" s="82"/>
      <c r="AR78" s="82">
        <f t="shared" si="50"/>
        <v>0</v>
      </c>
      <c r="AS78" s="82"/>
      <c r="AT78" s="82">
        <f t="shared" si="51"/>
        <v>0</v>
      </c>
      <c r="AU78" s="82"/>
      <c r="AV78" s="82">
        <f t="shared" si="52"/>
        <v>0</v>
      </c>
      <c r="AW78" s="82"/>
      <c r="AX78" s="82">
        <f t="shared" si="53"/>
        <v>0</v>
      </c>
      <c r="AY78" s="82"/>
      <c r="AZ78" s="82">
        <f t="shared" si="54"/>
        <v>0</v>
      </c>
      <c r="BA78" s="82"/>
      <c r="BB78" s="82">
        <f t="shared" si="55"/>
        <v>0</v>
      </c>
      <c r="BC78" s="82"/>
      <c r="BD78" s="82">
        <f t="shared" si="56"/>
        <v>0</v>
      </c>
      <c r="BE78" s="82"/>
      <c r="BF78" s="82">
        <f t="shared" si="57"/>
        <v>0</v>
      </c>
      <c r="BG78" s="82"/>
      <c r="BH78" s="82">
        <f t="shared" si="58"/>
        <v>0</v>
      </c>
      <c r="BI78" s="82"/>
      <c r="BJ78" s="82">
        <f t="shared" si="59"/>
        <v>0</v>
      </c>
      <c r="BK78" s="82"/>
      <c r="BL78" s="82">
        <f t="shared" si="60"/>
        <v>0</v>
      </c>
      <c r="BM78" s="82"/>
      <c r="BN78" s="82">
        <f t="shared" si="61"/>
        <v>0</v>
      </c>
      <c r="BO78" s="82"/>
      <c r="BP78" s="82">
        <f t="shared" si="62"/>
        <v>0</v>
      </c>
      <c r="BQ78" s="82"/>
      <c r="BR78" s="82">
        <f t="shared" si="63"/>
        <v>0</v>
      </c>
      <c r="BS78" s="82"/>
      <c r="BT78" s="82">
        <f t="shared" si="64"/>
        <v>0</v>
      </c>
      <c r="BU78" s="82"/>
      <c r="BV78" s="82">
        <f t="shared" si="65"/>
        <v>0</v>
      </c>
      <c r="BW78" s="82"/>
      <c r="BX78" s="82">
        <f t="shared" si="66"/>
        <v>0</v>
      </c>
      <c r="BY78" s="82"/>
      <c r="BZ78" s="82">
        <f t="shared" si="67"/>
        <v>40.586218151682736</v>
      </c>
      <c r="CA78" s="82"/>
      <c r="CB78" s="82">
        <f t="shared" si="68"/>
        <v>38.01499748718202</v>
      </c>
      <c r="CC78" s="82"/>
      <c r="CD78" s="82">
        <f t="shared" si="69"/>
        <v>37.69554372678554</v>
      </c>
      <c r="CE78" s="82"/>
      <c r="CF78" s="82">
        <f t="shared" si="70"/>
        <v>42.0715969845654</v>
      </c>
      <c r="CG78" s="82"/>
      <c r="CH78" s="82">
        <f t="shared" si="71"/>
        <v>35.23958779957715</v>
      </c>
      <c r="CI78" s="82"/>
      <c r="CJ78" s="82">
        <f t="shared" si="72"/>
        <v>36.17001360422867</v>
      </c>
      <c r="CK78" s="82"/>
      <c r="CL78" s="82">
        <f t="shared" si="75"/>
        <v>40.586218151682736</v>
      </c>
      <c r="CM78" s="82"/>
      <c r="CN78" s="82">
        <f t="shared" si="75"/>
        <v>38.01499748718202</v>
      </c>
      <c r="CO78" s="82"/>
      <c r="CP78" s="82">
        <f t="shared" si="75"/>
        <v>37.69554372678554</v>
      </c>
      <c r="CQ78" s="82"/>
      <c r="CR78" s="82">
        <f t="shared" si="75"/>
        <v>42.0715969845654</v>
      </c>
      <c r="CS78" s="82"/>
      <c r="CT78" s="82">
        <f t="shared" si="75"/>
        <v>35.23958779957715</v>
      </c>
      <c r="CU78" s="82"/>
      <c r="CV78" s="82">
        <f t="shared" si="75"/>
        <v>36.17001360422867</v>
      </c>
      <c r="CW78" s="82"/>
      <c r="CX78" s="82">
        <f t="shared" si="73"/>
        <v>579.8951486933174</v>
      </c>
      <c r="CY78" s="82"/>
      <c r="CZ78" s="82">
        <f t="shared" si="73"/>
        <v>596.602715666183</v>
      </c>
      <c r="DA78" s="82"/>
      <c r="DB78" s="82">
        <f t="shared" si="73"/>
        <v>450.55149882967476</v>
      </c>
      <c r="DC78" s="82"/>
      <c r="DD78" s="82">
        <f t="shared" si="73"/>
        <v>601.118214511897</v>
      </c>
      <c r="DE78" s="82"/>
      <c r="DF78" s="82">
        <f t="shared" si="73"/>
        <v>616.9724657608508</v>
      </c>
      <c r="DG78" s="82"/>
      <c r="DH78" s="82">
        <f t="shared" si="73"/>
        <v>606.1963050994424</v>
      </c>
      <c r="DI78" s="82"/>
      <c r="DJ78" s="82">
        <f t="shared" si="76"/>
        <v>575.2227247602276</v>
      </c>
    </row>
    <row r="79" spans="2:114" ht="12.75">
      <c r="B79" s="53" t="s">
        <v>102</v>
      </c>
      <c r="D79" s="53" t="s">
        <v>65</v>
      </c>
      <c r="E79" s="74"/>
      <c r="F79" s="82">
        <f t="shared" si="74"/>
        <v>22.36383449174355</v>
      </c>
      <c r="G79" s="83"/>
      <c r="H79" s="82">
        <f t="shared" si="74"/>
        <v>142.23298379557906</v>
      </c>
      <c r="I79" s="83"/>
      <c r="J79" s="82">
        <f t="shared" si="33"/>
        <v>182.92168611183914</v>
      </c>
      <c r="K79" s="83"/>
      <c r="L79" s="82">
        <f t="shared" si="34"/>
        <v>50.466836292143064</v>
      </c>
      <c r="M79" s="82" t="s">
        <v>12</v>
      </c>
      <c r="N79" s="82">
        <f t="shared" si="35"/>
        <v>29.96563588399418</v>
      </c>
      <c r="O79" s="82"/>
      <c r="P79" s="82">
        <f t="shared" si="36"/>
        <v>41.58321291914725</v>
      </c>
      <c r="Q79" s="83" t="s">
        <v>12</v>
      </c>
      <c r="R79" s="82">
        <f t="shared" si="37"/>
        <v>409.543471145098</v>
      </c>
      <c r="S79" s="83" t="s">
        <v>12</v>
      </c>
      <c r="T79" s="82">
        <f t="shared" si="38"/>
        <v>381.87401103903926</v>
      </c>
      <c r="U79" s="83" t="s">
        <v>12</v>
      </c>
      <c r="V79" s="82">
        <f t="shared" si="39"/>
        <v>303.4448531294527</v>
      </c>
      <c r="W79" s="83" t="s">
        <v>12</v>
      </c>
      <c r="X79" s="82">
        <f t="shared" si="40"/>
        <v>424.5319877127347</v>
      </c>
      <c r="Y79" s="82" t="s">
        <v>12</v>
      </c>
      <c r="Z79" s="82">
        <f t="shared" si="41"/>
        <v>352.3958779957715</v>
      </c>
      <c r="AA79" s="82" t="s">
        <v>12</v>
      </c>
      <c r="AB79" s="82">
        <f t="shared" si="42"/>
        <v>361.70013604228666</v>
      </c>
      <c r="AC79" s="82"/>
      <c r="AD79" s="82">
        <f t="shared" si="43"/>
        <v>1095.1836644104865</v>
      </c>
      <c r="AE79" s="82"/>
      <c r="AF79" s="82">
        <f t="shared" si="44"/>
        <v>39.911437271123084</v>
      </c>
      <c r="AG79" s="82"/>
      <c r="AH79" s="82">
        <f t="shared" si="45"/>
        <v>388.0675023120327</v>
      </c>
      <c r="AI79" s="82"/>
      <c r="AJ79" s="82">
        <f t="shared" si="46"/>
        <v>527.5644701239153</v>
      </c>
      <c r="AK79" s="82"/>
      <c r="AL79" s="82">
        <f t="shared" si="47"/>
        <v>222.1452473533435</v>
      </c>
      <c r="AM79" s="82"/>
      <c r="AN79" s="82">
        <f t="shared" si="48"/>
        <v>204.225246881019</v>
      </c>
      <c r="AO79" s="82"/>
      <c r="AP79" s="82">
        <f t="shared" si="49"/>
        <v>40402.15367026921</v>
      </c>
      <c r="AQ79" s="82"/>
      <c r="AR79" s="82">
        <f t="shared" si="50"/>
        <v>24222.70814942891</v>
      </c>
      <c r="AS79" s="82"/>
      <c r="AT79" s="82">
        <f t="shared" si="51"/>
        <v>29917.09819586154</v>
      </c>
      <c r="AU79" s="82"/>
      <c r="AV79" s="82">
        <f t="shared" si="52"/>
        <v>29383.337576521863</v>
      </c>
      <c r="AW79" s="82"/>
      <c r="AX79" s="82">
        <f t="shared" si="53"/>
        <v>10068.453657022043</v>
      </c>
      <c r="AY79" s="82"/>
      <c r="AZ79" s="82">
        <f t="shared" si="54"/>
        <v>20012.433830911097</v>
      </c>
      <c r="BA79" s="82"/>
      <c r="BB79" s="82">
        <f t="shared" si="55"/>
        <v>2227.180225103679</v>
      </c>
      <c r="BC79" s="82"/>
      <c r="BD79" s="82">
        <f t="shared" si="56"/>
        <v>922.3593494622396</v>
      </c>
      <c r="BE79" s="82"/>
      <c r="BF79" s="82">
        <f t="shared" si="57"/>
        <v>991.5381116342683</v>
      </c>
      <c r="BG79" s="82"/>
      <c r="BH79" s="82">
        <f t="shared" si="58"/>
        <v>1545.4872361677083</v>
      </c>
      <c r="BI79" s="82"/>
      <c r="BJ79" s="82">
        <f t="shared" si="59"/>
        <v>448.2859128245529</v>
      </c>
      <c r="BK79" s="82"/>
      <c r="BL79" s="82">
        <f t="shared" si="60"/>
        <v>415.83212919147246</v>
      </c>
      <c r="BM79" s="82"/>
      <c r="BN79" s="82">
        <f t="shared" si="61"/>
        <v>4454.360450207358</v>
      </c>
      <c r="BO79" s="82"/>
      <c r="BP79" s="82">
        <f t="shared" si="62"/>
        <v>287.9140399255963</v>
      </c>
      <c r="BQ79" s="82"/>
      <c r="BR79" s="82">
        <f t="shared" si="63"/>
        <v>1341.9955476429318</v>
      </c>
      <c r="BS79" s="82"/>
      <c r="BT79" s="82">
        <f t="shared" si="64"/>
        <v>1078.025047450315</v>
      </c>
      <c r="BU79" s="82"/>
      <c r="BV79" s="82">
        <f t="shared" si="65"/>
        <v>641.6641497292618</v>
      </c>
      <c r="BW79" s="82"/>
      <c r="BX79" s="82">
        <f t="shared" si="66"/>
        <v>820.1817143816025</v>
      </c>
      <c r="BY79" s="82"/>
      <c r="BZ79" s="82">
        <f t="shared" si="67"/>
        <v>0</v>
      </c>
      <c r="CA79" s="82"/>
      <c r="CB79" s="82">
        <f t="shared" si="68"/>
        <v>0</v>
      </c>
      <c r="CC79" s="82"/>
      <c r="CD79" s="82">
        <f t="shared" si="69"/>
        <v>0</v>
      </c>
      <c r="CE79" s="82"/>
      <c r="CF79" s="82">
        <f t="shared" si="70"/>
        <v>0</v>
      </c>
      <c r="CG79" s="82"/>
      <c r="CH79" s="82">
        <f t="shared" si="71"/>
        <v>0</v>
      </c>
      <c r="CI79" s="82"/>
      <c r="CJ79" s="82">
        <f t="shared" si="72"/>
        <v>0</v>
      </c>
      <c r="CK79" s="82"/>
      <c r="CL79" s="82">
        <f t="shared" si="75"/>
        <v>47083.69434558025</v>
      </c>
      <c r="CM79" s="82"/>
      <c r="CN79" s="82">
        <f t="shared" si="75"/>
        <v>25432.981538816744</v>
      </c>
      <c r="CO79" s="82"/>
      <c r="CP79" s="82">
        <f t="shared" si="75"/>
        <v>32250.63185513874</v>
      </c>
      <c r="CQ79" s="82"/>
      <c r="CR79" s="82">
        <f t="shared" si="75"/>
        <v>32006.849860139886</v>
      </c>
      <c r="CS79" s="82"/>
      <c r="CT79" s="82">
        <f t="shared" si="75"/>
        <v>11158.403719575857</v>
      </c>
      <c r="CU79" s="82"/>
      <c r="CV79" s="82">
        <f t="shared" si="75"/>
        <v>21248.447674484174</v>
      </c>
      <c r="CW79" s="82"/>
      <c r="CX79" s="82">
        <f t="shared" si="73"/>
        <v>48610.785315627574</v>
      </c>
      <c r="CY79" s="82"/>
      <c r="CZ79" s="82">
        <f t="shared" si="73"/>
        <v>25996.999970922487</v>
      </c>
      <c r="DA79" s="82"/>
      <c r="DB79" s="82">
        <f t="shared" si="73"/>
        <v>33125.06589669207</v>
      </c>
      <c r="DC79" s="82"/>
      <c r="DD79" s="82">
        <f t="shared" si="73"/>
        <v>33009.413154268674</v>
      </c>
      <c r="DE79" s="82"/>
      <c r="DF79" s="82">
        <f t="shared" si="73"/>
        <v>11762.910480808967</v>
      </c>
      <c r="DG79" s="82"/>
      <c r="DH79" s="82">
        <f t="shared" si="73"/>
        <v>21855.956270326627</v>
      </c>
      <c r="DI79" s="82"/>
      <c r="DJ79" s="82">
        <f t="shared" si="76"/>
        <v>29060.1885147744</v>
      </c>
    </row>
    <row r="80" spans="2:114" ht="12.75">
      <c r="B80" s="53" t="s">
        <v>104</v>
      </c>
      <c r="D80" s="53" t="s">
        <v>65</v>
      </c>
      <c r="E80" s="74"/>
      <c r="F80" s="82">
        <f t="shared" si="74"/>
        <v>882.5891883778628</v>
      </c>
      <c r="G80" s="83"/>
      <c r="H80" s="82">
        <f t="shared" si="74"/>
        <v>1215.4454978894933</v>
      </c>
      <c r="I80" s="83"/>
      <c r="J80" s="82">
        <f t="shared" si="33"/>
        <v>610.3088031955756</v>
      </c>
      <c r="K80" s="83"/>
      <c r="L80" s="82">
        <f t="shared" si="34"/>
        <v>651.58505080404</v>
      </c>
      <c r="M80" s="82"/>
      <c r="N80" s="82">
        <f t="shared" si="35"/>
        <v>1070.772055588059</v>
      </c>
      <c r="O80" s="82"/>
      <c r="P80" s="82">
        <f t="shared" si="36"/>
        <v>967.8144229702907</v>
      </c>
      <c r="Q80" s="83"/>
      <c r="R80" s="82">
        <f t="shared" si="37"/>
        <v>2208.7737769623263</v>
      </c>
      <c r="S80" s="83"/>
      <c r="T80" s="82">
        <f t="shared" si="38"/>
        <v>3827.3602912264905</v>
      </c>
      <c r="U80" s="83"/>
      <c r="V80" s="82">
        <f t="shared" si="39"/>
        <v>3111.3782123696005</v>
      </c>
      <c r="W80" s="83"/>
      <c r="X80" s="82">
        <f t="shared" si="40"/>
        <v>4235.779832459645</v>
      </c>
      <c r="Y80" s="82"/>
      <c r="Z80" s="82">
        <f t="shared" si="41"/>
        <v>2820.7651912133183</v>
      </c>
      <c r="AA80" s="82"/>
      <c r="AB80" s="82">
        <f t="shared" si="42"/>
        <v>2755.8105603221843</v>
      </c>
      <c r="AC80" s="82"/>
      <c r="AD80" s="82">
        <f t="shared" si="43"/>
        <v>2282.3995695277367</v>
      </c>
      <c r="AE80" s="82"/>
      <c r="AF80" s="82">
        <f t="shared" si="44"/>
        <v>285.3279856747676</v>
      </c>
      <c r="AG80" s="82"/>
      <c r="AH80" s="82">
        <f t="shared" si="45"/>
        <v>1547.141363843125</v>
      </c>
      <c r="AI80" s="82"/>
      <c r="AJ80" s="82">
        <f t="shared" si="46"/>
        <v>1898.4688888726787</v>
      </c>
      <c r="AK80" s="82"/>
      <c r="AL80" s="82">
        <f t="shared" si="47"/>
        <v>504.22176647467535</v>
      </c>
      <c r="AM80" s="82"/>
      <c r="AN80" s="82">
        <f t="shared" si="48"/>
        <v>390.4064960456428</v>
      </c>
      <c r="AO80" s="82"/>
      <c r="AP80" s="82">
        <f t="shared" si="49"/>
        <v>201.55060714781226</v>
      </c>
      <c r="AQ80" s="82"/>
      <c r="AR80" s="82">
        <f t="shared" si="50"/>
        <v>144.8190380464077</v>
      </c>
      <c r="AS80" s="82"/>
      <c r="AT80" s="82">
        <f t="shared" si="51"/>
        <v>209.4196873710308</v>
      </c>
      <c r="AU80" s="82"/>
      <c r="AV80" s="82">
        <f t="shared" si="52"/>
        <v>224.19104969099473</v>
      </c>
      <c r="AW80" s="82"/>
      <c r="AX80" s="82">
        <f t="shared" si="53"/>
        <v>79.26909545845928</v>
      </c>
      <c r="AY80" s="82"/>
      <c r="AZ80" s="82">
        <f t="shared" si="54"/>
        <v>157.47488916126764</v>
      </c>
      <c r="BA80" s="82"/>
      <c r="BB80" s="82">
        <f t="shared" si="55"/>
        <v>16841.900049337735</v>
      </c>
      <c r="BC80" s="82"/>
      <c r="BD80" s="82">
        <f t="shared" si="56"/>
        <v>7602.999497436405</v>
      </c>
      <c r="BE80" s="82"/>
      <c r="BF80" s="82">
        <f t="shared" si="57"/>
        <v>8154.546193957688</v>
      </c>
      <c r="BG80" s="82"/>
      <c r="BH80" s="82">
        <f t="shared" si="58"/>
        <v>12783.659854720552</v>
      </c>
      <c r="BI80" s="82"/>
      <c r="BJ80" s="82">
        <f t="shared" si="59"/>
        <v>9748.820207592773</v>
      </c>
      <c r="BK80" s="82"/>
      <c r="BL80" s="82">
        <f t="shared" si="60"/>
        <v>9021.998858197629</v>
      </c>
      <c r="BM80" s="82"/>
      <c r="BN80" s="82">
        <f t="shared" si="61"/>
        <v>609.2534334787748</v>
      </c>
      <c r="BO80" s="82"/>
      <c r="BP80" s="82">
        <f t="shared" si="62"/>
        <v>11.37863870364632</v>
      </c>
      <c r="BQ80" s="82"/>
      <c r="BR80" s="82">
        <f t="shared" si="63"/>
        <v>129.92568359345583</v>
      </c>
      <c r="BS80" s="82"/>
      <c r="BT80" s="82">
        <f t="shared" si="64"/>
        <v>165.04277275124295</v>
      </c>
      <c r="BU80" s="82"/>
      <c r="BV80" s="82">
        <f t="shared" si="65"/>
        <v>89.49736584019594</v>
      </c>
      <c r="BW80" s="82"/>
      <c r="BX80" s="82">
        <f t="shared" si="66"/>
        <v>114.00525829904272</v>
      </c>
      <c r="BY80" s="82"/>
      <c r="BZ80" s="82">
        <f t="shared" si="67"/>
        <v>0</v>
      </c>
      <c r="CA80" s="82"/>
      <c r="CB80" s="82">
        <f t="shared" si="68"/>
        <v>0</v>
      </c>
      <c r="CC80" s="82"/>
      <c r="CD80" s="82">
        <f t="shared" si="69"/>
        <v>0</v>
      </c>
      <c r="CE80" s="82"/>
      <c r="CF80" s="82">
        <f t="shared" si="70"/>
        <v>0</v>
      </c>
      <c r="CG80" s="82"/>
      <c r="CH80" s="82">
        <f t="shared" si="71"/>
        <v>0</v>
      </c>
      <c r="CI80" s="82"/>
      <c r="CJ80" s="82">
        <f t="shared" si="72"/>
        <v>0</v>
      </c>
      <c r="CK80" s="82"/>
      <c r="CL80" s="82">
        <f t="shared" si="75"/>
        <v>17652.70408996432</v>
      </c>
      <c r="CM80" s="82"/>
      <c r="CN80" s="82">
        <f t="shared" si="75"/>
        <v>7759.197174186459</v>
      </c>
      <c r="CO80" s="82"/>
      <c r="CP80" s="82">
        <f t="shared" si="75"/>
        <v>8493.891564922176</v>
      </c>
      <c r="CQ80" s="82"/>
      <c r="CR80" s="82">
        <f t="shared" si="75"/>
        <v>13172.89367716279</v>
      </c>
      <c r="CS80" s="82"/>
      <c r="CT80" s="82">
        <f t="shared" si="75"/>
        <v>9917.586668891428</v>
      </c>
      <c r="CU80" s="82"/>
      <c r="CV80" s="82">
        <f t="shared" si="75"/>
        <v>9293.479005657939</v>
      </c>
      <c r="CW80" s="82"/>
      <c r="CX80" s="82">
        <f t="shared" si="73"/>
        <v>23026.466624832246</v>
      </c>
      <c r="CY80" s="82"/>
      <c r="CZ80" s="82">
        <f t="shared" si="73"/>
        <v>13087.330948977213</v>
      </c>
      <c r="DA80" s="82"/>
      <c r="DB80" s="82">
        <f t="shared" si="73"/>
        <v>13762.719944330476</v>
      </c>
      <c r="DC80" s="82"/>
      <c r="DD80" s="82">
        <f t="shared" si="73"/>
        <v>19958.727449299156</v>
      </c>
      <c r="DE80" s="82"/>
      <c r="DF80" s="82">
        <f t="shared" si="73"/>
        <v>14313.34568216748</v>
      </c>
      <c r="DG80" s="82"/>
      <c r="DH80" s="82">
        <f t="shared" si="73"/>
        <v>13407.510484996057</v>
      </c>
      <c r="DI80" s="82"/>
      <c r="DJ80" s="82">
        <f t="shared" si="76"/>
        <v>16259.35018910044</v>
      </c>
    </row>
    <row r="81" spans="2:114" ht="12.75">
      <c r="B81" s="53" t="s">
        <v>201</v>
      </c>
      <c r="D81" s="53" t="s">
        <v>65</v>
      </c>
      <c r="E81" s="74"/>
      <c r="F81" s="82">
        <f t="shared" si="74"/>
        <v>0</v>
      </c>
      <c r="G81" s="83"/>
      <c r="H81" s="82">
        <f t="shared" si="74"/>
        <v>0</v>
      </c>
      <c r="I81" s="83"/>
      <c r="J81" s="82">
        <f t="shared" si="33"/>
        <v>0</v>
      </c>
      <c r="K81" s="83"/>
      <c r="L81" s="82">
        <f t="shared" si="34"/>
        <v>0</v>
      </c>
      <c r="M81" s="82"/>
      <c r="N81" s="82">
        <f t="shared" si="35"/>
        <v>0</v>
      </c>
      <c r="O81" s="82"/>
      <c r="P81" s="82">
        <f t="shared" si="36"/>
        <v>0</v>
      </c>
      <c r="Q81" s="83"/>
      <c r="R81" s="82">
        <f t="shared" si="37"/>
        <v>0</v>
      </c>
      <c r="S81" s="83"/>
      <c r="T81" s="82">
        <f t="shared" si="38"/>
        <v>0</v>
      </c>
      <c r="U81" s="83"/>
      <c r="V81" s="82">
        <f t="shared" si="39"/>
        <v>0</v>
      </c>
      <c r="W81" s="83"/>
      <c r="X81" s="82">
        <f t="shared" si="40"/>
        <v>0</v>
      </c>
      <c r="Y81" s="82"/>
      <c r="Z81" s="82">
        <f t="shared" si="41"/>
        <v>0</v>
      </c>
      <c r="AA81" s="82"/>
      <c r="AB81" s="82">
        <f t="shared" si="42"/>
        <v>0</v>
      </c>
      <c r="AC81" s="82"/>
      <c r="AD81" s="82">
        <f t="shared" si="43"/>
        <v>0</v>
      </c>
      <c r="AE81" s="82"/>
      <c r="AF81" s="82">
        <f t="shared" si="44"/>
        <v>0</v>
      </c>
      <c r="AG81" s="82"/>
      <c r="AH81" s="82">
        <f t="shared" si="45"/>
        <v>0</v>
      </c>
      <c r="AI81" s="82"/>
      <c r="AJ81" s="82">
        <f t="shared" si="46"/>
        <v>0</v>
      </c>
      <c r="AK81" s="82"/>
      <c r="AL81" s="82">
        <f t="shared" si="47"/>
        <v>0</v>
      </c>
      <c r="AM81" s="82"/>
      <c r="AN81" s="82">
        <f t="shared" si="48"/>
        <v>0</v>
      </c>
      <c r="AO81" s="82"/>
      <c r="AP81" s="82">
        <f t="shared" si="49"/>
        <v>0.20247092955487994</v>
      </c>
      <c r="AQ81" s="82"/>
      <c r="AR81" s="82">
        <f t="shared" si="50"/>
        <v>0</v>
      </c>
      <c r="AS81" s="82"/>
      <c r="AT81" s="82">
        <f t="shared" si="51"/>
        <v>0</v>
      </c>
      <c r="AU81" s="82"/>
      <c r="AV81" s="82">
        <f t="shared" si="52"/>
        <v>0</v>
      </c>
      <c r="AW81" s="82"/>
      <c r="AX81" s="82">
        <f t="shared" si="53"/>
        <v>0</v>
      </c>
      <c r="AY81" s="82"/>
      <c r="AZ81" s="82">
        <f t="shared" si="54"/>
        <v>0</v>
      </c>
      <c r="BA81" s="82"/>
      <c r="BB81" s="82">
        <f t="shared" si="55"/>
        <v>14264.99730954836</v>
      </c>
      <c r="BC81" s="82"/>
      <c r="BD81" s="82">
        <f t="shared" si="56"/>
        <v>6223.770563661094</v>
      </c>
      <c r="BE81" s="82"/>
      <c r="BF81" s="82">
        <f t="shared" si="57"/>
        <v>6675.786768847962</v>
      </c>
      <c r="BG81" s="82"/>
      <c r="BH81" s="82">
        <f t="shared" si="58"/>
        <v>10398.648687795076</v>
      </c>
      <c r="BI81" s="82"/>
      <c r="BJ81" s="82">
        <f t="shared" si="59"/>
        <v>8630.103134590323</v>
      </c>
      <c r="BK81" s="82"/>
      <c r="BL81" s="82">
        <f t="shared" si="60"/>
        <v>7963.96444664536</v>
      </c>
      <c r="BM81" s="82"/>
      <c r="BN81" s="82">
        <f t="shared" si="61"/>
        <v>7.914772700781669</v>
      </c>
      <c r="BO81" s="82"/>
      <c r="BP81" s="82">
        <f t="shared" si="62"/>
        <v>2.6636358783535714</v>
      </c>
      <c r="BQ81" s="82"/>
      <c r="BR81" s="82">
        <f t="shared" si="63"/>
        <v>8.10325973990764</v>
      </c>
      <c r="BS81" s="82"/>
      <c r="BT81" s="82">
        <f t="shared" si="64"/>
        <v>1.888928844204977</v>
      </c>
      <c r="BU81" s="82"/>
      <c r="BV81" s="82">
        <f t="shared" si="65"/>
        <v>2.64496679402722</v>
      </c>
      <c r="BW81" s="82"/>
      <c r="BX81" s="82">
        <f t="shared" si="66"/>
        <v>3.256121406094962</v>
      </c>
      <c r="BY81" s="82"/>
      <c r="BZ81" s="82">
        <f t="shared" si="67"/>
        <v>0</v>
      </c>
      <c r="CA81" s="82"/>
      <c r="CB81" s="82">
        <f t="shared" si="68"/>
        <v>0</v>
      </c>
      <c r="CC81" s="82"/>
      <c r="CD81" s="82">
        <f t="shared" si="69"/>
        <v>0</v>
      </c>
      <c r="CE81" s="82"/>
      <c r="CF81" s="82">
        <f t="shared" si="70"/>
        <v>0</v>
      </c>
      <c r="CG81" s="82"/>
      <c r="CH81" s="82">
        <f t="shared" si="71"/>
        <v>0</v>
      </c>
      <c r="CI81" s="82"/>
      <c r="CJ81" s="82">
        <f t="shared" si="72"/>
        <v>0</v>
      </c>
      <c r="CK81" s="82"/>
      <c r="CL81" s="82">
        <f t="shared" si="75"/>
        <v>14273.114553178697</v>
      </c>
      <c r="CM81" s="82"/>
      <c r="CN81" s="82">
        <f t="shared" si="75"/>
        <v>6226.434199539447</v>
      </c>
      <c r="CO81" s="82"/>
      <c r="CP81" s="82">
        <f t="shared" si="75"/>
        <v>6683.89002858787</v>
      </c>
      <c r="CQ81" s="82"/>
      <c r="CR81" s="82">
        <f t="shared" si="75"/>
        <v>10400.53761663928</v>
      </c>
      <c r="CS81" s="82"/>
      <c r="CT81" s="82">
        <f t="shared" si="75"/>
        <v>8632.74810138435</v>
      </c>
      <c r="CU81" s="82"/>
      <c r="CV81" s="82">
        <f t="shared" si="75"/>
        <v>7967.220568051455</v>
      </c>
      <c r="CW81" s="82"/>
      <c r="CX81" s="82">
        <f t="shared" si="73"/>
        <v>14273.114553178697</v>
      </c>
      <c r="CY81" s="82"/>
      <c r="CZ81" s="82">
        <f t="shared" si="73"/>
        <v>6226.434199539447</v>
      </c>
      <c r="DA81" s="82"/>
      <c r="DB81" s="82">
        <f t="shared" si="73"/>
        <v>6683.89002858787</v>
      </c>
      <c r="DC81" s="82"/>
      <c r="DD81" s="82">
        <f t="shared" si="73"/>
        <v>10400.53761663928</v>
      </c>
      <c r="DE81" s="82"/>
      <c r="DF81" s="82">
        <f t="shared" si="73"/>
        <v>8632.74810138435</v>
      </c>
      <c r="DG81" s="82"/>
      <c r="DH81" s="82">
        <f t="shared" si="73"/>
        <v>7967.220568051455</v>
      </c>
      <c r="DI81" s="82"/>
      <c r="DJ81" s="82">
        <f t="shared" si="76"/>
        <v>9030.657511230183</v>
      </c>
    </row>
    <row r="82" spans="2:114" ht="12.75">
      <c r="B82" s="53" t="s">
        <v>100</v>
      </c>
      <c r="D82" s="53" t="s">
        <v>65</v>
      </c>
      <c r="E82" s="74"/>
      <c r="F82" s="82">
        <f t="shared" si="74"/>
        <v>324.8738096948755</v>
      </c>
      <c r="G82" s="83"/>
      <c r="H82" s="82">
        <f t="shared" si="74"/>
        <v>605.9987127775275</v>
      </c>
      <c r="I82" s="83"/>
      <c r="J82" s="82">
        <f t="shared" si="33"/>
        <v>523.9766055446607</v>
      </c>
      <c r="K82" s="83"/>
      <c r="L82" s="82">
        <f t="shared" si="34"/>
        <v>651.58505080404</v>
      </c>
      <c r="M82" s="82"/>
      <c r="N82" s="82">
        <f t="shared" si="35"/>
        <v>1070.772055588059</v>
      </c>
      <c r="O82" s="82"/>
      <c r="P82" s="82">
        <f t="shared" si="36"/>
        <v>828.3835315254186</v>
      </c>
      <c r="Q82" s="83"/>
      <c r="R82" s="82">
        <f t="shared" si="37"/>
        <v>3027.860719252522</v>
      </c>
      <c r="S82" s="83"/>
      <c r="T82" s="82">
        <f t="shared" si="38"/>
        <v>3827.3602912264905</v>
      </c>
      <c r="U82" s="83"/>
      <c r="V82" s="82">
        <f t="shared" si="39"/>
        <v>3795.1975997035784</v>
      </c>
      <c r="W82" s="83"/>
      <c r="X82" s="82">
        <f t="shared" si="40"/>
        <v>4235.779832459645</v>
      </c>
      <c r="Y82" s="82"/>
      <c r="Z82" s="82">
        <f t="shared" si="41"/>
        <v>5226.0068981685845</v>
      </c>
      <c r="AA82" s="82"/>
      <c r="AB82" s="82">
        <f t="shared" si="42"/>
        <v>3625.203177566683</v>
      </c>
      <c r="AC82" s="82"/>
      <c r="AD82" s="82">
        <f t="shared" si="43"/>
        <v>2530.8866194359994</v>
      </c>
      <c r="AE82" s="82"/>
      <c r="AF82" s="82">
        <f t="shared" si="44"/>
        <v>285.3279856747676</v>
      </c>
      <c r="AG82" s="82"/>
      <c r="AH82" s="82">
        <f t="shared" si="45"/>
        <v>3555.8608141366863</v>
      </c>
      <c r="AI82" s="82"/>
      <c r="AJ82" s="82">
        <f t="shared" si="46"/>
        <v>4216.699743124241</v>
      </c>
      <c r="AK82" s="82"/>
      <c r="AL82" s="82">
        <f t="shared" si="47"/>
        <v>2820.7651912133183</v>
      </c>
      <c r="AM82" s="82"/>
      <c r="AN82" s="82">
        <f t="shared" si="48"/>
        <v>2608.177851733496</v>
      </c>
      <c r="AO82" s="82"/>
      <c r="AP82" s="82">
        <f t="shared" si="49"/>
        <v>161.05642123683634</v>
      </c>
      <c r="AQ82" s="82"/>
      <c r="AR82" s="82">
        <f t="shared" si="50"/>
        <v>224.98671982209777</v>
      </c>
      <c r="AS82" s="82"/>
      <c r="AT82" s="82">
        <f t="shared" si="51"/>
        <v>89.75129458758462</v>
      </c>
      <c r="AU82" s="82"/>
      <c r="AV82" s="82">
        <f t="shared" si="52"/>
        <v>228.9610720248457</v>
      </c>
      <c r="AW82" s="82"/>
      <c r="AX82" s="82">
        <f t="shared" si="53"/>
        <v>95.89003482878137</v>
      </c>
      <c r="AY82" s="82"/>
      <c r="AZ82" s="82">
        <f t="shared" si="54"/>
        <v>191.10233945091338</v>
      </c>
      <c r="BA82" s="82"/>
      <c r="BB82" s="82">
        <f t="shared" si="55"/>
        <v>2714.951100849526</v>
      </c>
      <c r="BC82" s="82"/>
      <c r="BD82" s="82">
        <f t="shared" si="56"/>
        <v>879.2584452817613</v>
      </c>
      <c r="BE82" s="82"/>
      <c r="BF82" s="82">
        <f t="shared" si="57"/>
        <v>940.2516575842199</v>
      </c>
      <c r="BG82" s="82"/>
      <c r="BH82" s="82">
        <f t="shared" si="58"/>
        <v>1469.1668788260934</v>
      </c>
      <c r="BI82" s="82"/>
      <c r="BJ82" s="82">
        <f t="shared" si="59"/>
        <v>1046.7995468808635</v>
      </c>
      <c r="BK82" s="82"/>
      <c r="BL82" s="82">
        <f t="shared" si="60"/>
        <v>967.8144229702907</v>
      </c>
      <c r="BM82" s="82"/>
      <c r="BN82" s="82">
        <f t="shared" si="61"/>
        <v>36076.63835705133</v>
      </c>
      <c r="BO82" s="82"/>
      <c r="BP82" s="82">
        <f t="shared" si="62"/>
        <v>8085.729624257766</v>
      </c>
      <c r="BQ82" s="82"/>
      <c r="BR82" s="82">
        <f t="shared" si="63"/>
        <v>24190.110826939475</v>
      </c>
      <c r="BS82" s="82"/>
      <c r="BT82" s="82">
        <f t="shared" si="64"/>
        <v>12592.858961366515</v>
      </c>
      <c r="BU82" s="82"/>
      <c r="BV82" s="82">
        <f t="shared" si="65"/>
        <v>7255.6793020444575</v>
      </c>
      <c r="BW82" s="82"/>
      <c r="BX82" s="82">
        <f t="shared" si="66"/>
        <v>9268.05337251211</v>
      </c>
      <c r="BY82" s="82"/>
      <c r="BZ82" s="82">
        <f t="shared" si="67"/>
        <v>0</v>
      </c>
      <c r="CA82" s="82"/>
      <c r="CB82" s="82">
        <f t="shared" si="68"/>
        <v>0</v>
      </c>
      <c r="CC82" s="82"/>
      <c r="CD82" s="82">
        <f t="shared" si="69"/>
        <v>0</v>
      </c>
      <c r="CE82" s="82"/>
      <c r="CF82" s="82">
        <f t="shared" si="70"/>
        <v>0</v>
      </c>
      <c r="CG82" s="82"/>
      <c r="CH82" s="82">
        <f t="shared" si="71"/>
        <v>0</v>
      </c>
      <c r="CI82" s="82"/>
      <c r="CJ82" s="82">
        <f t="shared" si="72"/>
        <v>0</v>
      </c>
      <c r="CK82" s="82"/>
      <c r="CL82" s="82">
        <f t="shared" si="75"/>
        <v>38952.645879137686</v>
      </c>
      <c r="CM82" s="82"/>
      <c r="CN82" s="82">
        <f t="shared" si="75"/>
        <v>9189.974789361626</v>
      </c>
      <c r="CO82" s="82"/>
      <c r="CP82" s="82">
        <f t="shared" si="75"/>
        <v>25220.11377911128</v>
      </c>
      <c r="CQ82" s="82"/>
      <c r="CR82" s="82">
        <f t="shared" si="75"/>
        <v>14290.986912217455</v>
      </c>
      <c r="CS82" s="82"/>
      <c r="CT82" s="82">
        <f t="shared" si="75"/>
        <v>8398.368883754101</v>
      </c>
      <c r="CU82" s="82"/>
      <c r="CV82" s="82">
        <f t="shared" si="75"/>
        <v>10426.970134933314</v>
      </c>
      <c r="CW82" s="82"/>
      <c r="CX82" s="82">
        <f t="shared" si="73"/>
        <v>44836.267027521084</v>
      </c>
      <c r="CY82" s="82"/>
      <c r="CZ82" s="82">
        <f t="shared" si="73"/>
        <v>13908.66177904041</v>
      </c>
      <c r="DA82" s="82"/>
      <c r="DB82" s="82">
        <f t="shared" si="73"/>
        <v>33095.1487984962</v>
      </c>
      <c r="DC82" s="82"/>
      <c r="DD82" s="82">
        <f t="shared" si="73"/>
        <v>23395.05153860538</v>
      </c>
      <c r="DE82" s="82"/>
      <c r="DF82" s="82">
        <f t="shared" si="73"/>
        <v>17515.913028724062</v>
      </c>
      <c r="DG82" s="82"/>
      <c r="DH82" s="82">
        <f t="shared" si="73"/>
        <v>17488.73469575891</v>
      </c>
      <c r="DI82" s="82"/>
      <c r="DJ82" s="82">
        <f t="shared" si="76"/>
        <v>25039.962811357673</v>
      </c>
    </row>
    <row r="83" spans="2:120" ht="12.75">
      <c r="B83" s="53" t="s">
        <v>107</v>
      </c>
      <c r="D83" s="53" t="s">
        <v>65</v>
      </c>
      <c r="E83" s="74"/>
      <c r="F83" s="82">
        <f t="shared" si="74"/>
        <v>14.172965068841592</v>
      </c>
      <c r="G83" s="83"/>
      <c r="H83" s="82">
        <f t="shared" si="74"/>
        <v>17.06795805546948</v>
      </c>
      <c r="I83" s="83"/>
      <c r="J83" s="82">
        <f t="shared" si="33"/>
        <v>13.163523206179075</v>
      </c>
      <c r="K83" s="83"/>
      <c r="L83" s="82">
        <f t="shared" si="34"/>
        <v>20.98809826894418</v>
      </c>
      <c r="M83" s="82"/>
      <c r="N83" s="82">
        <f t="shared" si="35"/>
        <v>29.96563588399418</v>
      </c>
      <c r="O83" s="82"/>
      <c r="P83" s="82">
        <f t="shared" si="36"/>
        <v>27.14801474603104</v>
      </c>
      <c r="Q83" s="83" t="s">
        <v>12</v>
      </c>
      <c r="R83" s="82">
        <f t="shared" si="37"/>
        <v>81.17243630336547</v>
      </c>
      <c r="S83" s="83" t="s">
        <v>12</v>
      </c>
      <c r="T83" s="82">
        <f t="shared" si="38"/>
        <v>76.02999497436404</v>
      </c>
      <c r="U83" s="83" t="s">
        <v>12</v>
      </c>
      <c r="V83" s="82">
        <f t="shared" si="39"/>
        <v>75.39108745357107</v>
      </c>
      <c r="W83" s="83" t="s">
        <v>12</v>
      </c>
      <c r="X83" s="82">
        <f t="shared" si="40"/>
        <v>84.1431939691308</v>
      </c>
      <c r="Y83" s="82" t="s">
        <v>12</v>
      </c>
      <c r="Z83" s="82">
        <f t="shared" si="41"/>
        <v>70.4791755991543</v>
      </c>
      <c r="AA83" s="82" t="s">
        <v>12</v>
      </c>
      <c r="AB83" s="82">
        <f t="shared" si="42"/>
        <v>72.34002720845734</v>
      </c>
      <c r="AC83" s="82"/>
      <c r="AD83" s="82">
        <f t="shared" si="43"/>
        <v>0</v>
      </c>
      <c r="AE83" s="82"/>
      <c r="AF83" s="82">
        <f t="shared" si="44"/>
        <v>0</v>
      </c>
      <c r="AG83" s="82"/>
      <c r="AH83" s="82">
        <f t="shared" si="45"/>
        <v>3.7695543726785536</v>
      </c>
      <c r="AI83" s="82"/>
      <c r="AJ83" s="82">
        <f t="shared" si="46"/>
        <v>4.20715969845654</v>
      </c>
      <c r="AK83" s="82"/>
      <c r="AL83" s="82">
        <f t="shared" si="47"/>
        <v>1.757983971860992</v>
      </c>
      <c r="AM83" s="82"/>
      <c r="AN83" s="82">
        <f t="shared" si="48"/>
        <v>0</v>
      </c>
      <c r="AO83" s="82"/>
      <c r="AP83" s="82">
        <f t="shared" si="49"/>
        <v>0</v>
      </c>
      <c r="AQ83" s="82"/>
      <c r="AR83" s="82">
        <f t="shared" si="50"/>
        <v>0</v>
      </c>
      <c r="AS83" s="82"/>
      <c r="AT83" s="82">
        <f t="shared" si="51"/>
        <v>0</v>
      </c>
      <c r="AU83" s="82"/>
      <c r="AV83" s="82">
        <f t="shared" si="52"/>
        <v>0.2098809826894419</v>
      </c>
      <c r="AW83" s="82"/>
      <c r="AX83" s="82">
        <f t="shared" si="53"/>
        <v>0</v>
      </c>
      <c r="AY83" s="82"/>
      <c r="AZ83" s="82">
        <f t="shared" si="54"/>
        <v>0.18043997716395255</v>
      </c>
      <c r="BA83" s="82"/>
      <c r="BB83" s="82">
        <f t="shared" si="55"/>
        <v>1.4172965068841592</v>
      </c>
      <c r="BC83" s="82"/>
      <c r="BD83" s="82">
        <f t="shared" si="56"/>
        <v>0.5697939532659256</v>
      </c>
      <c r="BE83" s="82"/>
      <c r="BF83" s="82">
        <f t="shared" si="57"/>
        <v>0.5650057687846993</v>
      </c>
      <c r="BG83" s="82"/>
      <c r="BH83" s="82">
        <f t="shared" si="58"/>
        <v>0.841431939691308</v>
      </c>
      <c r="BI83" s="82"/>
      <c r="BJ83" s="82">
        <f t="shared" si="59"/>
        <v>0.5281942751818707</v>
      </c>
      <c r="BK83" s="82"/>
      <c r="BL83" s="82">
        <f t="shared" si="60"/>
        <v>0.5421401132062392</v>
      </c>
      <c r="BM83" s="82"/>
      <c r="BN83" s="82">
        <f t="shared" si="61"/>
        <v>4.666034603832913</v>
      </c>
      <c r="BO83" s="82"/>
      <c r="BP83" s="82">
        <f t="shared" si="62"/>
        <v>0.948219891970527</v>
      </c>
      <c r="BQ83" s="82"/>
      <c r="BR83" s="82">
        <f t="shared" si="63"/>
        <v>3.393453709644866</v>
      </c>
      <c r="BS83" s="82"/>
      <c r="BT83" s="82">
        <f t="shared" si="64"/>
        <v>1.679047861515535</v>
      </c>
      <c r="BU83" s="82"/>
      <c r="BV83" s="82">
        <f t="shared" si="65"/>
        <v>1.5821855746748925</v>
      </c>
      <c r="BW83" s="82"/>
      <c r="BX83" s="82">
        <f t="shared" si="66"/>
        <v>1.993041565947294</v>
      </c>
      <c r="BY83" s="82"/>
      <c r="BZ83" s="82">
        <f t="shared" si="67"/>
        <v>0</v>
      </c>
      <c r="CA83" s="82"/>
      <c r="CB83" s="82">
        <f t="shared" si="68"/>
        <v>0</v>
      </c>
      <c r="CC83" s="82"/>
      <c r="CD83" s="82">
        <f t="shared" si="69"/>
        <v>0</v>
      </c>
      <c r="CE83" s="82"/>
      <c r="CF83" s="82">
        <f t="shared" si="70"/>
        <v>0</v>
      </c>
      <c r="CG83" s="82"/>
      <c r="CH83" s="82">
        <f t="shared" si="71"/>
        <v>0</v>
      </c>
      <c r="CI83" s="82"/>
      <c r="CJ83" s="82">
        <f t="shared" si="72"/>
        <v>0</v>
      </c>
      <c r="CK83" s="82"/>
      <c r="CL83" s="82">
        <f t="shared" si="75"/>
        <v>6.083331110717072</v>
      </c>
      <c r="CM83" s="82"/>
      <c r="CN83" s="82">
        <f t="shared" si="75"/>
        <v>1.5180138452364527</v>
      </c>
      <c r="CO83" s="82"/>
      <c r="CP83" s="82">
        <f t="shared" si="75"/>
        <v>3.9584594784295652</v>
      </c>
      <c r="CQ83" s="82"/>
      <c r="CR83" s="82">
        <f t="shared" si="75"/>
        <v>2.730360783896285</v>
      </c>
      <c r="CS83" s="82"/>
      <c r="CT83" s="82">
        <f t="shared" si="75"/>
        <v>2.110379849856763</v>
      </c>
      <c r="CU83" s="82"/>
      <c r="CV83" s="82">
        <f t="shared" si="75"/>
        <v>2.7156216563174858</v>
      </c>
      <c r="CW83" s="82"/>
      <c r="CX83" s="82">
        <f>F83+R83+AD83+AP83+BB83+BN83+BZ83</f>
        <v>101.42873248292413</v>
      </c>
      <c r="CY83" s="82"/>
      <c r="CZ83" s="82">
        <f>H83+T83+AF83+AR83+BD83+BP83+CB83</f>
        <v>94.61596687506997</v>
      </c>
      <c r="DA83" s="82"/>
      <c r="DB83" s="82">
        <f>J83+V83+AH83+AT83+BF83+BR83+CD83</f>
        <v>96.28262451085827</v>
      </c>
      <c r="DC83" s="82"/>
      <c r="DD83" s="82">
        <f>L83+X83+AJ83+AV83+BH83+BT83+CF83</f>
        <v>112.06881272042781</v>
      </c>
      <c r="DE83" s="82"/>
      <c r="DF83" s="82">
        <f>N83+Z83+AL83+AX83+BJ83+BV83+CH83</f>
        <v>104.31317530486625</v>
      </c>
      <c r="DG83" s="82"/>
      <c r="DH83" s="82">
        <f>P83+AB83+AN83+AZ83+BL83+BX83+CJ83</f>
        <v>102.20366361080588</v>
      </c>
      <c r="DI83" s="82"/>
      <c r="DJ83" s="82">
        <f t="shared" si="76"/>
        <v>101.81882925082539</v>
      </c>
      <c r="DM83" s="55">
        <f>AVERAGE(AD83,AF83,AH83,AJ83,AL83,AN83)</f>
        <v>1.622449673832681</v>
      </c>
      <c r="DN83" s="55">
        <f>AVERAGE(AP83,AR83,AT83,AV83,AX83,AZ83)+AVERAGE(BB83,BD83,BF83,BH83,BJ83,BL83)+AVERAGE(BN83,BP83,BR83,BT83,BV83,BX83)+AVERAGE(BZ83,CB83,CD83,CF83,CH83,CJ83)</f>
        <v>3.1860277874089373</v>
      </c>
      <c r="DO83" s="55">
        <f>AVERAGE(F83,H83,J83,L83,N83,P83)+AVERAGE(R83,T83,V83,X83,Z83,AB83)/2</f>
        <v>58.71402549724685</v>
      </c>
      <c r="DP83" s="55">
        <f>SUM(DM83,DN83,DO83)</f>
        <v>63.52250295848847</v>
      </c>
    </row>
    <row r="84" spans="2:114" ht="12.75">
      <c r="B84" s="53" t="s">
        <v>101</v>
      </c>
      <c r="D84" s="53" t="s">
        <v>65</v>
      </c>
      <c r="E84" s="74"/>
      <c r="F84" s="82">
        <f t="shared" si="74"/>
        <v>1021.5578718450761</v>
      </c>
      <c r="G84" s="83"/>
      <c r="H84" s="82">
        <f t="shared" si="74"/>
        <v>939.599711134431</v>
      </c>
      <c r="I84" s="83"/>
      <c r="J84" s="82">
        <f t="shared" si="33"/>
        <v>523.9766055446607</v>
      </c>
      <c r="K84" s="83"/>
      <c r="L84" s="82">
        <f t="shared" si="34"/>
        <v>551.41458179317</v>
      </c>
      <c r="M84" s="82"/>
      <c r="N84" s="82">
        <f t="shared" si="35"/>
        <v>990.8636932307408</v>
      </c>
      <c r="O84" s="82"/>
      <c r="P84" s="82">
        <f t="shared" si="36"/>
        <v>967.8144229702907</v>
      </c>
      <c r="Q84" s="83"/>
      <c r="R84" s="82">
        <f t="shared" si="37"/>
        <v>3276.347769160784</v>
      </c>
      <c r="S84" s="83"/>
      <c r="T84" s="82">
        <f t="shared" si="38"/>
        <v>3827.3602912264905</v>
      </c>
      <c r="U84" s="83"/>
      <c r="V84" s="82">
        <f t="shared" si="39"/>
        <v>4564.494410454305</v>
      </c>
      <c r="W84" s="83"/>
      <c r="X84" s="82">
        <f t="shared" si="40"/>
        <v>5094.383852552817</v>
      </c>
      <c r="Y84" s="82"/>
      <c r="Z84" s="82">
        <f t="shared" si="41"/>
        <v>3531.949616193447</v>
      </c>
      <c r="AA84" s="82"/>
      <c r="AB84" s="82">
        <f t="shared" si="42"/>
        <v>3625.203177566683</v>
      </c>
      <c r="AC84" s="82"/>
      <c r="AD84" s="82">
        <f t="shared" si="43"/>
        <v>296.3438150757787</v>
      </c>
      <c r="AE84" s="82"/>
      <c r="AF84" s="82">
        <f t="shared" si="44"/>
        <v>170.67958055469484</v>
      </c>
      <c r="AG84" s="82"/>
      <c r="AH84" s="82">
        <f t="shared" si="45"/>
        <v>548.7650583355173</v>
      </c>
      <c r="AI84" s="82"/>
      <c r="AJ84" s="82">
        <f t="shared" si="46"/>
        <v>702.1472875428602</v>
      </c>
      <c r="AK84" s="82"/>
      <c r="AL84" s="82">
        <f t="shared" si="47"/>
        <v>73.99514354287629</v>
      </c>
      <c r="AM84" s="82"/>
      <c r="AN84" s="82">
        <f t="shared" si="48"/>
        <v>0</v>
      </c>
      <c r="AO84" s="82"/>
      <c r="AP84" s="82">
        <f t="shared" si="49"/>
        <v>44.45157226136681</v>
      </c>
      <c r="AQ84" s="82"/>
      <c r="AR84" s="82">
        <f t="shared" si="50"/>
        <v>31.37745824338834</v>
      </c>
      <c r="AS84" s="82"/>
      <c r="AT84" s="82">
        <f t="shared" si="51"/>
        <v>38.80675023120326</v>
      </c>
      <c r="AU84" s="82"/>
      <c r="AV84" s="82">
        <f t="shared" si="52"/>
        <v>42.45319877127347</v>
      </c>
      <c r="AW84" s="82"/>
      <c r="AX84" s="82">
        <f t="shared" si="53"/>
        <v>15.182588847890383</v>
      </c>
      <c r="AY84" s="82"/>
      <c r="AZ84" s="82">
        <f t="shared" si="54"/>
        <v>30.018650746366646</v>
      </c>
      <c r="BA84" s="82"/>
      <c r="BB84" s="82">
        <f t="shared" si="55"/>
        <v>473.04571723276484</v>
      </c>
      <c r="BC84" s="82"/>
      <c r="BD84" s="82">
        <f t="shared" si="56"/>
        <v>193.9540688121532</v>
      </c>
      <c r="BE84" s="82"/>
      <c r="BF84" s="82">
        <f t="shared" si="57"/>
        <v>207.71013890269586</v>
      </c>
      <c r="BG84" s="82"/>
      <c r="BH84" s="82">
        <f t="shared" si="58"/>
        <v>324.3615187018648</v>
      </c>
      <c r="BI84" s="82"/>
      <c r="BJ84" s="82">
        <f t="shared" si="59"/>
        <v>238.92600344838021</v>
      </c>
      <c r="BK84" s="82"/>
      <c r="BL84" s="82">
        <f t="shared" si="60"/>
        <v>221.4490628830327</v>
      </c>
      <c r="BM84" s="82"/>
      <c r="BN84" s="82">
        <f t="shared" si="61"/>
        <v>890.8720900414716</v>
      </c>
      <c r="BO84" s="82"/>
      <c r="BP84" s="82">
        <f t="shared" si="62"/>
        <v>164.64545396942785</v>
      </c>
      <c r="BQ84" s="82"/>
      <c r="BR84" s="82">
        <f t="shared" si="63"/>
        <v>597.4871896830632</v>
      </c>
      <c r="BS84" s="82"/>
      <c r="BT84" s="82">
        <f t="shared" si="64"/>
        <v>341.53359910372814</v>
      </c>
      <c r="BU84" s="82"/>
      <c r="BV84" s="82">
        <f t="shared" si="65"/>
        <v>267.69301389701474</v>
      </c>
      <c r="BW84" s="82"/>
      <c r="BX84" s="82">
        <f t="shared" si="66"/>
        <v>342.83595661150986</v>
      </c>
      <c r="BY84" s="82"/>
      <c r="BZ84" s="82">
        <f t="shared" si="67"/>
        <v>0</v>
      </c>
      <c r="CA84" s="82"/>
      <c r="CB84" s="82">
        <f t="shared" si="68"/>
        <v>0</v>
      </c>
      <c r="CC84" s="82"/>
      <c r="CD84" s="82">
        <f t="shared" si="69"/>
        <v>0</v>
      </c>
      <c r="CE84" s="82"/>
      <c r="CF84" s="82">
        <f t="shared" si="70"/>
        <v>0</v>
      </c>
      <c r="CG84" s="82"/>
      <c r="CH84" s="82">
        <f t="shared" si="71"/>
        <v>0</v>
      </c>
      <c r="CI84" s="82"/>
      <c r="CJ84" s="82">
        <f t="shared" si="72"/>
        <v>0</v>
      </c>
      <c r="CK84" s="82"/>
      <c r="CL84" s="82">
        <f t="shared" si="75"/>
        <v>1408.3693795356032</v>
      </c>
      <c r="CM84" s="82"/>
      <c r="CN84" s="82">
        <f t="shared" si="75"/>
        <v>389.9769810249694</v>
      </c>
      <c r="CO84" s="82"/>
      <c r="CP84" s="82">
        <f t="shared" si="75"/>
        <v>844.0040788169624</v>
      </c>
      <c r="CQ84" s="82"/>
      <c r="CR84" s="82">
        <f t="shared" si="75"/>
        <v>708.3483165768664</v>
      </c>
      <c r="CS84" s="82"/>
      <c r="CT84" s="82">
        <f t="shared" si="75"/>
        <v>521.8016061932854</v>
      </c>
      <c r="CU84" s="82"/>
      <c r="CV84" s="82">
        <f t="shared" si="75"/>
        <v>594.3036702409092</v>
      </c>
      <c r="CW84" s="82"/>
      <c r="CX84" s="82">
        <f t="shared" si="73"/>
        <v>6002.618835617242</v>
      </c>
      <c r="CY84" s="82"/>
      <c r="CZ84" s="82">
        <f t="shared" si="73"/>
        <v>5327.616563940585</v>
      </c>
      <c r="DA84" s="82"/>
      <c r="DB84" s="82">
        <f t="shared" si="73"/>
        <v>6481.240153151444</v>
      </c>
      <c r="DC84" s="82"/>
      <c r="DD84" s="82">
        <f t="shared" si="73"/>
        <v>7056.294038465714</v>
      </c>
      <c r="DE84" s="82"/>
      <c r="DF84" s="82">
        <f t="shared" si="73"/>
        <v>5118.61005916035</v>
      </c>
      <c r="DG84" s="82"/>
      <c r="DH84" s="82">
        <f t="shared" si="73"/>
        <v>5187.321270777883</v>
      </c>
      <c r="DI84" s="82"/>
      <c r="DJ84" s="82">
        <f t="shared" si="76"/>
        <v>5862.283486852203</v>
      </c>
    </row>
    <row r="85" spans="2:114" ht="12.75">
      <c r="B85" s="53" t="s">
        <v>103</v>
      </c>
      <c r="D85" s="53" t="s">
        <v>65</v>
      </c>
      <c r="E85" s="74" t="s">
        <v>12</v>
      </c>
      <c r="F85" s="82">
        <f t="shared" si="74"/>
        <v>28.43796237838995</v>
      </c>
      <c r="G85" s="83" t="s">
        <v>12</v>
      </c>
      <c r="H85" s="82">
        <f t="shared" si="74"/>
        <v>43.704316839005195</v>
      </c>
      <c r="I85" s="83" t="s">
        <v>12</v>
      </c>
      <c r="J85" s="82">
        <f t="shared" si="33"/>
        <v>43.33705367229086</v>
      </c>
      <c r="K85" s="83" t="s">
        <v>12</v>
      </c>
      <c r="L85" s="82">
        <f t="shared" si="34"/>
        <v>39.97278715767097</v>
      </c>
      <c r="M85" s="82" t="s">
        <v>12</v>
      </c>
      <c r="N85" s="82">
        <f t="shared" si="35"/>
        <v>52.81942751818708</v>
      </c>
      <c r="O85" s="82" t="s">
        <v>12</v>
      </c>
      <c r="P85" s="82">
        <f t="shared" si="36"/>
        <v>61.51362857862019</v>
      </c>
      <c r="Q85" s="83" t="s">
        <v>12</v>
      </c>
      <c r="R85" s="82">
        <f t="shared" si="37"/>
        <v>736.2579256541087</v>
      </c>
      <c r="S85" s="83" t="s">
        <v>12</v>
      </c>
      <c r="T85" s="82">
        <f t="shared" si="38"/>
        <v>763.7480220780785</v>
      </c>
      <c r="U85" s="83" t="s">
        <v>12</v>
      </c>
      <c r="V85" s="82">
        <f t="shared" si="39"/>
        <v>608.5992547272403</v>
      </c>
      <c r="W85" s="83" t="s">
        <v>12</v>
      </c>
      <c r="X85" s="82">
        <f t="shared" si="40"/>
        <v>847.1559664919292</v>
      </c>
      <c r="Y85" s="82" t="s">
        <v>12</v>
      </c>
      <c r="Z85" s="82">
        <f t="shared" si="41"/>
        <v>636.0705643642499</v>
      </c>
      <c r="AA85" s="82" t="s">
        <v>12</v>
      </c>
      <c r="AB85" s="82">
        <f t="shared" si="42"/>
        <v>652.8646446477558</v>
      </c>
      <c r="AC85" s="82"/>
      <c r="AD85" s="82">
        <f t="shared" si="43"/>
        <v>0</v>
      </c>
      <c r="AE85" s="82"/>
      <c r="AF85" s="82">
        <f t="shared" si="44"/>
        <v>0</v>
      </c>
      <c r="AG85" s="82"/>
      <c r="AH85" s="82">
        <f t="shared" si="45"/>
        <v>0</v>
      </c>
      <c r="AI85" s="82"/>
      <c r="AJ85" s="82">
        <f t="shared" si="46"/>
        <v>42.0715969845654</v>
      </c>
      <c r="AK85" s="82"/>
      <c r="AL85" s="82">
        <f t="shared" si="47"/>
        <v>0</v>
      </c>
      <c r="AM85" s="82"/>
      <c r="AN85" s="82">
        <f t="shared" si="48"/>
        <v>0</v>
      </c>
      <c r="AO85" s="82"/>
      <c r="AP85" s="82">
        <f t="shared" si="49"/>
        <v>0</v>
      </c>
      <c r="AQ85" s="82"/>
      <c r="AR85" s="82">
        <f t="shared" si="50"/>
        <v>0</v>
      </c>
      <c r="AS85" s="82"/>
      <c r="AT85" s="82">
        <f t="shared" si="51"/>
        <v>0</v>
      </c>
      <c r="AU85" s="82"/>
      <c r="AV85" s="82">
        <f t="shared" si="52"/>
        <v>0</v>
      </c>
      <c r="AW85" s="82"/>
      <c r="AX85" s="82">
        <f t="shared" si="53"/>
        <v>0</v>
      </c>
      <c r="AY85" s="82"/>
      <c r="AZ85" s="82">
        <f t="shared" si="54"/>
        <v>0</v>
      </c>
      <c r="BA85" s="82"/>
      <c r="BB85" s="82">
        <f t="shared" si="55"/>
        <v>0</v>
      </c>
      <c r="BC85" s="82"/>
      <c r="BD85" s="82">
        <f t="shared" si="56"/>
        <v>0</v>
      </c>
      <c r="BE85" s="82"/>
      <c r="BF85" s="82">
        <f t="shared" si="57"/>
        <v>0</v>
      </c>
      <c r="BG85" s="82"/>
      <c r="BH85" s="82">
        <f t="shared" si="58"/>
        <v>0</v>
      </c>
      <c r="BI85" s="82"/>
      <c r="BJ85" s="82">
        <f t="shared" si="59"/>
        <v>0</v>
      </c>
      <c r="BK85" s="82"/>
      <c r="BL85" s="82">
        <f t="shared" si="60"/>
        <v>0</v>
      </c>
      <c r="BM85" s="82"/>
      <c r="BN85" s="82">
        <f t="shared" si="61"/>
        <v>0</v>
      </c>
      <c r="BO85" s="82"/>
      <c r="BP85" s="82">
        <f t="shared" si="62"/>
        <v>0</v>
      </c>
      <c r="BQ85" s="82"/>
      <c r="BR85" s="82">
        <f t="shared" si="63"/>
        <v>0</v>
      </c>
      <c r="BS85" s="82"/>
      <c r="BT85" s="82">
        <f t="shared" si="64"/>
        <v>0</v>
      </c>
      <c r="BU85" s="82"/>
      <c r="BV85" s="82">
        <f t="shared" si="65"/>
        <v>0</v>
      </c>
      <c r="BW85" s="82"/>
      <c r="BX85" s="82">
        <f t="shared" si="66"/>
        <v>0</v>
      </c>
      <c r="BY85" s="82"/>
      <c r="BZ85" s="82">
        <f t="shared" si="67"/>
        <v>0</v>
      </c>
      <c r="CA85" s="82"/>
      <c r="CB85" s="82">
        <f t="shared" si="68"/>
        <v>0</v>
      </c>
      <c r="CC85" s="82"/>
      <c r="CD85" s="82">
        <f t="shared" si="69"/>
        <v>0</v>
      </c>
      <c r="CE85" s="82"/>
      <c r="CF85" s="82">
        <f t="shared" si="70"/>
        <v>0</v>
      </c>
      <c r="CG85" s="82"/>
      <c r="CH85" s="82">
        <f t="shared" si="71"/>
        <v>0</v>
      </c>
      <c r="CI85" s="82"/>
      <c r="CJ85" s="82">
        <f t="shared" si="72"/>
        <v>0</v>
      </c>
      <c r="CK85" s="82"/>
      <c r="CL85" s="82">
        <f t="shared" si="75"/>
        <v>0</v>
      </c>
      <c r="CM85" s="82"/>
      <c r="CN85" s="82">
        <f t="shared" si="75"/>
        <v>0</v>
      </c>
      <c r="CO85" s="82"/>
      <c r="CP85" s="82">
        <f t="shared" si="75"/>
        <v>0</v>
      </c>
      <c r="CQ85" s="82"/>
      <c r="CR85" s="82">
        <f t="shared" si="75"/>
        <v>0</v>
      </c>
      <c r="CS85" s="82"/>
      <c r="CT85" s="82">
        <f t="shared" si="75"/>
        <v>0</v>
      </c>
      <c r="CU85" s="82"/>
      <c r="CV85" s="82">
        <f t="shared" si="75"/>
        <v>0</v>
      </c>
      <c r="CW85" s="82"/>
      <c r="CX85" s="82">
        <f t="shared" si="73"/>
        <v>764.6958880324986</v>
      </c>
      <c r="CY85" s="82"/>
      <c r="CZ85" s="82">
        <f t="shared" si="73"/>
        <v>807.4523389170837</v>
      </c>
      <c r="DA85" s="82"/>
      <c r="DB85" s="82">
        <f t="shared" si="73"/>
        <v>651.9363083995312</v>
      </c>
      <c r="DC85" s="82"/>
      <c r="DD85" s="82">
        <f t="shared" si="73"/>
        <v>929.2003506341656</v>
      </c>
      <c r="DE85" s="82"/>
      <c r="DF85" s="82">
        <f t="shared" si="73"/>
        <v>688.889991882437</v>
      </c>
      <c r="DG85" s="82"/>
      <c r="DH85" s="82">
        <f t="shared" si="73"/>
        <v>714.378273226376</v>
      </c>
      <c r="DI85" s="82"/>
      <c r="DJ85" s="82">
        <f t="shared" si="76"/>
        <v>759.4255251820153</v>
      </c>
    </row>
    <row r="86" spans="2:114" ht="12.75">
      <c r="B86" s="53" t="s">
        <v>98</v>
      </c>
      <c r="D86" s="53" t="s">
        <v>65</v>
      </c>
      <c r="E86" s="74" t="s">
        <v>12</v>
      </c>
      <c r="F86" s="82">
        <f t="shared" si="74"/>
        <v>36.53679956058514</v>
      </c>
      <c r="G86" s="83" t="s">
        <v>12</v>
      </c>
      <c r="H86" s="82">
        <f t="shared" si="74"/>
        <v>32.32567813535887</v>
      </c>
      <c r="I86" s="83" t="s">
        <v>12</v>
      </c>
      <c r="J86" s="82">
        <f t="shared" si="33"/>
        <v>35.815040411617105</v>
      </c>
      <c r="K86" s="83" t="s">
        <v>12</v>
      </c>
      <c r="L86" s="82">
        <f t="shared" si="34"/>
        <v>44.17040681145981</v>
      </c>
      <c r="M86" s="82" t="s">
        <v>12</v>
      </c>
      <c r="N86" s="82">
        <f t="shared" si="35"/>
        <v>61.689255739849344</v>
      </c>
      <c r="O86" s="82" t="s">
        <v>12</v>
      </c>
      <c r="P86" s="82">
        <f t="shared" si="36"/>
        <v>61.51362857862019</v>
      </c>
      <c r="Q86" s="83" t="s">
        <v>12</v>
      </c>
      <c r="R86" s="82">
        <f t="shared" si="37"/>
        <v>736.2579256541087</v>
      </c>
      <c r="S86" s="83" t="s">
        <v>12</v>
      </c>
      <c r="T86" s="82">
        <f t="shared" si="38"/>
        <v>763.7480220780785</v>
      </c>
      <c r="U86" s="83" t="s">
        <v>12</v>
      </c>
      <c r="V86" s="82">
        <f t="shared" si="39"/>
        <v>759.0395199407158</v>
      </c>
      <c r="W86" s="83" t="s">
        <v>12</v>
      </c>
      <c r="X86" s="82">
        <f t="shared" si="40"/>
        <v>847.1559664919292</v>
      </c>
      <c r="Y86" s="82" t="s">
        <v>12</v>
      </c>
      <c r="Z86" s="82">
        <f t="shared" si="41"/>
        <v>706.3899232386894</v>
      </c>
      <c r="AA86" s="82" t="s">
        <v>12</v>
      </c>
      <c r="AB86" s="82">
        <f t="shared" si="42"/>
        <v>725.0406355133365</v>
      </c>
      <c r="AC86" s="82"/>
      <c r="AD86" s="82">
        <f t="shared" si="43"/>
        <v>0</v>
      </c>
      <c r="AE86" s="82"/>
      <c r="AF86" s="82">
        <f t="shared" si="44"/>
        <v>0</v>
      </c>
      <c r="AG86" s="82"/>
      <c r="AH86" s="82">
        <f t="shared" si="45"/>
        <v>0</v>
      </c>
      <c r="AI86" s="82"/>
      <c r="AJ86" s="82">
        <f t="shared" si="46"/>
        <v>0</v>
      </c>
      <c r="AK86" s="82"/>
      <c r="AL86" s="82">
        <f t="shared" si="47"/>
        <v>0</v>
      </c>
      <c r="AM86" s="82"/>
      <c r="AN86" s="82">
        <f t="shared" si="48"/>
        <v>19.930415659472935</v>
      </c>
      <c r="AO86" s="82"/>
      <c r="AP86" s="82">
        <f t="shared" si="49"/>
        <v>0</v>
      </c>
      <c r="AQ86" s="82"/>
      <c r="AR86" s="82">
        <f t="shared" si="50"/>
        <v>0</v>
      </c>
      <c r="AS86" s="82"/>
      <c r="AT86" s="82">
        <f t="shared" si="51"/>
        <v>0</v>
      </c>
      <c r="AU86" s="82"/>
      <c r="AV86" s="82">
        <f t="shared" si="52"/>
        <v>0</v>
      </c>
      <c r="AW86" s="82"/>
      <c r="AX86" s="82">
        <f t="shared" si="53"/>
        <v>0</v>
      </c>
      <c r="AY86" s="82"/>
      <c r="AZ86" s="82">
        <f t="shared" si="54"/>
        <v>0</v>
      </c>
      <c r="BA86" s="82"/>
      <c r="BB86" s="82">
        <f t="shared" si="55"/>
        <v>0</v>
      </c>
      <c r="BC86" s="82"/>
      <c r="BD86" s="82">
        <f t="shared" si="56"/>
        <v>0</v>
      </c>
      <c r="BE86" s="82"/>
      <c r="BF86" s="82">
        <f t="shared" si="57"/>
        <v>0</v>
      </c>
      <c r="BG86" s="82"/>
      <c r="BH86" s="82">
        <f t="shared" si="58"/>
        <v>0</v>
      </c>
      <c r="BI86" s="82"/>
      <c r="BJ86" s="82">
        <f t="shared" si="59"/>
        <v>0</v>
      </c>
      <c r="BK86" s="82"/>
      <c r="BL86" s="82">
        <f t="shared" si="60"/>
        <v>0</v>
      </c>
      <c r="BM86" s="82"/>
      <c r="BN86" s="82">
        <f t="shared" si="61"/>
        <v>0</v>
      </c>
      <c r="BO86" s="82"/>
      <c r="BP86" s="82">
        <f t="shared" si="62"/>
        <v>0</v>
      </c>
      <c r="BQ86" s="82"/>
      <c r="BR86" s="82">
        <f t="shared" si="63"/>
        <v>0</v>
      </c>
      <c r="BS86" s="82"/>
      <c r="BT86" s="82">
        <f t="shared" si="64"/>
        <v>0</v>
      </c>
      <c r="BU86" s="82"/>
      <c r="BV86" s="82">
        <f t="shared" si="65"/>
        <v>0</v>
      </c>
      <c r="BW86" s="82"/>
      <c r="BX86" s="82">
        <f t="shared" si="66"/>
        <v>0</v>
      </c>
      <c r="BY86" s="82"/>
      <c r="BZ86" s="82">
        <f t="shared" si="67"/>
        <v>0</v>
      </c>
      <c r="CA86" s="82"/>
      <c r="CB86" s="82">
        <f t="shared" si="68"/>
        <v>0</v>
      </c>
      <c r="CC86" s="82"/>
      <c r="CD86" s="82">
        <f t="shared" si="69"/>
        <v>0</v>
      </c>
      <c r="CE86" s="82"/>
      <c r="CF86" s="82">
        <f t="shared" si="70"/>
        <v>0</v>
      </c>
      <c r="CG86" s="82"/>
      <c r="CH86" s="82">
        <f t="shared" si="71"/>
        <v>0</v>
      </c>
      <c r="CI86" s="82"/>
      <c r="CJ86" s="82">
        <f t="shared" si="72"/>
        <v>0</v>
      </c>
      <c r="CK86" s="82"/>
      <c r="CL86" s="82">
        <f t="shared" si="75"/>
        <v>0</v>
      </c>
      <c r="CM86" s="82"/>
      <c r="CN86" s="82">
        <f t="shared" si="75"/>
        <v>0</v>
      </c>
      <c r="CO86" s="82"/>
      <c r="CP86" s="82">
        <f t="shared" si="75"/>
        <v>0</v>
      </c>
      <c r="CQ86" s="82"/>
      <c r="CR86" s="82">
        <f t="shared" si="75"/>
        <v>0</v>
      </c>
      <c r="CS86" s="82"/>
      <c r="CT86" s="82">
        <f t="shared" si="75"/>
        <v>0</v>
      </c>
      <c r="CU86" s="82"/>
      <c r="CV86" s="82">
        <f t="shared" si="75"/>
        <v>0</v>
      </c>
      <c r="CW86" s="82"/>
      <c r="CX86" s="82">
        <f t="shared" si="73"/>
        <v>772.7947252146938</v>
      </c>
      <c r="CY86" s="82"/>
      <c r="CZ86" s="82">
        <f t="shared" si="73"/>
        <v>796.0737002134374</v>
      </c>
      <c r="DA86" s="82"/>
      <c r="DB86" s="82">
        <f t="shared" si="73"/>
        <v>794.8545603523329</v>
      </c>
      <c r="DC86" s="82"/>
      <c r="DD86" s="82">
        <f t="shared" si="73"/>
        <v>891.326373303389</v>
      </c>
      <c r="DE86" s="82"/>
      <c r="DF86" s="82">
        <f t="shared" si="73"/>
        <v>768.0791789785388</v>
      </c>
      <c r="DG86" s="82"/>
      <c r="DH86" s="82">
        <f t="shared" si="73"/>
        <v>806.4846797514297</v>
      </c>
      <c r="DI86" s="82"/>
      <c r="DJ86" s="82">
        <f t="shared" si="76"/>
        <v>804.9355363023037</v>
      </c>
    </row>
    <row r="87" spans="2:120" ht="12.75">
      <c r="B87" s="53" t="s">
        <v>72</v>
      </c>
      <c r="D87" s="53" t="s">
        <v>65</v>
      </c>
      <c r="F87" s="82">
        <f>F79+F82</f>
        <v>347.23764418661904</v>
      </c>
      <c r="G87" s="83"/>
      <c r="H87" s="82">
        <f>H79+H82</f>
        <v>748.2316965731065</v>
      </c>
      <c r="I87" s="83"/>
      <c r="J87" s="82">
        <f>J79+J82</f>
        <v>706.8982916564999</v>
      </c>
      <c r="K87" s="83"/>
      <c r="L87" s="82">
        <f>L79+L82</f>
        <v>702.051887096183</v>
      </c>
      <c r="M87" s="82"/>
      <c r="N87" s="82">
        <f>N79/2+N82</f>
        <v>1085.754873530056</v>
      </c>
      <c r="O87" s="82"/>
      <c r="P87" s="82">
        <f>P79+P82</f>
        <v>869.9667444445658</v>
      </c>
      <c r="Q87" s="83"/>
      <c r="R87" s="82">
        <f>R79/2+R82</f>
        <v>3232.632454825071</v>
      </c>
      <c r="S87" s="83"/>
      <c r="T87" s="82">
        <f>T79/2+T82</f>
        <v>4018.29729674601</v>
      </c>
      <c r="U87" s="83"/>
      <c r="V87" s="82">
        <f>V79/2+V82</f>
        <v>3946.920026268305</v>
      </c>
      <c r="W87" s="83"/>
      <c r="X87" s="82">
        <f>X79/2+X82</f>
        <v>4448.045826316013</v>
      </c>
      <c r="Y87" s="82"/>
      <c r="Z87" s="82">
        <f>Z79/2+Z82</f>
        <v>5402.2048371664705</v>
      </c>
      <c r="AA87" s="82"/>
      <c r="AB87" s="82">
        <f>AB79/2+AB82</f>
        <v>3806.053245587826</v>
      </c>
      <c r="AC87" s="82"/>
      <c r="AD87" s="82">
        <f>AD79+AD82</f>
        <v>3626.070283846486</v>
      </c>
      <c r="AE87" s="82"/>
      <c r="AF87" s="82">
        <f>AF79+AF82</f>
        <v>325.2394229458907</v>
      </c>
      <c r="AG87" s="82"/>
      <c r="AH87" s="82">
        <f>AH79+AH82</f>
        <v>3943.9283164487188</v>
      </c>
      <c r="AI87" s="82"/>
      <c r="AJ87" s="82">
        <f>AJ79+AJ82</f>
        <v>4744.264213248156</v>
      </c>
      <c r="AK87" s="82"/>
      <c r="AL87" s="82">
        <f>AL79+AL82</f>
        <v>3042.910438566662</v>
      </c>
      <c r="AM87" s="82"/>
      <c r="AN87" s="82">
        <f>AN79+AN82</f>
        <v>2812.403098614515</v>
      </c>
      <c r="AO87" s="82"/>
      <c r="AP87" s="82">
        <f>AP79+AP82</f>
        <v>40563.210091506044</v>
      </c>
      <c r="AQ87" s="82"/>
      <c r="AR87" s="82">
        <f>AR79+AR82</f>
        <v>24447.694869251005</v>
      </c>
      <c r="AS87" s="82"/>
      <c r="AT87" s="82">
        <f>AT79+AT82</f>
        <v>30006.849490449127</v>
      </c>
      <c r="AU87" s="82"/>
      <c r="AV87" s="82">
        <f>AV79+AV82</f>
        <v>29612.298648546708</v>
      </c>
      <c r="AW87" s="82"/>
      <c r="AX87" s="82">
        <f>AX79+AX82</f>
        <v>10164.343691850823</v>
      </c>
      <c r="AY87" s="82"/>
      <c r="AZ87" s="82">
        <f>AZ79+AZ82</f>
        <v>20203.53617036201</v>
      </c>
      <c r="BA87" s="82"/>
      <c r="BB87" s="82">
        <f>BB79+BB82</f>
        <v>4942.131325953205</v>
      </c>
      <c r="BC87" s="82"/>
      <c r="BD87" s="82">
        <f>BD79+BD82</f>
        <v>1801.617794744001</v>
      </c>
      <c r="BE87" s="82"/>
      <c r="BF87" s="82">
        <f>BF79+BF82</f>
        <v>1931.7897692184881</v>
      </c>
      <c r="BG87" s="82"/>
      <c r="BH87" s="82">
        <f>BH79+BH82</f>
        <v>3014.6541149938016</v>
      </c>
      <c r="BI87" s="82"/>
      <c r="BJ87" s="82">
        <f>BJ79+BJ82</f>
        <v>1495.0854597054165</v>
      </c>
      <c r="BK87" s="82"/>
      <c r="BL87" s="82">
        <f>BL79+BL82</f>
        <v>1383.646552161763</v>
      </c>
      <c r="BM87" s="82"/>
      <c r="BN87" s="82">
        <f>BN79+BN82</f>
        <v>40530.998807258686</v>
      </c>
      <c r="BO87" s="82"/>
      <c r="BP87" s="82">
        <f>BP79+BP82</f>
        <v>8373.643664183362</v>
      </c>
      <c r="BQ87" s="82"/>
      <c r="BR87" s="82">
        <f>BR79+BR82</f>
        <v>25532.106374582407</v>
      </c>
      <c r="BS87" s="82"/>
      <c r="BT87" s="82">
        <f>BT79+BT82</f>
        <v>13670.88400881683</v>
      </c>
      <c r="BU87" s="82"/>
      <c r="BV87" s="82">
        <f>BV79+BV82</f>
        <v>7897.34345177372</v>
      </c>
      <c r="BW87" s="82"/>
      <c r="BX87" s="82">
        <f>BX79+BX82</f>
        <v>10088.235086893712</v>
      </c>
      <c r="BY87" s="82"/>
      <c r="BZ87" s="82">
        <f>BZ79+BZ82</f>
        <v>0</v>
      </c>
      <c r="CA87" s="82"/>
      <c r="CB87" s="82">
        <f>CB79+CB82</f>
        <v>0</v>
      </c>
      <c r="CC87" s="82"/>
      <c r="CD87" s="82">
        <f>CD79+CD82</f>
        <v>0</v>
      </c>
      <c r="CE87" s="82"/>
      <c r="CF87" s="82">
        <f>CF79+CF82</f>
        <v>0</v>
      </c>
      <c r="CG87" s="82"/>
      <c r="CH87" s="82">
        <f>CH79+CH82</f>
        <v>0</v>
      </c>
      <c r="CI87" s="82"/>
      <c r="CJ87" s="82">
        <f>CJ79+CJ82</f>
        <v>0</v>
      </c>
      <c r="CK87" s="82"/>
      <c r="CL87" s="82">
        <f t="shared" si="75"/>
        <v>86036.34022471793</v>
      </c>
      <c r="CM87" s="82"/>
      <c r="CN87" s="82">
        <f t="shared" si="75"/>
        <v>34622.95632817837</v>
      </c>
      <c r="CO87" s="82"/>
      <c r="CP87" s="82">
        <f t="shared" si="75"/>
        <v>57470.74563425002</v>
      </c>
      <c r="CQ87" s="82"/>
      <c r="CR87" s="82">
        <f t="shared" si="75"/>
        <v>46297.83677235734</v>
      </c>
      <c r="CS87" s="82"/>
      <c r="CT87" s="82">
        <f t="shared" si="75"/>
        <v>19556.77260332996</v>
      </c>
      <c r="CU87" s="82"/>
      <c r="CV87" s="82">
        <f t="shared" si="75"/>
        <v>31675.417809417486</v>
      </c>
      <c r="CW87" s="82"/>
      <c r="CX87" s="82">
        <f t="shared" si="73"/>
        <v>93242.2806075761</v>
      </c>
      <c r="CY87" s="82"/>
      <c r="CZ87" s="82">
        <f t="shared" si="73"/>
        <v>39714.724744443374</v>
      </c>
      <c r="DA87" s="82"/>
      <c r="DB87" s="82">
        <f t="shared" si="73"/>
        <v>66068.49226862355</v>
      </c>
      <c r="DC87" s="82"/>
      <c r="DD87" s="82">
        <f t="shared" si="73"/>
        <v>56192.19869901769</v>
      </c>
      <c r="DE87" s="82"/>
      <c r="DF87" s="82">
        <f t="shared" si="73"/>
        <v>29087.642752593147</v>
      </c>
      <c r="DG87" s="82"/>
      <c r="DH87" s="82">
        <f t="shared" si="73"/>
        <v>39163.840898064394</v>
      </c>
      <c r="DI87" s="82"/>
      <c r="DJ87" s="82">
        <f t="shared" si="76"/>
        <v>53911.52999505304</v>
      </c>
      <c r="DM87" s="55">
        <f>AVERAGE(AD87,AF87,AH87,AJ87,AL87,AN87)</f>
        <v>3082.469295611738</v>
      </c>
      <c r="DN87" s="55">
        <f>AVERAGE(AP87,AR87,AT87,AV87,AX87,AZ87)+AVERAGE(BB87,BD87,BF87,BH87,BJ87,BL87)+AVERAGE(BN87,BP87,BR87,BT87,BV87,BX87)+AVERAGE(BZ87,CB87,CD87,CF87,CH87,CJ87)</f>
        <v>45943.34489537518</v>
      </c>
      <c r="DO87" s="55">
        <f>AVERAGE(F87,H87,J87,L87,N87,P87)+AVERAGE(R87,T87,V87,X87,Z87,AB87)</f>
        <v>4885.715804066122</v>
      </c>
      <c r="DP87" s="55">
        <f>SUM(DM87,DN87,DO87)</f>
        <v>53911.52999505304</v>
      </c>
    </row>
    <row r="88" spans="2:120" ht="12.75">
      <c r="B88" s="53" t="s">
        <v>73</v>
      </c>
      <c r="D88" s="53" t="s">
        <v>65</v>
      </c>
      <c r="F88" s="82">
        <f>F76+F78+F80</f>
        <v>1987.8963992660933</v>
      </c>
      <c r="G88" s="83"/>
      <c r="H88" s="82">
        <f>H76+H78+H80</f>
        <v>2383.4800011804605</v>
      </c>
      <c r="I88" s="83"/>
      <c r="J88" s="82">
        <f>J76+J78+J80</f>
        <v>1634.3283357282075</v>
      </c>
      <c r="K88" s="83"/>
      <c r="L88" s="82">
        <f>L76+L78+L80</f>
        <v>1892.7448620720575</v>
      </c>
      <c r="M88" s="82"/>
      <c r="N88" s="82">
        <f>N76+N78+N80</f>
        <v>2674.5328880994275</v>
      </c>
      <c r="O88" s="82"/>
      <c r="P88" s="82">
        <f>P76+P78+P80</f>
        <v>2488.4313214337812</v>
      </c>
      <c r="Q88" s="83"/>
      <c r="R88" s="82">
        <f>R76/2+R78/2+R80</f>
        <v>2781.6744753619296</v>
      </c>
      <c r="S88" s="83"/>
      <c r="T88" s="82">
        <f>T76/2+T78/2+T80</f>
        <v>4400.171307785049</v>
      </c>
      <c r="U88" s="83"/>
      <c r="V88" s="82">
        <f>V76/2+V78/2+V80</f>
        <v>3642.620398904685</v>
      </c>
      <c r="W88" s="83"/>
      <c r="X88" s="82">
        <f>X76/2+X78/2+X80</f>
        <v>4871.623809561977</v>
      </c>
      <c r="Y88" s="82"/>
      <c r="Z88" s="82">
        <f>Z76/2+Z78/2+Z80</f>
        <v>3350.158091830549</v>
      </c>
      <c r="AA88" s="82"/>
      <c r="AB88" s="82">
        <f>AB76/2+AB78/2+AB80</f>
        <v>3299.1809460999957</v>
      </c>
      <c r="AC88" s="82"/>
      <c r="AD88" s="82">
        <f>AD76+AD78+AD80</f>
        <v>2282.3995695277367</v>
      </c>
      <c r="AE88" s="82"/>
      <c r="AF88" s="82">
        <f>AF76+AF78+AF80</f>
        <v>319.55010359406754</v>
      </c>
      <c r="AG88" s="82"/>
      <c r="AH88" s="82">
        <f>AH76+AH78+AH80</f>
        <v>1579.1953976244051</v>
      </c>
      <c r="AI88" s="82"/>
      <c r="AJ88" s="82">
        <f>AJ76+AJ78+AJ80</f>
        <v>1925.8488170689832</v>
      </c>
      <c r="AK88" s="82"/>
      <c r="AL88" s="82">
        <f>AL76+AL78+AL80</f>
        <v>504.22176647467535</v>
      </c>
      <c r="AM88" s="82"/>
      <c r="AN88" s="82">
        <f>AN76+AN78+AN80</f>
        <v>390.4064960456428</v>
      </c>
      <c r="AO88" s="82"/>
      <c r="AP88" s="82">
        <f>AP76+AP78+AP80</f>
        <v>1008.673358146129</v>
      </c>
      <c r="AQ88" s="82"/>
      <c r="AR88" s="82">
        <f>AR76+AR78+AR80</f>
        <v>1205.1012808861788</v>
      </c>
      <c r="AS88" s="82"/>
      <c r="AT88" s="82">
        <f>AT76+AT78+AT80</f>
        <v>1645.4404007723847</v>
      </c>
      <c r="AU88" s="82"/>
      <c r="AV88" s="82">
        <f>AV76+AV78+AV80</f>
        <v>2551.961948610259</v>
      </c>
      <c r="AW88" s="82"/>
      <c r="AX88" s="82">
        <f>AX76+AX78+AX80</f>
        <v>990.2244263318823</v>
      </c>
      <c r="AY88" s="82"/>
      <c r="AZ88" s="82">
        <f>AZ76+AZ78+AZ80</f>
        <v>1970.076477944609</v>
      </c>
      <c r="BA88" s="82"/>
      <c r="BB88" s="82">
        <f>BB76+BB78+BB80</f>
        <v>16985.470344840287</v>
      </c>
      <c r="BC88" s="82"/>
      <c r="BD88" s="82">
        <f>BD76+BD78+BD80</f>
        <v>7658.341058404139</v>
      </c>
      <c r="BE88" s="82"/>
      <c r="BF88" s="82">
        <f>BF76+BF78+BF80</f>
        <v>8213.867525808912</v>
      </c>
      <c r="BG88" s="82"/>
      <c r="BH88" s="82">
        <f>BH76+BH78+BH80</f>
        <v>12876.389088890615</v>
      </c>
      <c r="BI88" s="82"/>
      <c r="BJ88" s="82">
        <f>BJ76+BJ78+BJ80</f>
        <v>9786.13741281364</v>
      </c>
      <c r="BK88" s="82"/>
      <c r="BL88" s="82">
        <f>BL76+BL78+BL80</f>
        <v>9056.69254471597</v>
      </c>
      <c r="BM88" s="82"/>
      <c r="BN88" s="82">
        <f>BN76+BN78+BN80</f>
        <v>995.7888444471819</v>
      </c>
      <c r="BO88" s="82"/>
      <c r="BP88" s="82">
        <f>BP76+BP78+BP80</f>
        <v>30.601641968139727</v>
      </c>
      <c r="BQ88" s="82"/>
      <c r="BR88" s="82">
        <f>BR76+BR78+BR80</f>
        <v>217.11265547853804</v>
      </c>
      <c r="BS88" s="82"/>
      <c r="BT88" s="82">
        <f>BT76+BT78+BT80</f>
        <v>214.84180591664688</v>
      </c>
      <c r="BU88" s="82"/>
      <c r="BV88" s="82">
        <f>BV76+BV78+BV80</f>
        <v>120.18217698540599</v>
      </c>
      <c r="BW88" s="82"/>
      <c r="BX88" s="82">
        <f>BX76+BX78+BX80</f>
        <v>153.20994424648333</v>
      </c>
      <c r="BY88" s="82"/>
      <c r="BZ88" s="82">
        <f>BZ76+BZ78+BZ80</f>
        <v>40.586218151682736</v>
      </c>
      <c r="CA88" s="82"/>
      <c r="CB88" s="82">
        <f>CB76+CB78+CB80</f>
        <v>38.01499748718202</v>
      </c>
      <c r="CC88" s="82"/>
      <c r="CD88" s="82">
        <f>CD76+CD78+CD80</f>
        <v>37.69554372678554</v>
      </c>
      <c r="CE88" s="82"/>
      <c r="CF88" s="82">
        <f>CF76+CF78+CF80</f>
        <v>42.0715969845654</v>
      </c>
      <c r="CG88" s="82"/>
      <c r="CH88" s="82">
        <f>CH76+CH78+CH80</f>
        <v>35.23958779957715</v>
      </c>
      <c r="CI88" s="82"/>
      <c r="CJ88" s="82">
        <f>CJ76+CJ78+CJ80</f>
        <v>36.17001360422867</v>
      </c>
      <c r="CK88" s="82"/>
      <c r="CL88" s="82">
        <f t="shared" si="75"/>
        <v>19030.518765585282</v>
      </c>
      <c r="CM88" s="82"/>
      <c r="CN88" s="82">
        <f t="shared" si="75"/>
        <v>8932.058978745641</v>
      </c>
      <c r="CO88" s="82"/>
      <c r="CP88" s="82">
        <f t="shared" si="75"/>
        <v>10114.116125786619</v>
      </c>
      <c r="CQ88" s="82"/>
      <c r="CR88" s="82">
        <f t="shared" si="75"/>
        <v>15685.264440402087</v>
      </c>
      <c r="CS88" s="82"/>
      <c r="CT88" s="82">
        <f t="shared" si="75"/>
        <v>10931.783603930506</v>
      </c>
      <c r="CU88" s="82"/>
      <c r="CV88" s="82">
        <f t="shared" si="75"/>
        <v>11216.14898051129</v>
      </c>
      <c r="CW88" s="82"/>
      <c r="CX88" s="82">
        <f t="shared" si="73"/>
        <v>26082.48920974104</v>
      </c>
      <c r="CY88" s="82"/>
      <c r="CZ88" s="82">
        <f t="shared" si="73"/>
        <v>16035.260391305217</v>
      </c>
      <c r="DA88" s="82"/>
      <c r="DB88" s="82">
        <f t="shared" si="73"/>
        <v>16970.260258043916</v>
      </c>
      <c r="DC88" s="82"/>
      <c r="DD88" s="82">
        <f t="shared" si="73"/>
        <v>24375.481929105103</v>
      </c>
      <c r="DE88" s="82"/>
      <c r="DF88" s="82">
        <f t="shared" si="73"/>
        <v>17460.696350335158</v>
      </c>
      <c r="DG88" s="82"/>
      <c r="DH88" s="82">
        <f t="shared" si="73"/>
        <v>17394.167744090708</v>
      </c>
      <c r="DI88" s="82"/>
      <c r="DJ88" s="82">
        <f t="shared" si="76"/>
        <v>19719.725980436855</v>
      </c>
      <c r="DM88" s="55">
        <f>AVERAGE(AD88,AF88,AH88,AJ88,AL88,AN88)</f>
        <v>1166.9370250559184</v>
      </c>
      <c r="DN88" s="55">
        <f>AVERAGE(AP88,AR88,AT88,AV88,AX88,AZ88)+AVERAGE(BB88,BD88,BF88,BH88,BJ88,BL88)+AVERAGE(BN88,BP88,BR88,BT88,BV88,BX88)+AVERAGE(BZ88,CB88,CD88,CF88,CH88,CJ88)</f>
        <v>12651.64848249357</v>
      </c>
      <c r="DO88" s="55">
        <f>AVERAGE(F88,H88,J88,L88,N88,P88)+AVERAGE(R88,T88,V88,X88,Z88,AB88)</f>
        <v>5901.140472887369</v>
      </c>
      <c r="DP88" s="55">
        <f>SUM(DM88,DN88,DO88)</f>
        <v>19719.72598043686</v>
      </c>
    </row>
  </sheetData>
  <printOptions headings="1" horizontalCentered="1"/>
  <pageMargins left="0.25" right="0.25" top="0.5" bottom="0.5" header="0.5" footer="0.25"/>
  <pageSetup horizontalDpi="300" verticalDpi="300" orientation="landscape" pageOrder="overThenDown" scale="70" r:id="rId1"/>
  <headerFooter alignWithMargins="0">
    <oddFooter>&amp;C&amp;P, &amp;A, 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B1">
      <selection activeCell="C1" sqref="C1"/>
    </sheetView>
  </sheetViews>
  <sheetFormatPr defaultColWidth="9.140625" defaultRowHeight="12.75"/>
  <cols>
    <col min="1" max="1" width="7.421875" style="16" hidden="1" customWidth="1"/>
    <col min="2" max="2" width="17.57421875" style="16" customWidth="1"/>
    <col min="3" max="3" width="7.421875" style="16" customWidth="1"/>
    <col min="4" max="4" width="11.140625" style="16" customWidth="1"/>
    <col min="5" max="16384" width="9.140625" style="16" customWidth="1"/>
  </cols>
  <sheetData>
    <row r="1" ht="12.75">
      <c r="B1" s="2" t="s">
        <v>258</v>
      </c>
    </row>
    <row r="3" spans="1:7" ht="12.75">
      <c r="A3" s="16" t="s">
        <v>106</v>
      </c>
      <c r="B3" s="2" t="str">
        <f>'feed 1'!B3</f>
        <v>207C10</v>
      </c>
      <c r="D3" s="16" t="s">
        <v>176</v>
      </c>
      <c r="E3" s="20" t="s">
        <v>122</v>
      </c>
      <c r="F3" s="20" t="s">
        <v>123</v>
      </c>
      <c r="G3" s="20" t="s">
        <v>124</v>
      </c>
    </row>
    <row r="5" spans="2:7" s="4" customFormat="1" ht="12.75">
      <c r="B5" s="9" t="s">
        <v>127</v>
      </c>
      <c r="C5" s="9" t="s">
        <v>128</v>
      </c>
      <c r="D5" s="9" t="s">
        <v>129</v>
      </c>
      <c r="E5">
        <v>13</v>
      </c>
      <c r="F5">
        <v>15</v>
      </c>
      <c r="G5">
        <v>15</v>
      </c>
    </row>
    <row r="6" spans="2:7" ht="12.75">
      <c r="B6" s="9" t="s">
        <v>125</v>
      </c>
      <c r="C6" s="9" t="s">
        <v>126</v>
      </c>
      <c r="D6" s="9" t="s">
        <v>130</v>
      </c>
      <c r="E6">
        <v>439.9</v>
      </c>
      <c r="F6">
        <v>441.4</v>
      </c>
      <c r="G6">
        <v>442.3</v>
      </c>
    </row>
    <row r="7" spans="2:7" ht="12.75">
      <c r="B7" s="16" t="s">
        <v>136</v>
      </c>
      <c r="C7" s="16" t="s">
        <v>126</v>
      </c>
      <c r="D7" s="16" t="s">
        <v>130</v>
      </c>
      <c r="E7">
        <v>1538</v>
      </c>
      <c r="F7">
        <v>1545</v>
      </c>
      <c r="G7">
        <v>1573</v>
      </c>
    </row>
    <row r="8" spans="2:7" ht="12.75">
      <c r="B8" s="2"/>
      <c r="E8"/>
      <c r="F8"/>
      <c r="G8"/>
    </row>
    <row r="9" spans="1:7" ht="12.75">
      <c r="A9" s="16" t="s">
        <v>106</v>
      </c>
      <c r="B9" s="2" t="str">
        <f>'feed 1'!B47</f>
        <v>207C11</v>
      </c>
      <c r="D9" s="16" t="s">
        <v>175</v>
      </c>
      <c r="E9" s="20" t="s">
        <v>122</v>
      </c>
      <c r="F9" s="20" t="s">
        <v>123</v>
      </c>
      <c r="G9" s="20" t="s">
        <v>124</v>
      </c>
    </row>
    <row r="10" spans="2:7" s="4" customFormat="1" ht="12.75">
      <c r="B10" s="9"/>
      <c r="C10" s="9"/>
      <c r="D10" s="9"/>
      <c r="E10"/>
      <c r="F10"/>
      <c r="G10"/>
    </row>
    <row r="11" spans="2:7" s="4" customFormat="1" ht="12.75">
      <c r="B11" s="9" t="s">
        <v>127</v>
      </c>
      <c r="C11" s="9" t="s">
        <v>128</v>
      </c>
      <c r="D11" s="9" t="s">
        <v>129</v>
      </c>
      <c r="E11">
        <v>11.5</v>
      </c>
      <c r="F11">
        <v>12</v>
      </c>
      <c r="G11">
        <v>12.3</v>
      </c>
    </row>
    <row r="12" spans="2:7" s="4" customFormat="1" ht="12.75">
      <c r="B12" s="9" t="s">
        <v>125</v>
      </c>
      <c r="C12" s="9" t="s">
        <v>126</v>
      </c>
      <c r="D12" s="9" t="s">
        <v>77</v>
      </c>
      <c r="E12" t="s">
        <v>164</v>
      </c>
      <c r="F12"/>
      <c r="G12"/>
    </row>
    <row r="13" spans="2:7" ht="12.75">
      <c r="B13" s="16" t="s">
        <v>136</v>
      </c>
      <c r="C13" s="16" t="s">
        <v>126</v>
      </c>
      <c r="D13" s="16" t="s">
        <v>77</v>
      </c>
      <c r="E13">
        <v>1295.3</v>
      </c>
      <c r="F13">
        <v>1274</v>
      </c>
      <c r="G13">
        <v>1272.9</v>
      </c>
    </row>
    <row r="15" spans="1:7" ht="12.75">
      <c r="A15" s="16" t="s">
        <v>106</v>
      </c>
      <c r="B15" s="2" t="str">
        <f>'feed 1'!B53</f>
        <v>207C12</v>
      </c>
      <c r="D15" s="16" t="s">
        <v>176</v>
      </c>
      <c r="E15" s="20" t="s">
        <v>122</v>
      </c>
      <c r="F15" s="20" t="s">
        <v>123</v>
      </c>
      <c r="G15" s="20" t="s">
        <v>124</v>
      </c>
    </row>
    <row r="16" spans="1:7" ht="12.75">
      <c r="A16" s="4"/>
      <c r="B16" s="9"/>
      <c r="C16" s="9"/>
      <c r="D16" s="9"/>
      <c r="E16"/>
      <c r="F16"/>
      <c r="G16"/>
    </row>
    <row r="17" spans="1:7" ht="12.75">
      <c r="A17" s="4"/>
      <c r="B17" s="9" t="s">
        <v>127</v>
      </c>
      <c r="C17" s="9" t="s">
        <v>128</v>
      </c>
      <c r="D17" s="9" t="s">
        <v>129</v>
      </c>
      <c r="E17">
        <v>14</v>
      </c>
      <c r="F17">
        <v>17</v>
      </c>
      <c r="G17">
        <v>21.6</v>
      </c>
    </row>
    <row r="18" spans="1:7" ht="12.75">
      <c r="A18" s="4"/>
      <c r="B18" s="9" t="s">
        <v>125</v>
      </c>
      <c r="C18" s="9" t="s">
        <v>126</v>
      </c>
      <c r="D18" s="9" t="s">
        <v>77</v>
      </c>
      <c r="E18">
        <v>492.7</v>
      </c>
      <c r="F18">
        <v>498.1</v>
      </c>
      <c r="G18">
        <v>491.2</v>
      </c>
    </row>
    <row r="19" spans="2:7" ht="12.75">
      <c r="B19" s="16" t="s">
        <v>136</v>
      </c>
      <c r="C19" s="16" t="s">
        <v>126</v>
      </c>
      <c r="D19" s="16" t="s">
        <v>77</v>
      </c>
      <c r="E19">
        <v>1514</v>
      </c>
      <c r="F19">
        <v>1541</v>
      </c>
      <c r="G19">
        <v>1525.6</v>
      </c>
    </row>
  </sheetData>
  <printOptions headings="1" horizontalCentered="1"/>
  <pageMargins left="0.25" right="0.25" top="0.5" bottom="0.5" header="0.25" footer="0.25"/>
  <pageSetup horizontalDpi="300" verticalDpi="300" orientation="portrait" scale="80" r:id="rId1"/>
  <headerFooter alignWithMargins="0">
    <oddFooter>&amp;C&amp;P, &amp;A, 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E13"/>
  <sheetViews>
    <sheetView workbookViewId="0" topLeftCell="C1">
      <selection activeCell="C1" sqref="C1"/>
    </sheetView>
  </sheetViews>
  <sheetFormatPr defaultColWidth="9.140625" defaultRowHeight="12.75"/>
  <cols>
    <col min="1" max="1" width="6.7109375" style="0" hidden="1" customWidth="1"/>
    <col min="2" max="2" width="8.140625" style="0" hidden="1" customWidth="1"/>
    <col min="3" max="3" width="24.140625" style="0" customWidth="1"/>
    <col min="4" max="4" width="5.28125" style="0" customWidth="1"/>
  </cols>
  <sheetData>
    <row r="1" ht="12.75">
      <c r="C1" s="2" t="s">
        <v>259</v>
      </c>
    </row>
    <row r="3" spans="3:8" ht="12.75">
      <c r="C3" s="27" t="s">
        <v>185</v>
      </c>
      <c r="E3" s="3" t="s">
        <v>122</v>
      </c>
      <c r="F3" s="3" t="s">
        <v>123</v>
      </c>
      <c r="G3" s="3" t="s">
        <v>124</v>
      </c>
      <c r="H3" s="3" t="s">
        <v>196</v>
      </c>
    </row>
    <row r="5" spans="1:31" s="53" customFormat="1" ht="12.75">
      <c r="A5" s="53" t="s">
        <v>185</v>
      </c>
      <c r="B5" s="53" t="s">
        <v>255</v>
      </c>
      <c r="C5" s="53" t="s">
        <v>256</v>
      </c>
      <c r="D5" s="53" t="s">
        <v>126</v>
      </c>
      <c r="E5" s="51">
        <v>1560</v>
      </c>
      <c r="F5" s="51">
        <v>1546</v>
      </c>
      <c r="G5" s="51">
        <v>1544</v>
      </c>
      <c r="H5" s="51">
        <v>1553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</row>
    <row r="6" spans="1:22" s="53" customFormat="1" ht="12.75">
      <c r="A6" s="53" t="s">
        <v>185</v>
      </c>
      <c r="B6" s="53" t="s">
        <v>255</v>
      </c>
      <c r="C6" s="53" t="s">
        <v>257</v>
      </c>
      <c r="D6" s="53" t="s">
        <v>126</v>
      </c>
      <c r="E6" s="51">
        <v>423</v>
      </c>
      <c r="F6" s="51">
        <v>418</v>
      </c>
      <c r="G6" s="51">
        <v>417</v>
      </c>
      <c r="H6" s="51">
        <v>416</v>
      </c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</row>
    <row r="7" spans="1:23" s="53" customFormat="1" ht="12.75">
      <c r="A7" s="53" t="s">
        <v>185</v>
      </c>
      <c r="B7" s="53" t="s">
        <v>255</v>
      </c>
      <c r="C7" s="53" t="s">
        <v>127</v>
      </c>
      <c r="D7" s="53" t="s">
        <v>128</v>
      </c>
      <c r="E7" s="51">
        <v>23</v>
      </c>
      <c r="F7" s="51">
        <v>27</v>
      </c>
      <c r="G7" s="51">
        <v>26</v>
      </c>
      <c r="H7" s="51">
        <v>22</v>
      </c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</row>
    <row r="8" spans="5:23" s="53" customFormat="1" ht="12.75"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</row>
    <row r="9" spans="3:23" s="53" customFormat="1" ht="12.75">
      <c r="C9" s="27" t="s">
        <v>190</v>
      </c>
      <c r="E9" s="3" t="s">
        <v>122</v>
      </c>
      <c r="F9" s="3" t="s">
        <v>123</v>
      </c>
      <c r="G9" s="3" t="s">
        <v>124</v>
      </c>
      <c r="H9" s="3" t="s">
        <v>196</v>
      </c>
      <c r="I9" s="74" t="s">
        <v>197</v>
      </c>
      <c r="J9" s="74" t="s">
        <v>198</v>
      </c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</row>
    <row r="10" spans="11:23" s="53" customFormat="1" ht="12.75"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</row>
    <row r="11" spans="1:31" s="53" customFormat="1" ht="12.75">
      <c r="A11" s="53" t="s">
        <v>190</v>
      </c>
      <c r="B11" s="53" t="s">
        <v>255</v>
      </c>
      <c r="C11" s="53" t="s">
        <v>256</v>
      </c>
      <c r="D11" s="53" t="s">
        <v>126</v>
      </c>
      <c r="E11" s="51">
        <v>1562</v>
      </c>
      <c r="F11" s="51">
        <v>1541</v>
      </c>
      <c r="G11" s="51">
        <v>1515</v>
      </c>
      <c r="H11" s="51">
        <v>1511</v>
      </c>
      <c r="I11" s="51">
        <v>1548</v>
      </c>
      <c r="J11" s="51">
        <v>1512</v>
      </c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</row>
    <row r="12" spans="1:22" s="53" customFormat="1" ht="12.75">
      <c r="A12" s="53" t="s">
        <v>190</v>
      </c>
      <c r="B12" s="53" t="s">
        <v>255</v>
      </c>
      <c r="C12" s="53" t="s">
        <v>257</v>
      </c>
      <c r="D12" s="53" t="s">
        <v>126</v>
      </c>
      <c r="E12" s="51">
        <v>422</v>
      </c>
      <c r="F12" s="51">
        <v>410</v>
      </c>
      <c r="G12" s="51">
        <v>415</v>
      </c>
      <c r="H12" s="51">
        <v>403</v>
      </c>
      <c r="I12" s="51">
        <v>393</v>
      </c>
      <c r="J12" s="51">
        <v>407</v>
      </c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</row>
    <row r="13" spans="1:23" s="53" customFormat="1" ht="12.75">
      <c r="A13" s="53" t="s">
        <v>190</v>
      </c>
      <c r="B13" s="53" t="s">
        <v>255</v>
      </c>
      <c r="C13" s="53" t="s">
        <v>127</v>
      </c>
      <c r="D13" s="53" t="s">
        <v>128</v>
      </c>
      <c r="E13" s="51">
        <v>23</v>
      </c>
      <c r="F13" s="51">
        <v>23</v>
      </c>
      <c r="G13" s="51">
        <v>23</v>
      </c>
      <c r="H13" s="51">
        <v>19</v>
      </c>
      <c r="I13" s="51">
        <v>21</v>
      </c>
      <c r="J13" s="51">
        <v>23</v>
      </c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</row>
  </sheetData>
  <printOptions headings="1" horizontalCentered="1"/>
  <pageMargins left="0.25" right="0.25" top="0.5" bottom="0.5" header="0.25" footer="0.25"/>
  <pageSetup horizontalDpi="300" verticalDpi="300" orientation="portrait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2004-02-24T21:49:05Z</cp:lastPrinted>
  <dcterms:created xsi:type="dcterms:W3CDTF">2000-01-10T00:44:42Z</dcterms:created>
  <dcterms:modified xsi:type="dcterms:W3CDTF">2005-06-20T23:18:16Z</dcterms:modified>
  <cp:category/>
  <cp:version/>
  <cp:contentType/>
  <cp:contentStatus/>
</cp:coreProperties>
</file>