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40" windowWidth="11970" windowHeight="3285" tabRatio="778" firstSheet="11" activeTab="14"/>
  </bookViews>
  <sheets>
    <sheet name="Total Results" sheetId="1" r:id="rId1"/>
    <sheet name="Spreadsheet Overview" sheetId="2" r:id="rId2"/>
    <sheet name="Analysis Parameters" sheetId="3" r:id="rId3"/>
    <sheet name="Definitions" sheetId="4" r:id="rId4"/>
    <sheet name="Selected Results - Monthly" sheetId="5" r:id="rId5"/>
    <sheet name="Avg. Net Aug. Need + Net Short " sheetId="6" r:id="rId6"/>
    <sheet name="Quarterly Inputs" sheetId="7" r:id="rId7"/>
    <sheet name="Load Inputs" sheetId="8" r:id="rId8"/>
    <sheet name="120-Day Rule Pre-Purchases" sheetId="9" r:id="rId9"/>
    <sheet name="0-Day Rule Pre-Purchases" sheetId="10" r:id="rId10"/>
    <sheet name="Fixed Costs &amp; Rates" sheetId="11" r:id="rId11"/>
    <sheet name="Calculated Inputs" sheetId="12" r:id="rId12"/>
    <sheet name="120 - Day Rule Calc's" sheetId="13" r:id="rId13"/>
    <sheet name="0 - Day Rule Calc's" sheetId="14" r:id="rId14"/>
    <sheet name="Lookback Calculation" sheetId="15" r:id="rId15"/>
  </sheets>
  <definedNames>
    <definedName name="_xlnm.Print_Area" localSheetId="13">'0 - Day Rule Calc''s'!$A$1:$D$21</definedName>
    <definedName name="_xlnm.Print_Area" localSheetId="9">'0-Day Rule Pre-Purchases'!$A$1:$F$74</definedName>
    <definedName name="_xlnm.Print_Area" localSheetId="12">'120 - Day Rule Calc''s'!$A$3:$H$29</definedName>
    <definedName name="_xlnm.Print_Area" localSheetId="8">'120-Day Rule Pre-Purchases'!$A$4:$F$75</definedName>
    <definedName name="_xlnm.Print_Area" localSheetId="2">'Analysis Parameters'!$A$1:$F$69</definedName>
    <definedName name="_xlnm.Print_Area" localSheetId="11">'Calculated Inputs'!$A$3:$F$91</definedName>
    <definedName name="_xlnm.Print_Area" localSheetId="10">'Fixed Costs &amp; Rates'!$A$4:$F$112</definedName>
    <definedName name="_xlnm.Print_Area" localSheetId="7">'Load Inputs'!$A$1:$F$55</definedName>
    <definedName name="_xlnm.Print_Area" localSheetId="14">'Lookback Calculation'!$A$1:$H$22</definedName>
    <definedName name="_xlnm.Print_Area" localSheetId="6">'Quarterly Inputs'!$A$1:$C$36</definedName>
    <definedName name="_xlnm.Print_Area" localSheetId="4">'Selected Results - Monthly'!$A$3:$H$60</definedName>
    <definedName name="_xlnm.Print_Area" localSheetId="1">'Spreadsheet Overview'!$A$1:$B$20</definedName>
    <definedName name="_xlnm.Print_Area" localSheetId="0">'Total Results'!$A$1:$C$64</definedName>
    <definedName name="TABLE" localSheetId="3">'Definitions'!$B$14:$B$14</definedName>
  </definedNames>
  <calcPr fullCalcOnLoad="1"/>
</workbook>
</file>

<file path=xl/sharedStrings.xml><?xml version="1.0" encoding="utf-8"?>
<sst xmlns="http://schemas.openxmlformats.org/spreadsheetml/2006/main" count="1220" uniqueCount="509">
  <si>
    <t>AAMTA</t>
  </si>
  <si>
    <t>Augmentation Amount Actual</t>
  </si>
  <si>
    <t>Actual LB CRAC Revenue Required</t>
  </si>
  <si>
    <t xml:space="preserve">ACTUALLBCREVREQ </t>
  </si>
  <si>
    <t xml:space="preserve">ACTUALLBCREVREQ[NS] </t>
  </si>
  <si>
    <t>Actual LB CRAC Revenue Required [Non-Slice]</t>
  </si>
  <si>
    <t xml:space="preserve">ACTUALLBCREVREQ[S] </t>
  </si>
  <si>
    <t>Actual LB CRAC Revenue Required [Slice]</t>
  </si>
  <si>
    <t xml:space="preserve">ADJUST[NS] </t>
  </si>
  <si>
    <t>Adjustment to a Purchaser’s Non-Slice Monthly Bill</t>
  </si>
  <si>
    <t xml:space="preserve"> ADJUST[S] </t>
  </si>
  <si>
    <t>Adjustment to a Purchaser’s Slice Monthly Bill</t>
  </si>
  <si>
    <t xml:space="preserve">APP </t>
  </si>
  <si>
    <t>Augmentation Pre–Purchase</t>
  </si>
  <si>
    <t xml:space="preserve">BUYDOWN </t>
  </si>
  <si>
    <t>Cost of Load Buydown</t>
  </si>
  <si>
    <t xml:space="preserve">C&amp;R[NS] </t>
  </si>
  <si>
    <t xml:space="preserve">C&amp;R[S] </t>
  </si>
  <si>
    <t xml:space="preserve">CUSTREV[NS] </t>
  </si>
  <si>
    <t>Customer Revenue with LB CRAC – Non-Slice</t>
  </si>
  <si>
    <t xml:space="preserve">CUSTREV[S] </t>
  </si>
  <si>
    <t>Customer Revenue with LB CRAC - Slice</t>
  </si>
  <si>
    <t xml:space="preserve">DIURNALACA </t>
  </si>
  <si>
    <t>Actual Diurnal Augmentation Cost</t>
  </si>
  <si>
    <t xml:space="preserve">LBCREV[NS] </t>
  </si>
  <si>
    <t>LB CRAC Revenues [Non-Slice] Received by BPA</t>
  </si>
  <si>
    <t xml:space="preserve">LBCREV[S] </t>
  </si>
  <si>
    <t>LB CRAC Revenues [Slice] Received by BPA</t>
  </si>
  <si>
    <t xml:space="preserve">LDD[NS] </t>
  </si>
  <si>
    <t>Low Density Discount Non-Slice</t>
  </si>
  <si>
    <t xml:space="preserve">LDD[S] </t>
  </si>
  <si>
    <t>Low Density Discount Slice</t>
  </si>
  <si>
    <t xml:space="preserve">LOAD[NS] </t>
  </si>
  <si>
    <t>Non-Slice Load Subject to LB CRAC</t>
  </si>
  <si>
    <t xml:space="preserve">LOAD[S] </t>
  </si>
  <si>
    <t>Slice Load Subject to LB CRAC</t>
  </si>
  <si>
    <t xml:space="preserve">MARRA </t>
  </si>
  <si>
    <t>Monthly Augmentation Resale Revenues Actual</t>
  </si>
  <si>
    <t xml:space="preserve">MSC </t>
  </si>
  <si>
    <t>Monthly System Capability</t>
  </si>
  <si>
    <t xml:space="preserve">NACA </t>
  </si>
  <si>
    <t>Net Augmentation Cost Actual</t>
  </si>
  <si>
    <t xml:space="preserve">NACDIFF </t>
  </si>
  <si>
    <t>Net Augmentation Cost Difference</t>
  </si>
  <si>
    <t xml:space="preserve">NSL[A] </t>
  </si>
  <si>
    <t>Actual Non-Slice Load</t>
  </si>
  <si>
    <t xml:space="preserve">OC </t>
  </si>
  <si>
    <t>Option Costs</t>
  </si>
  <si>
    <t xml:space="preserve">PRICE </t>
  </si>
  <si>
    <t>Price For Forecasted Augmentation Amounts Not Pre-Purchased</t>
  </si>
  <si>
    <t xml:space="preserve">RATE[NS] </t>
  </si>
  <si>
    <t>Non-Slice Rates Without LB CRAC</t>
  </si>
  <si>
    <t xml:space="preserve">RATE[S] </t>
  </si>
  <si>
    <t>Slice Rate without LB CRAC</t>
  </si>
  <si>
    <t xml:space="preserve">REVDIFF[NS] </t>
  </si>
  <si>
    <t>Revenue Difference Non-Slice</t>
  </si>
  <si>
    <t xml:space="preserve">REVDIFF[S] </t>
  </si>
  <si>
    <t>Revenue Difference Slice</t>
  </si>
  <si>
    <t xml:space="preserve">REVRATE[NS] </t>
  </si>
  <si>
    <t>Adjusted Non-Slice Rates</t>
  </si>
  <si>
    <t xml:space="preserve">REVRATE[S] </t>
  </si>
  <si>
    <t>Adjusted Slice Rate</t>
  </si>
  <si>
    <t xml:space="preserve">REVw/LBC[NS] </t>
  </si>
  <si>
    <t>Actual Non-Slice Revenues</t>
  </si>
  <si>
    <t xml:space="preserve">REVw/LBC[S] </t>
  </si>
  <si>
    <t>Actual Slice Revenues</t>
  </si>
  <si>
    <t xml:space="preserve">REVw/oLBC[NS] </t>
  </si>
  <si>
    <t>Baseline Non-Slice Revenues</t>
  </si>
  <si>
    <t xml:space="preserve">REVw/oLBC[S] </t>
  </si>
  <si>
    <t>Baseline Slice Revenues</t>
  </si>
  <si>
    <t xml:space="preserve">SALESMAYAUGA </t>
  </si>
  <si>
    <t>Actual Sales of Existing Augmentation Quantity</t>
  </si>
  <si>
    <t xml:space="preserve">SALESNEWAUGA </t>
  </si>
  <si>
    <t>Sales of New Augmentation Quantity Actual</t>
  </si>
  <si>
    <t xml:space="preserve">TAUGCA </t>
  </si>
  <si>
    <t>Total Augmentation Cost Actual</t>
  </si>
  <si>
    <t xml:space="preserve">TARRA </t>
  </si>
  <si>
    <t>Total Augmentation Resale Revenue Actual</t>
  </si>
  <si>
    <t xml:space="preserve">TCAPPA </t>
  </si>
  <si>
    <t>Total Cost of Augmentation Pre-Purchases Actual Non-Slice</t>
  </si>
  <si>
    <t xml:space="preserve">TREVw/LBC[NS] </t>
  </si>
  <si>
    <t>Total Revenues for Non-Slice With LB CRAC</t>
  </si>
  <si>
    <t xml:space="preserve">TREVw/LBC[S] </t>
  </si>
  <si>
    <t>Total Revenues for Slice with LB CRAC</t>
  </si>
  <si>
    <t xml:space="preserve">TTREVw/LBC </t>
  </si>
  <si>
    <t>Total Revenues with LB CRAC</t>
  </si>
  <si>
    <t xml:space="preserve">TREVw/oLBC[NS] </t>
  </si>
  <si>
    <t>Total Non-Slice Revenues Without LB CRAC</t>
  </si>
  <si>
    <t xml:space="preserve">TREVw/oLBC[S] </t>
  </si>
  <si>
    <t>Total Slice Revenues without LB CRAC</t>
  </si>
  <si>
    <t xml:space="preserve">TTREVw/oLBC </t>
  </si>
  <si>
    <t>Total Revenues without LB CRAC</t>
  </si>
  <si>
    <t xml:space="preserve">TLA </t>
  </si>
  <si>
    <t>Transmission Loss Adjustment</t>
  </si>
  <si>
    <t>Step 1</t>
  </si>
  <si>
    <t>Step 2</t>
  </si>
  <si>
    <t>Section</t>
  </si>
  <si>
    <t>Steps</t>
  </si>
  <si>
    <t>Variable Name</t>
  </si>
  <si>
    <t>Equation</t>
  </si>
  <si>
    <t>REVw/oLBC(S)</t>
  </si>
  <si>
    <t>REVw/oLBC(NS)</t>
  </si>
  <si>
    <t>TREVw/oLBC(S)</t>
  </si>
  <si>
    <t>TREVw/oLBC(NS)</t>
  </si>
  <si>
    <t>=TREVw/oLBC(S)+TREVw/oLBC(NS)</t>
  </si>
  <si>
    <t>=ΣREVw/oLBC(S) for each month in a six-month period</t>
  </si>
  <si>
    <t>=ΣREVw/oLBC(NS) for each month in a six-month period</t>
  </si>
  <si>
    <t>TTREVw/oLBC</t>
  </si>
  <si>
    <t>F(1)(d)(1)</t>
  </si>
  <si>
    <t>F(1)(d)(2)</t>
  </si>
  <si>
    <t>F(1)(d)(4)</t>
  </si>
  <si>
    <t>F(1)(d)(5)</t>
  </si>
  <si>
    <t>F(1)(d)(6)</t>
  </si>
  <si>
    <t>F(1)(d)(7)</t>
  </si>
  <si>
    <t>F(1)(d)(3)</t>
  </si>
  <si>
    <t>Total</t>
  </si>
  <si>
    <t>Inputs</t>
  </si>
  <si>
    <t>MSC</t>
  </si>
  <si>
    <t>Results</t>
  </si>
  <si>
    <t>TLA</t>
  </si>
  <si>
    <t>HLH</t>
  </si>
  <si>
    <t>LLH</t>
  </si>
  <si>
    <t>Demand</t>
  </si>
  <si>
    <t>Load Variance</t>
  </si>
  <si>
    <t>LOAD(S)</t>
  </si>
  <si>
    <t>LDD(NS)</t>
  </si>
  <si>
    <t>LDD(S)</t>
  </si>
  <si>
    <t>C&amp;R(NS)</t>
  </si>
  <si>
    <t>C&amp;R(S)</t>
  </si>
  <si>
    <t>Diurnal Hours</t>
  </si>
  <si>
    <t>Heavy Load Hours - 6 a.m. to 10 p.m., Monday through Saturday</t>
  </si>
  <si>
    <t xml:space="preserve">Light Load Hours - 10 p.m. to 6 a.m. Monday through Saturday and all day Sunday. </t>
  </si>
  <si>
    <t>OC</t>
  </si>
  <si>
    <t>Units</t>
  </si>
  <si>
    <t>$/MWh</t>
  </si>
  <si>
    <t>$/1% Slice</t>
  </si>
  <si>
    <t>$/kW-mo.</t>
  </si>
  <si>
    <t>MWh</t>
  </si>
  <si>
    <t>aMW</t>
  </si>
  <si>
    <t>$</t>
  </si>
  <si>
    <t>%</t>
  </si>
  <si>
    <t>mWh</t>
  </si>
  <si>
    <t>5 yr PF-02 Load</t>
  </si>
  <si>
    <t>Slice Load - East</t>
  </si>
  <si>
    <t>Slice Load - West</t>
  </si>
  <si>
    <t>Low Density Discount - East</t>
  </si>
  <si>
    <t>LDD (NS)</t>
  </si>
  <si>
    <t>Low Density Discount - West</t>
  </si>
  <si>
    <t>Low Density Discount - Total</t>
  </si>
  <si>
    <t>Conservation and Renewables Discount - West</t>
  </si>
  <si>
    <t>Conservation and Renewables Discount - East</t>
  </si>
  <si>
    <t>Conservation and Renewables Discount - Total</t>
  </si>
  <si>
    <t xml:space="preserve">Slice Load </t>
  </si>
  <si>
    <t xml:space="preserve">REVw/oLBC(NS) </t>
  </si>
  <si>
    <t>PURCHASE TOTAL HLH Completed: POST 8/1/00</t>
  </si>
  <si>
    <t>PURCHASE TOTAL LLH Completed: POST 8/1/00</t>
  </si>
  <si>
    <t>Quantity</t>
  </si>
  <si>
    <t>Augmentation Pre-Purchased Total</t>
  </si>
  <si>
    <t>Rate Case Loads</t>
  </si>
  <si>
    <t>total</t>
  </si>
  <si>
    <t>System Capability</t>
  </si>
  <si>
    <t>Cost</t>
  </si>
  <si>
    <t>DO NOT INPUT VALUES IN THIS WORKSHEET</t>
  </si>
  <si>
    <t>Section I - Purchases with Pricing that is NOT tied to LB CRAC</t>
  </si>
  <si>
    <t>a. Market Purchases</t>
  </si>
  <si>
    <t>Premium Component</t>
  </si>
  <si>
    <t>Stepped PF rates</t>
  </si>
  <si>
    <t xml:space="preserve">5 yr PF-02 and IP-02 </t>
  </si>
  <si>
    <t>(all PF, RL, and IP)</t>
  </si>
  <si>
    <t>Output Worksheets</t>
  </si>
  <si>
    <t>Load Inputs</t>
  </si>
  <si>
    <t>Fixed Buydown Costs &amp; Rates</t>
  </si>
  <si>
    <t>Calculated Inputs</t>
  </si>
  <si>
    <t>Calculations</t>
  </si>
  <si>
    <t>B. 5-yr PF Loads</t>
  </si>
  <si>
    <t>C. Stepped PF Loads</t>
  </si>
  <si>
    <t>E. IOU Loads</t>
  </si>
  <si>
    <t>Conservation and Renewables Discount - DSI</t>
  </si>
  <si>
    <t>Conservation and Renewables Discount - IOU</t>
  </si>
  <si>
    <t>DSI Load</t>
  </si>
  <si>
    <t>IOU load</t>
  </si>
  <si>
    <t>MW-mo.</t>
  </si>
  <si>
    <t>MW-mo</t>
  </si>
  <si>
    <t>TOTAL HLH Completed: PRE 8/1/00</t>
  </si>
  <si>
    <t>TOTAL LLH Completed: PRE 8/1/00</t>
  </si>
  <si>
    <t>PURCHASE TOTAL HLH Completed: Pre 8/1/00</t>
  </si>
  <si>
    <t>PURCHASE TOTAL LLH Completed: Pre 8/1/00</t>
  </si>
  <si>
    <t>units</t>
  </si>
  <si>
    <t>Slice Load</t>
  </si>
  <si>
    <t>LDD Slice Costs</t>
  </si>
  <si>
    <t>LDD Non-Slice Costs</t>
  </si>
  <si>
    <t>C&amp;R Slice Costs</t>
  </si>
  <si>
    <t>C&amp;R Non-Slice Costs</t>
  </si>
  <si>
    <t>Rev w/o LBC(S)</t>
  </si>
  <si>
    <t>Rev w/o LBC(NS)</t>
  </si>
  <si>
    <t>System Load</t>
  </si>
  <si>
    <t>Gross Aug Need</t>
  </si>
  <si>
    <t>HLH Price</t>
  </si>
  <si>
    <t>LLH Price</t>
  </si>
  <si>
    <t>Housekeeping</t>
  </si>
  <si>
    <t>Definitions</t>
  </si>
  <si>
    <t>Selected Results - Monthly</t>
  </si>
  <si>
    <t>Quarterly Inputs</t>
  </si>
  <si>
    <t>Input of base loads, load reductions amounts by rate schedule.</t>
  </si>
  <si>
    <t xml:space="preserve">2 - System Capability </t>
  </si>
  <si>
    <t>net short costs</t>
  </si>
  <si>
    <t xml:space="preserve">4 - If row 4 total is less than sum rows (1+2+3), some costs in rows 1+2 are being excluded from recovery from LB CRAC. </t>
  </si>
  <si>
    <t>Definition of variable definitions in the GRSPs.</t>
  </si>
  <si>
    <t>Also contains calculation of costs for rate mitigation deals (both load reduction and power buybacks) tied to LB CRAC.</t>
  </si>
  <si>
    <t>Total Cost of Load Reduction for deals done @ a fixed price - East Hub</t>
  </si>
  <si>
    <t>Total Cost of Load Reduction for deals done @ fixed price - West Hub</t>
  </si>
  <si>
    <t>Total Cost of Load Reduction done @ fixed prices - DSI</t>
  </si>
  <si>
    <t>Total Cost of Load Reduction for deals not tied to LB CRAC</t>
  </si>
  <si>
    <t>net short+pre purchase costs</t>
  </si>
  <si>
    <t>b. PF-02 (mitigation deals tied to Slice only)</t>
  </si>
  <si>
    <t>c. RL-02</t>
  </si>
  <si>
    <t>a. 5-yr PF-02 (mitigation deals tied to Block only)</t>
  </si>
  <si>
    <t>e. IP-02</t>
  </si>
  <si>
    <t>G. Chase Product</t>
  </si>
  <si>
    <t>Data Input</t>
  </si>
  <si>
    <t>Net Aug Need (w/losses)</t>
  </si>
  <si>
    <t>net short cost</t>
  </si>
  <si>
    <t>Revenues from the resale of augmentation amounts</t>
  </si>
  <si>
    <t>1- Sum of augmentation pre-purchases and power buyback for rate mitigation.  Cost of rate</t>
  </si>
  <si>
    <t>5 - Revenues from Resale of Augmentation Quantity</t>
  </si>
  <si>
    <t>Total Cost of Load Reduction done @ fixed prices - IOU</t>
  </si>
  <si>
    <t>Total premium portion of Load Reduction Costs for deals done @ a price tied to LB CRAC - East Hub</t>
  </si>
  <si>
    <t>Total premium portion of Load Reduction Costs for deals done @ a price tied to LB CRAC - West Hub</t>
  </si>
  <si>
    <t>to</t>
  </si>
  <si>
    <t>DSI - IPTAC (A)</t>
  </si>
  <si>
    <t>DSI - IPTAC (B)</t>
  </si>
  <si>
    <t>Price of Augmentation not Pre-Purchased - 120 Day Rule</t>
  </si>
  <si>
    <t>Price of Augmentation not Pre-Purchased - 0 Day Rule</t>
  </si>
  <si>
    <t>Step Two - Calculating the Actual LB CRAC Revenue Requirement under the 120-Day Rule</t>
  </si>
  <si>
    <t>Step Three - Calculation of LB CRAC Revenue Over or Under Collection under the 120-Day Rule</t>
  </si>
  <si>
    <t>TREVw/LBC(S)</t>
  </si>
  <si>
    <t>TREVw/LBC(NS)</t>
  </si>
  <si>
    <t>TTREVw/LBC</t>
  </si>
  <si>
    <t>LBCREV(S)</t>
  </si>
  <si>
    <t>LBCREV(NS)</t>
  </si>
  <si>
    <t>ACTUALLBCREVREQ(S)</t>
  </si>
  <si>
    <t>ACTUALLBCREVREQ(NS)</t>
  </si>
  <si>
    <t>REVDIFF(S)</t>
  </si>
  <si>
    <t>LBCREV(S)-ACTUALLBCREVREQ(S)</t>
  </si>
  <si>
    <t>REVDIFF(NS)</t>
  </si>
  <si>
    <t>LBCREV(NS)-ACTUALLBCREVREQ(NS)</t>
  </si>
  <si>
    <t>= NACA(0) - NACA(120)</t>
  </si>
  <si>
    <t>ADJUST(S)</t>
  </si>
  <si>
    <t>ADJUST(NS)</t>
  </si>
  <si>
    <t>Step Five</t>
  </si>
  <si>
    <t>Step Four</t>
  </si>
  <si>
    <t>Step Three</t>
  </si>
  <si>
    <t>Step Two</t>
  </si>
  <si>
    <t>Step One</t>
  </si>
  <si>
    <t>Oct</t>
  </si>
  <si>
    <t>Nov</t>
  </si>
  <si>
    <t>Dec</t>
  </si>
  <si>
    <t>Load -East</t>
  </si>
  <si>
    <t>Loads - East</t>
  </si>
  <si>
    <t>Load -West (metered for load following plus contract amount for block)</t>
  </si>
  <si>
    <t>F. Net System Load for Monthly Augmentation Calculation (this amount is input and is the actual net system load)</t>
  </si>
  <si>
    <r>
      <t xml:space="preserve">Augmentation Pre-Purchases - </t>
    </r>
    <r>
      <rPr>
        <b/>
        <u val="single"/>
        <sz val="10"/>
        <rFont val="Arial"/>
        <family val="2"/>
      </rPr>
      <t>120 Day Rule</t>
    </r>
  </si>
  <si>
    <t>Quantity Augmentation Pre-Purchased Total</t>
  </si>
  <si>
    <t>DIURNALACA</t>
  </si>
  <si>
    <t>TAUGCA</t>
  </si>
  <si>
    <r>
      <t>SALESMAYAUGA (</t>
    </r>
    <r>
      <rPr>
        <b/>
        <sz val="8"/>
        <rFont val="Arial"/>
        <family val="2"/>
      </rPr>
      <t>HLH</t>
    </r>
    <r>
      <rPr>
        <sz val="8"/>
        <rFont val="Arial"/>
        <family val="0"/>
      </rPr>
      <t>)</t>
    </r>
  </si>
  <si>
    <r>
      <t>SALESMAYAUGA (</t>
    </r>
    <r>
      <rPr>
        <b/>
        <sz val="8"/>
        <rFont val="Arial"/>
        <family val="2"/>
      </rPr>
      <t>LLH</t>
    </r>
    <r>
      <rPr>
        <sz val="8"/>
        <rFont val="Arial"/>
        <family val="0"/>
      </rPr>
      <t>)</t>
    </r>
  </si>
  <si>
    <r>
      <t>SALESNEWAUGA (</t>
    </r>
    <r>
      <rPr>
        <b/>
        <sz val="8"/>
        <rFont val="Arial"/>
        <family val="2"/>
      </rPr>
      <t>HLH</t>
    </r>
    <r>
      <rPr>
        <sz val="8"/>
        <rFont val="Arial"/>
        <family val="0"/>
      </rPr>
      <t>)</t>
    </r>
  </si>
  <si>
    <r>
      <t>SALESNEWAUGA (</t>
    </r>
    <r>
      <rPr>
        <b/>
        <sz val="8"/>
        <rFont val="Arial"/>
        <family val="2"/>
      </rPr>
      <t>LLH</t>
    </r>
    <r>
      <rPr>
        <sz val="8"/>
        <rFont val="Arial"/>
        <family val="0"/>
      </rPr>
      <t>)</t>
    </r>
  </si>
  <si>
    <r>
      <t>MARRA (</t>
    </r>
    <r>
      <rPr>
        <b/>
        <sz val="8"/>
        <rFont val="Arial"/>
        <family val="2"/>
      </rPr>
      <t>HLH</t>
    </r>
    <r>
      <rPr>
        <sz val="8"/>
        <rFont val="Arial"/>
        <family val="2"/>
      </rPr>
      <t>)</t>
    </r>
  </si>
  <si>
    <r>
      <t>MARRA (</t>
    </r>
    <r>
      <rPr>
        <b/>
        <sz val="8"/>
        <rFont val="Arial"/>
        <family val="2"/>
      </rPr>
      <t>LLH</t>
    </r>
    <r>
      <rPr>
        <sz val="8"/>
        <rFont val="Arial"/>
        <family val="0"/>
      </rPr>
      <t>)</t>
    </r>
  </si>
  <si>
    <t>TARRA</t>
  </si>
  <si>
    <t>NACA</t>
  </si>
  <si>
    <r>
      <t>MARRA(</t>
    </r>
    <r>
      <rPr>
        <b/>
        <sz val="8"/>
        <rFont val="Arial"/>
        <family val="2"/>
      </rPr>
      <t>LLH</t>
    </r>
    <r>
      <rPr>
        <sz val="8"/>
        <rFont val="Arial"/>
        <family val="0"/>
      </rPr>
      <t>)</t>
    </r>
  </si>
  <si>
    <t>=TREVw/LBC(S)-TREVw/oLBC(S)</t>
  </si>
  <si>
    <t>=TREVw/LBC(NS)-TREVw/oLBC(NS)</t>
  </si>
  <si>
    <t>A. Number of Months in Analysis</t>
  </si>
  <si>
    <t>C. Diurnal Hours</t>
  </si>
  <si>
    <t>D. System Capability (these numbers are fixed and equal the number for that month used in the look forward calculation)</t>
  </si>
  <si>
    <t>=REVDIFF(S)/(TREVw/LBC(S)*Months in Analysis)</t>
  </si>
  <si>
    <t>=REVDIFF(NS)/(TREVw/LBC(NS)*Months in Analysis)</t>
  </si>
  <si>
    <t>=[NACA*(TREVw/LBC(S)/TTREVw/LBC)]</t>
  </si>
  <si>
    <t>=[NACA*(TREVw/LBC(NS)/TTREVw/LBC)]</t>
  </si>
  <si>
    <t>B. Months (names)</t>
  </si>
  <si>
    <t>120-Day Rule</t>
  </si>
  <si>
    <t>0-Day Rule</t>
  </si>
  <si>
    <t>120-Day Rule Diurnal Augmentation Costs in LB CRAC</t>
  </si>
  <si>
    <t>0-Day Rule Prices</t>
  </si>
  <si>
    <t>0-Day Rule Diurnal Augmentation Costs in LB CRAC</t>
  </si>
  <si>
    <t xml:space="preserve"> 0 Day Total Gross Aug. Costs</t>
  </si>
  <si>
    <t>120 Day Total Gross Aug. Costs</t>
  </si>
  <si>
    <t>Rev w/ LBC(S)</t>
  </si>
  <si>
    <t>Rev w/ LBC(NS)</t>
  </si>
  <si>
    <t>1 - Augmentation Pre-Purchase Costs - 0 Day Rule</t>
  </si>
  <si>
    <t>2 - Net Short Costs - 0 Day Rule</t>
  </si>
  <si>
    <t>4 - Total Gross Augmentation Costs in LB CRAC - 0 Day Rule</t>
  </si>
  <si>
    <t xml:space="preserve">7 - Total Revenues from Slice </t>
  </si>
  <si>
    <t xml:space="preserve">8 - Total Revenues from non-Slice products </t>
  </si>
  <si>
    <t>REVw/LBC(S)</t>
  </si>
  <si>
    <t>REVw/LBC(NS)</t>
  </si>
  <si>
    <t>Rows 7, 8, 9 revenue calculations are the revenues BPA earned under LB CRAC'ed rates</t>
  </si>
  <si>
    <t>1 - Augmentation Market Purchases - 120 Day Rule</t>
  </si>
  <si>
    <t>1 - Augmentation Market Purchases - 0 Day Rule</t>
  </si>
  <si>
    <t>2 - Augmentation Power Buybacks - 120 Day Rule</t>
  </si>
  <si>
    <t>2 - Augmentation Power Buybacks - 0 Day Rule</t>
  </si>
  <si>
    <t>1 - Includes only market purchases.</t>
  </si>
  <si>
    <t>Analysis Parameters</t>
  </si>
  <si>
    <t>Input of market purchases and power buybacks by diurnal period by month (both quantity and costs) that are acquired no sooner than 120-days before the beginning of each separate month.</t>
  </si>
  <si>
    <t>0-Day Rule Pre-Purchases - Inputs</t>
  </si>
  <si>
    <t>Input of market purchases and power buybacks by diurnal period by month (both quantity and costs) that are acquired up to  the beginning of each separate month (includes purchases included in 120-day rule worksheet).</t>
  </si>
  <si>
    <t>Input of fixed costs and rates by rate schedule.</t>
  </si>
  <si>
    <t>Performs calculation of LB CRAC gross costs, net costs, revenues using purchases included in 120-Day Rule pre-purchases.</t>
  </si>
  <si>
    <t>Performs calculation of LB CRAC gross costs, net costs, revenues using purchases included in 0-Day Rule pre-purchases.</t>
  </si>
  <si>
    <t>Lookback Calculation</t>
  </si>
  <si>
    <t>Performs the calculations used to determine what surcharge or rebate is required for the true-up.</t>
  </si>
  <si>
    <t>This worksheet is the place where values for a number of variables are input from the look forward analysis and certain variables defining the term and months in a given look back true-up are input and set.</t>
  </si>
  <si>
    <t>Values for independent variables that are dependent on aggregation of user provided data inputs</t>
  </si>
  <si>
    <t>H. Variable Component of the Pre Purchase Costs Determined in the Look Forward Analysis</t>
  </si>
  <si>
    <t>Adjustment Factor (NS)</t>
  </si>
  <si>
    <t>Adjustment Factor(S)</t>
  </si>
  <si>
    <t>Net Short Position                                  HLH</t>
  </si>
  <si>
    <t xml:space="preserve">Power Buybacks                             </t>
  </si>
  <si>
    <t xml:space="preserve">Power Buybacks                            </t>
  </si>
  <si>
    <t>Market Pre-purchase                              HLH</t>
  </si>
  <si>
    <t xml:space="preserve">Market Pre-purchase                              HLH </t>
  </si>
  <si>
    <t xml:space="preserve">3 - Load Reduction Costs </t>
  </si>
  <si>
    <t>3 - All costs associated with load reductions from IOU, DSIs and load following publics are bourn by Slice and non-Slice.</t>
  </si>
  <si>
    <t>2 - net short costs = cost of meeting BPA's net short position</t>
  </si>
  <si>
    <t>120-Day Rule Pre-Purchases - Inputs</t>
  </si>
  <si>
    <t>none</t>
  </si>
  <si>
    <t xml:space="preserve">1 - Augmentation Pre-Purchase Costs </t>
  </si>
  <si>
    <t xml:space="preserve">2 - Net Short Costs </t>
  </si>
  <si>
    <t xml:space="preserve">4 - Total Gross Augmentation Costs in LB CRAC </t>
  </si>
  <si>
    <t>5 - Revenue from the resale of the augmentation quantity using the GRSP formula</t>
  </si>
  <si>
    <t>1 - LB CRAC revenues earned from Slice</t>
  </si>
  <si>
    <t>2 - LB CRAC revenues earned from non-Slice products</t>
  </si>
  <si>
    <t>Rows 3, 4 are the actual LB CRAC Revenue Requirement</t>
  </si>
  <si>
    <t xml:space="preserve">3 - Revenues required from Slice to cover actual LB CRAC costs </t>
  </si>
  <si>
    <t>4 - Revenues required from non-Slice to cover actual LB CRAC costs</t>
  </si>
  <si>
    <t>Rows 1, 2 are the revenues BPA earned only from the LB CRAC part of rates.</t>
  </si>
  <si>
    <t>Bill Adjustment in Dollars (negative indicates refund to customers)</t>
  </si>
  <si>
    <t>9 - Total Revenue with LB CRAC Applied (= 7+8)</t>
  </si>
  <si>
    <t>6 - Bill Adjustment for non-Slice - 120 Day Rule</t>
  </si>
  <si>
    <t>7 - Bill Adjustment non-Slice - 0 Day Rule</t>
  </si>
  <si>
    <t>Rows 10, 11 are the adjustment factors used to determine individual customer bill adjustments</t>
  </si>
  <si>
    <t>10 - Adjustment factor for each Slice customer bill</t>
  </si>
  <si>
    <t>11 - Adjustment factor for each non-Slice customer bill</t>
  </si>
  <si>
    <t xml:space="preserve">Table 1 - Incremental Revenue, Incremental Cost, Bill Adjustment Factors   </t>
  </si>
  <si>
    <t xml:space="preserve">Table 2 - Total Cost and Revenue Calculations - 120 Day Rule </t>
  </si>
  <si>
    <t xml:space="preserve">Table 3 - Total Cost and Revenue Calculations - 0 Day Rule </t>
  </si>
  <si>
    <t>1 - Incremental Revenues from the LB CRAC increment to the May 2000 Slice rate for Oct. '01- March '02.</t>
  </si>
  <si>
    <t>2 - Incremental Revenues from the LB CRAC increment to the May 2000 non-Slice rates for Oct. '01- March '02.</t>
  </si>
  <si>
    <t>3 - Incremental Augmentation Costs in LB CRAC above May 2000 rates for Slice</t>
  </si>
  <si>
    <t>4 - Incremental Augmentation Costs in LB CRAC above May 2000 rates for non-Slice</t>
  </si>
  <si>
    <t>5 - Row 3 Table 1 - row 1 Table 1.</t>
  </si>
  <si>
    <t>6 - Row 4 table 1 - row 2 Table 1.</t>
  </si>
  <si>
    <t>7 - Row 6 table 3 - row 6 Table 2.</t>
  </si>
  <si>
    <t>10 - Applied to Slice payments from customer minus LDD minus C&amp;R.</t>
  </si>
  <si>
    <t>11 - Applied to payments from customer for products subject to LB CRAC minus LDD minus C&amp;R.</t>
  </si>
  <si>
    <t>6 - Actual Net Augmentation Costs in LB CRAC - 120 Day Rule (= 4-5)</t>
  </si>
  <si>
    <t xml:space="preserve">6 - Actual Net Augmentation Costs in LB CRAC 0 Day Rule (= 4-5) </t>
  </si>
  <si>
    <t>7, 8, 9 - Total revenue earned by BPA from Slice and non-Slice products at rates with LB CRAC.</t>
  </si>
  <si>
    <t>Total Results</t>
  </si>
  <si>
    <t>Reports results for a variety of dependent variables and Inputs on a monthly level and some on a diurnal monthly level.</t>
  </si>
  <si>
    <t>Reports inputs to a quarterly and 6-month level of aggregation (when applicable) using simple averaging.</t>
  </si>
  <si>
    <t>Reports total cost, revenues, bill adjustments.</t>
  </si>
  <si>
    <t>Avg. Net Aug. Need + Net Short</t>
  </si>
  <si>
    <t>Reports gross augmentation need, net augmentation need, net short position.</t>
  </si>
  <si>
    <t>5 - Total Bill Adjustment for Slice - 120 Day Rule</t>
  </si>
  <si>
    <t>8 - Total Bill Adjustment for non-Slice - (Sum of 0 Day Rule + 120 Day Rule)</t>
  </si>
  <si>
    <t>9 - Total Bill Adjustment Slice + non-Slice (row 6 + row 8)</t>
  </si>
  <si>
    <t>Sales</t>
  </si>
  <si>
    <t>Payments to BPA</t>
  </si>
  <si>
    <t>Oct- Dec</t>
  </si>
  <si>
    <t>Oct-Dec</t>
  </si>
  <si>
    <t>H. Diurnal Hours</t>
  </si>
  <si>
    <t>D. DSI Loads</t>
  </si>
  <si>
    <t xml:space="preserve">IOU loads </t>
  </si>
  <si>
    <t>NACDIFF (0 Day NACA - 120 Day NACA)</t>
  </si>
  <si>
    <t>Stepped PF-02 (note: demand &amp; load variance numbers included in loads @ 5yr flat PF rates above)</t>
  </si>
  <si>
    <t>Quantity Augmentation Pre-Purchased Tied to LB CRAC</t>
  </si>
  <si>
    <t>Quantity Augmentation Pre-Purchased at Fixed Prices (mkt. purchases + buybacks from publics not tied to LB CRAC)</t>
  </si>
  <si>
    <t>Variable Component of Pre-Purchase Cost for deals tied to LB CRAC</t>
  </si>
  <si>
    <t xml:space="preserve">Total Cost of Augmentation Pre-Purchases </t>
  </si>
  <si>
    <t>Augmentation Pre-Purchased at Fixed Prices (mkt. purchases + buybacks from publics not tied to LB CRAC)</t>
  </si>
  <si>
    <t>Augmentation Pre-Purchases tied to LB CRAC</t>
  </si>
  <si>
    <t>G. 120 Day Rule Mark-to-Market Prices</t>
  </si>
  <si>
    <t>Price of Augmentation not Pre-Purchased  (same prices used in look forward)</t>
  </si>
  <si>
    <t>Total                                                      HLH</t>
  </si>
  <si>
    <t>Total Resale Revenue</t>
  </si>
  <si>
    <r>
      <t xml:space="preserve">Total Revenue BPA </t>
    </r>
    <r>
      <rPr>
        <b/>
        <i/>
        <u val="single"/>
        <sz val="8"/>
        <rFont val="Arial"/>
        <family val="2"/>
      </rPr>
      <t>would have</t>
    </r>
    <r>
      <rPr>
        <b/>
        <sz val="8"/>
        <rFont val="Arial"/>
        <family val="2"/>
      </rPr>
      <t xml:space="preserve"> Received</t>
    </r>
  </si>
  <si>
    <r>
      <t xml:space="preserve">Total Revenue BPA </t>
    </r>
    <r>
      <rPr>
        <b/>
        <i/>
        <u val="single"/>
        <sz val="8"/>
        <rFont val="Arial"/>
        <family val="2"/>
      </rPr>
      <t>actually did</t>
    </r>
    <r>
      <rPr>
        <b/>
        <sz val="8"/>
        <rFont val="Arial"/>
        <family val="2"/>
      </rPr>
      <t xml:space="preserve"> Receive</t>
    </r>
  </si>
  <si>
    <t xml:space="preserve">These numbers are approximate due to the use of simple averaging of actual numbers.  </t>
  </si>
  <si>
    <t>These numbers are approximate due to the use of simple averaging of actual numbers.</t>
  </si>
  <si>
    <r>
      <t xml:space="preserve">Rates </t>
    </r>
    <r>
      <rPr>
        <b/>
        <u val="single"/>
        <sz val="8"/>
        <color indexed="10"/>
        <rFont val="Arial"/>
        <family val="2"/>
      </rPr>
      <t>without</t>
    </r>
    <r>
      <rPr>
        <b/>
        <u val="single"/>
        <sz val="8"/>
        <color indexed="8"/>
        <rFont val="Arial"/>
        <family val="2"/>
      </rPr>
      <t xml:space="preserve"> LB CRAC Applied - DO NOT INPUT HERE - see Analysis Parameters Worksheet</t>
    </r>
  </si>
  <si>
    <r>
      <t xml:space="preserve">Rates </t>
    </r>
    <r>
      <rPr>
        <b/>
        <u val="single"/>
        <sz val="8"/>
        <color indexed="10"/>
        <rFont val="Arial"/>
        <family val="2"/>
      </rPr>
      <t>with</t>
    </r>
    <r>
      <rPr>
        <b/>
        <u val="single"/>
        <sz val="8"/>
        <color indexed="8"/>
        <rFont val="Arial"/>
        <family val="2"/>
      </rPr>
      <t xml:space="preserve"> LB CRAC Applied Do NOT INPUT HERE - see Analysis Parameters Worksheet</t>
    </r>
  </si>
  <si>
    <t>These numbers are approximate due to the use of simple averaging.</t>
  </si>
  <si>
    <t>=(AAMTA/APP)*(TCAPPA)</t>
  </si>
  <si>
    <t>=TCAPPA</t>
  </si>
  <si>
    <t>=(TCAPPA)+((AAMTA-APP)*PRICE*Diurnal Hours)</t>
  </si>
  <si>
    <t>If APP is greater than AAMTA</t>
  </si>
  <si>
    <t>If APP is equal to AAMTA</t>
  </si>
  <si>
    <t>If APP is less than AAMTA</t>
  </si>
  <si>
    <t>=1745 - ((Amount of DSI load reduction/1486)*450)</t>
  </si>
  <si>
    <t>=AAMTA - SALESMAYAUG</t>
  </si>
  <si>
    <t>SALESNEWAUGA</t>
  </si>
  <si>
    <t>MARRA</t>
  </si>
  <si>
    <t>=((SALESMAYAUGA*$28.10)+(SALESNEWAUGA*$19.26))*Hours in the Month</t>
  </si>
  <si>
    <t>=Sum of MARRA for each month in a six month period</t>
  </si>
  <si>
    <t>=TAUGCA-TARRA</t>
  </si>
  <si>
    <t>Slice Revenue</t>
  </si>
  <si>
    <t>Non-Slice Revenue</t>
  </si>
  <si>
    <t>total CRAc'able Revenue</t>
  </si>
  <si>
    <t>Month of Slice Revenue</t>
  </si>
  <si>
    <t>Month of non-Slice Revenue</t>
  </si>
  <si>
    <t>=ΣREVw/LBC(S) for each month in a six-month period</t>
  </si>
  <si>
    <t>=ΣREVw/LBC(NS) for each month in a six-month period</t>
  </si>
  <si>
    <t>=TREVw/LBC(S)+TREVw/LBC(NS)</t>
  </si>
  <si>
    <t xml:space="preserve">The following equations calculate revenues BPA has available to pay augmentation costs using the rates with LB CRAC and actual loads. </t>
  </si>
  <si>
    <t>Slice Monthly Revenue</t>
  </si>
  <si>
    <t>Non-Slice Monthly Revenue</t>
  </si>
  <si>
    <t>Slice Total revenue</t>
  </si>
  <si>
    <t>Non-Slice Total Revenue</t>
  </si>
  <si>
    <t>Grand Total Revenue</t>
  </si>
  <si>
    <t>=(May 2000 RATE(S)*LOAD(S))-LDD(S)-C&amp;R(S)</t>
  </si>
  <si>
    <t>=(May 2000 RATE(NS)*LOAD(NS))-LDD(NS)-C&amp;R(NS)</t>
  </si>
  <si>
    <t>=Slice load in month X * Revised Slice rate in month X/7070*100-LDD in month X -C&amp;R in month X</t>
  </si>
  <si>
    <t>=load in month X * Revised rate applied to that load in month X - LDD in month X - C&amp;R in month X</t>
  </si>
  <si>
    <t>=(NSL(A)-MSC)*(1+TLA)</t>
  </si>
  <si>
    <t>=Sum of the six monthly(DIURNALACA+BUYDOWN+OC)</t>
  </si>
  <si>
    <t>SALESMAYAUGA</t>
  </si>
  <si>
    <t xml:space="preserve">1 - Net System Load </t>
  </si>
  <si>
    <t>1 - For the true up, net system load is the actual load.</t>
  </si>
  <si>
    <t>PF Load Served</t>
  </si>
  <si>
    <t>RL Load Served</t>
  </si>
  <si>
    <t>IP Load Served</t>
  </si>
  <si>
    <t>3 - Net Augmentation Need (w/losses)</t>
  </si>
  <si>
    <t xml:space="preserve">4 - Net Short Position </t>
  </si>
  <si>
    <t>D. Chase Product</t>
  </si>
  <si>
    <t>Credit in LB CRAC</t>
  </si>
  <si>
    <t xml:space="preserve">     mitigation deals with Slice/Block included here.  IOU power conversions costs here also.</t>
  </si>
  <si>
    <t xml:space="preserve">    (Cost of IOU and DSI load reduction deals are contained in row 3).  Rate mitigation buyback </t>
  </si>
  <si>
    <t xml:space="preserve">    costs include both premium portion and cost of deals tied to LB CRAC. </t>
  </si>
  <si>
    <t xml:space="preserve">    Also, the Chase product is included as a credit in the calculation of Total Gross Augmentation Costs.</t>
  </si>
  <si>
    <t xml:space="preserve">    mitigation deals with Slice/Block included here.  IOU power conversions costs here also.</t>
  </si>
  <si>
    <t xml:space="preserve">     Also, the Chase product included as a credit in the calculation of Total Gross Augmentation Costs.</t>
  </si>
  <si>
    <r>
      <t xml:space="preserve">E. </t>
    </r>
    <r>
      <rPr>
        <b/>
        <i/>
        <sz val="8"/>
        <color indexed="10"/>
        <rFont val="Arial"/>
        <family val="2"/>
      </rPr>
      <t>Base</t>
    </r>
    <r>
      <rPr>
        <b/>
        <i/>
        <sz val="8"/>
        <rFont val="Arial"/>
        <family val="2"/>
      </rPr>
      <t xml:space="preserve"> Rates from the Look Forward Analysis</t>
    </r>
  </si>
  <si>
    <t>I. Melded PF Price from Look Forward with LB CRAC Applied</t>
  </si>
  <si>
    <t>Conservation and Renewable Discount– Non-Slice</t>
  </si>
  <si>
    <t>Conservation and Renewable Discount– Slice</t>
  </si>
  <si>
    <t>NOTE: The values in this table are all input from external sources and the links to the external sources are overridden.</t>
  </si>
  <si>
    <t>120-Day Rule Calculations</t>
  </si>
  <si>
    <t>Step One - Calculate the Revenue Collected form the LB CRAC</t>
  </si>
  <si>
    <t xml:space="preserve">Step Four - Calculating the Incremental Cost for the 0-Day Rule </t>
  </si>
  <si>
    <t>Step Five - Determining Customer Bill Adjustments</t>
  </si>
  <si>
    <t>Note: The Step Five equations calculate a revised form of the equations in the GRSPs that are then separately applied to Custrev.</t>
  </si>
  <si>
    <t>These equations calculate revenue BPA would have received using actual loads at the May 2000 rates - LDD - C&amp;R</t>
  </si>
  <si>
    <t>Fixed Cost of Augment pre-purchases not tied to LB CRAC</t>
  </si>
  <si>
    <t>Premium Component of Pre-Purchases tied to LB CRAC</t>
  </si>
  <si>
    <t xml:space="preserve">Total Fixed Cost of Augment Pre-Purchases </t>
  </si>
  <si>
    <t xml:space="preserve">Total Cost of Augment Pre-Purchases </t>
  </si>
  <si>
    <t>Values Calculated within the Model</t>
  </si>
  <si>
    <t>120-Day Rule Calc's</t>
  </si>
  <si>
    <t xml:space="preserve">0-Day Rule Calc's </t>
  </si>
  <si>
    <t>2. Italic sections have a link to an external data source with the value hardwired in this model.</t>
  </si>
  <si>
    <t>(note: total gross aug. costs = sum of diurnal costs + load reduction costs - credits for Chase product)</t>
  </si>
  <si>
    <t>120-Day Net Augmentation Cost Actual</t>
  </si>
  <si>
    <t>0-Day Net Augmentation Cost Actual</t>
  </si>
  <si>
    <t>Revenue calculated using actual loads and May 2000 rates, minus (LDD under May 2000 rates + C&amp;R)</t>
  </si>
  <si>
    <r>
      <t xml:space="preserve">Revenue using </t>
    </r>
    <r>
      <rPr>
        <b/>
        <u val="single"/>
        <sz val="8"/>
        <rFont val="Arial"/>
        <family val="2"/>
      </rPr>
      <t>actual</t>
    </r>
    <r>
      <rPr>
        <b/>
        <sz val="8"/>
        <rFont val="Arial"/>
        <family val="2"/>
      </rPr>
      <t xml:space="preserve"> loads &amp; LB CRAC rates, minus (LDD under LB CRAC rates + C&amp;R)</t>
    </r>
  </si>
  <si>
    <t>Table 4 -Monthly Results</t>
  </si>
  <si>
    <t>Table 5 - Average Net Augmentation Need and Net Short Position</t>
  </si>
  <si>
    <t>2 - System Capability monthly amounts were established in the rate case.</t>
  </si>
  <si>
    <t>Table 6 - Quarterly Average Loads</t>
  </si>
  <si>
    <t>Table 7 - Quarterly LDD &amp; C&amp;R Dollars</t>
  </si>
  <si>
    <t>Table 8 - Average Pre-Purchase Quantities to Meet Augmentation Need</t>
  </si>
  <si>
    <t>2 - Includes rate mitigation with Block/Slice customers and IOU conversions from power to cash.</t>
  </si>
  <si>
    <t>DSI Load Reduction (paid for and price induced)</t>
  </si>
  <si>
    <t xml:space="preserve">d. Stepped PF Rates </t>
  </si>
  <si>
    <t xml:space="preserve">Premium Component </t>
  </si>
  <si>
    <t xml:space="preserve">Section II - Rate Mitigation Power Buybacks with Pricing Tied to LB CRAC </t>
  </si>
  <si>
    <t xml:space="preserve">NOTE :  The values in this worksheet are either input from external sources or other worksheets in this model.  </t>
  </si>
  <si>
    <t xml:space="preserve">               All links to external sources are overridden.</t>
  </si>
  <si>
    <t>LDD  Costs Under the Revised Rates</t>
  </si>
  <si>
    <t>A. Loads (Calculated from Load Inputs worksheet)</t>
  </si>
  <si>
    <t xml:space="preserve">E.  Summary Table of Load Reduction Costs (from Fixed Cost &amp; Rates worksheet) </t>
  </si>
  <si>
    <t>C. Summary Table of Pre-Purchase Quantities and Costs - 0 Day Rule (from 0-Day Rule Pre-Purchases Worksheet)</t>
  </si>
  <si>
    <t>B. Summary Table of Pre-Purchase Quantities and Costs - 120 Day Rule (from 120-Day Rule Pre-Purchases Worksheet)</t>
  </si>
  <si>
    <t>120-Day Rule Prices</t>
  </si>
  <si>
    <t>1. This spreadsheet will include all the deals included in the 120-day rule worksheet plus deals in these categories that are made before the month but after the 120-day cutoff for that month that did not meet the 120-day cutoff.</t>
  </si>
  <si>
    <t>LDD costs under May 2000 rates are estimated using the above value and adjusting it using the appropriate rate adjustment from  the look forward analysis.</t>
  </si>
  <si>
    <t>MODEL OVERVIEW -- LB CRAC CALCULATIONS FOR THE TRUE-UP</t>
  </si>
  <si>
    <r>
      <t xml:space="preserve"> F. </t>
    </r>
    <r>
      <rPr>
        <b/>
        <i/>
        <sz val="8"/>
        <color indexed="10"/>
        <rFont val="Arial"/>
        <family val="2"/>
      </rPr>
      <t>Revised</t>
    </r>
    <r>
      <rPr>
        <b/>
        <i/>
        <sz val="8"/>
        <color indexed="8"/>
        <rFont val="Arial"/>
        <family val="2"/>
      </rPr>
      <t xml:space="preserve"> Rates from LB CRAC Look Forward</t>
    </r>
  </si>
  <si>
    <t xml:space="preserve">3 - Net Augmentation Need reflects net system load minus system capability plus  </t>
  </si>
  <si>
    <t xml:space="preserve">     losses of 1.8%.  It is the simple average of actual monthly net augmentation need </t>
  </si>
  <si>
    <t xml:space="preserve">     used in the model.   </t>
  </si>
  <si>
    <t xml:space="preserve">4 - The net short position is the simple average of the HLH and LLH actual net short </t>
  </si>
  <si>
    <t xml:space="preserve">       positions for the given months.  </t>
  </si>
  <si>
    <t>NOTE: all the demand and load variance sales for both 5-yr flat and stepped rates are contained in the 5-yr flat input cells.</t>
  </si>
  <si>
    <t>2. Data are from external sources and the links have been overridden.</t>
  </si>
  <si>
    <t xml:space="preserve">A. Slice Loads - contract amount </t>
  </si>
  <si>
    <t>Loads - West (metered for load following plus contract amount for block)</t>
  </si>
  <si>
    <t>Slice</t>
  </si>
  <si>
    <t xml:space="preserve">Slice </t>
  </si>
  <si>
    <t>1. This worksheet contains parameters input to the analysis of two kinds: (a) the term covered by the look back analysis, and (b) values from the look forward analysis done for this same term and important in the look back calculations.</t>
  </si>
  <si>
    <t xml:space="preserve">1. Includes market purchases, power purchases from publics, power buybacks through rate mitigation from Block/Slice customers, and IOU conversions are included in this spreadsheet.  </t>
  </si>
  <si>
    <t>b. Purchases from Publics, IOUs, and DSIs, including IOU conversions
(note: the power for money IOU conversions may go in here as long as they meet the 120 day rule)</t>
  </si>
  <si>
    <t>b. Purchases from Publics, IOUs, and DSIs plus IOU conversions.</t>
  </si>
  <si>
    <t xml:space="preserve">NOTE:  All the values in this table are calculated internally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</si>
</sst>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quot;$&quot;#,##0.00"/>
    <numFmt numFmtId="166" formatCode="&quot;$&quot;#,##0"/>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_(* #,##0_);_(* \(#,##0\);_(* &quot;-&quot;??_);_(@_)"/>
    <numFmt numFmtId="172" formatCode="#,##0.00000"/>
    <numFmt numFmtId="173" formatCode="0.000"/>
    <numFmt numFmtId="174" formatCode="0.000%"/>
    <numFmt numFmtId="175" formatCode="0.0%"/>
    <numFmt numFmtId="176" formatCode="#,##0.0_);\(#,##0.0\)"/>
    <numFmt numFmtId="177" formatCode="#,##0.000_);\(#,##0.000\)"/>
    <numFmt numFmtId="178" formatCode="#,##0.0000_);\(#,##0.0000\)"/>
    <numFmt numFmtId="179" formatCode="#,##0.00000_);\(#,##0.00000\)"/>
    <numFmt numFmtId="180" formatCode="#,##0.000"/>
    <numFmt numFmtId="181" formatCode="#,##0.000000_);\(#,##0.000000\)"/>
    <numFmt numFmtId="182" formatCode="#,##0.00000000000"/>
    <numFmt numFmtId="183" formatCode="#,##0.0"/>
    <numFmt numFmtId="184" formatCode="0.0000"/>
    <numFmt numFmtId="185" formatCode="0.0"/>
    <numFmt numFmtId="186" formatCode="0.000000"/>
    <numFmt numFmtId="187" formatCode="0.00000"/>
    <numFmt numFmtId="188" formatCode="#,##0.000000000"/>
    <numFmt numFmtId="189" formatCode="#,##0.00000000"/>
    <numFmt numFmtId="190" formatCode="#,##0.0000000_);\(#,##0.0000000\)"/>
    <numFmt numFmtId="191" formatCode="_(* #,##0.0_);_(* \(#,##0.0\);_(* &quot;-&quot;??_);_(@_)"/>
    <numFmt numFmtId="192" formatCode="_(&quot;$&quot;* #,##0.0_);_(&quot;$&quot;* \(#,##0.0\);_(&quot;$&quot;* &quot;-&quot;??_);_(@_)"/>
    <numFmt numFmtId="193" formatCode="0.0000%"/>
    <numFmt numFmtId="194" formatCode="0.00000%"/>
    <numFmt numFmtId="195" formatCode="0.000000%"/>
    <numFmt numFmtId="196" formatCode="#,##0.00000000_);\(#,##0.00000000\)"/>
    <numFmt numFmtId="197" formatCode="#,##0.000000000_);\(#,##0.000000000\)"/>
    <numFmt numFmtId="198" formatCode="0.0000000000"/>
    <numFmt numFmtId="199" formatCode="0.00000000000"/>
    <numFmt numFmtId="200" formatCode="0.000000000000"/>
    <numFmt numFmtId="201" formatCode="0.000000000"/>
  </numFmts>
  <fonts count="23">
    <font>
      <sz val="10"/>
      <name val="Arial"/>
      <family val="0"/>
    </font>
    <font>
      <b/>
      <u val="single"/>
      <sz val="10"/>
      <name val="Arial"/>
      <family val="2"/>
    </font>
    <font>
      <b/>
      <sz val="10"/>
      <name val="Arial"/>
      <family val="2"/>
    </font>
    <font>
      <u val="single"/>
      <sz val="10"/>
      <color indexed="12"/>
      <name val="Arial"/>
      <family val="0"/>
    </font>
    <font>
      <u val="single"/>
      <sz val="10"/>
      <color indexed="36"/>
      <name val="Arial"/>
      <family val="0"/>
    </font>
    <font>
      <sz val="8"/>
      <name val="Arial"/>
      <family val="2"/>
    </font>
    <font>
      <b/>
      <sz val="8"/>
      <name val="Arial"/>
      <family val="2"/>
    </font>
    <font>
      <b/>
      <u val="single"/>
      <sz val="8"/>
      <name val="Arial"/>
      <family val="2"/>
    </font>
    <font>
      <i/>
      <sz val="8"/>
      <name val="Arial"/>
      <family val="2"/>
    </font>
    <font>
      <sz val="8"/>
      <color indexed="10"/>
      <name val="Arial"/>
      <family val="2"/>
    </font>
    <font>
      <b/>
      <sz val="8"/>
      <color indexed="10"/>
      <name val="Arial"/>
      <family val="2"/>
    </font>
    <font>
      <b/>
      <i/>
      <u val="single"/>
      <sz val="8"/>
      <name val="Arial"/>
      <family val="2"/>
    </font>
    <font>
      <b/>
      <i/>
      <sz val="8"/>
      <name val="Arial"/>
      <family val="2"/>
    </font>
    <font>
      <u val="single"/>
      <sz val="8"/>
      <name val="Arial"/>
      <family val="2"/>
    </font>
    <font>
      <b/>
      <u val="single"/>
      <sz val="8"/>
      <color indexed="8"/>
      <name val="Arial"/>
      <family val="2"/>
    </font>
    <font>
      <b/>
      <u val="single"/>
      <sz val="8"/>
      <color indexed="10"/>
      <name val="Arial"/>
      <family val="2"/>
    </font>
    <font>
      <b/>
      <u val="single"/>
      <sz val="8"/>
      <color indexed="53"/>
      <name val="Arial"/>
      <family val="2"/>
    </font>
    <font>
      <b/>
      <sz val="8"/>
      <color indexed="8"/>
      <name val="Arial"/>
      <family val="2"/>
    </font>
    <font>
      <sz val="8"/>
      <color indexed="8"/>
      <name val="Arial"/>
      <family val="2"/>
    </font>
    <font>
      <b/>
      <i/>
      <sz val="8"/>
      <color indexed="10"/>
      <name val="Arial"/>
      <family val="2"/>
    </font>
    <font>
      <b/>
      <sz val="8"/>
      <color indexed="48"/>
      <name val="Arial"/>
      <family val="2"/>
    </font>
    <font>
      <i/>
      <sz val="10"/>
      <name val="Arial"/>
      <family val="2"/>
    </font>
    <font>
      <b/>
      <i/>
      <sz val="8"/>
      <color indexed="8"/>
      <name val="Arial"/>
      <family val="2"/>
    </font>
  </fonts>
  <fills count="1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s>
  <borders count="31">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medium"/>
      <bottom>
        <color indexed="63"/>
      </bottom>
    </border>
    <border>
      <left style="thin"/>
      <right style="thin"/>
      <top>
        <color indexed="63"/>
      </top>
      <bottom style="thin"/>
    </border>
    <border>
      <left style="medium"/>
      <right>
        <color indexed="63"/>
      </right>
      <top>
        <color indexed="63"/>
      </top>
      <bottom>
        <color indexed="63"/>
      </bottom>
    </border>
    <border>
      <left style="thin"/>
      <right style="thin"/>
      <top style="thin"/>
      <bottom style="thin"/>
    </border>
    <border>
      <left style="medium"/>
      <right>
        <color indexed="63"/>
      </right>
      <top style="medium"/>
      <bottom>
        <color indexed="63"/>
      </bottom>
    </border>
    <border>
      <left style="thin"/>
      <right style="thin"/>
      <top style="medium"/>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53">
    <xf numFmtId="0" fontId="0" fillId="0" borderId="0" xfId="0" applyAlignment="1">
      <alignment/>
    </xf>
    <xf numFmtId="0" fontId="2" fillId="0" borderId="0" xfId="0" applyFont="1" applyAlignment="1">
      <alignment horizontal="center"/>
    </xf>
    <xf numFmtId="0" fontId="5" fillId="0" borderId="0" xfId="0" applyFont="1" applyAlignment="1">
      <alignment/>
    </xf>
    <xf numFmtId="171" fontId="5" fillId="0" borderId="0" xfId="15" applyNumberFormat="1" applyFont="1" applyAlignment="1">
      <alignment/>
    </xf>
    <xf numFmtId="0" fontId="5"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7" fillId="0" borderId="0" xfId="0" applyFont="1" applyAlignment="1">
      <alignment/>
    </xf>
    <xf numFmtId="0" fontId="6" fillId="0" borderId="0" xfId="0" applyFont="1" applyFill="1" applyAlignment="1">
      <alignment/>
    </xf>
    <xf numFmtId="0" fontId="5" fillId="0" borderId="0" xfId="0" applyFont="1" applyFill="1" applyAlignment="1">
      <alignment horizontal="center"/>
    </xf>
    <xf numFmtId="0" fontId="5" fillId="0" borderId="0" xfId="0" applyFont="1" applyFill="1" applyAlignment="1">
      <alignment/>
    </xf>
    <xf numFmtId="171" fontId="5" fillId="0" borderId="0" xfId="15" applyNumberFormat="1" applyFont="1" applyFill="1" applyAlignment="1">
      <alignment horizontal="center"/>
    </xf>
    <xf numFmtId="0" fontId="5" fillId="0" borderId="0" xfId="0" applyFont="1" applyAlignment="1">
      <alignment/>
    </xf>
    <xf numFmtId="3" fontId="5" fillId="0" borderId="0" xfId="0" applyNumberFormat="1" applyFont="1" applyAlignment="1">
      <alignment horizontal="center"/>
    </xf>
    <xf numFmtId="0" fontId="5" fillId="0" borderId="0" xfId="0" applyFont="1" applyAlignment="1">
      <alignment horizontal="center"/>
    </xf>
    <xf numFmtId="0" fontId="8" fillId="0" borderId="0" xfId="0" applyFont="1" applyFill="1" applyBorder="1" applyAlignment="1">
      <alignment/>
    </xf>
    <xf numFmtId="0" fontId="8" fillId="0" borderId="0" xfId="0" applyFont="1" applyBorder="1" applyAlignment="1">
      <alignment/>
    </xf>
    <xf numFmtId="0" fontId="8" fillId="0" borderId="0" xfId="0" applyFont="1" applyAlignment="1">
      <alignment/>
    </xf>
    <xf numFmtId="0" fontId="5" fillId="2" borderId="1" xfId="0" applyFont="1" applyFill="1" applyBorder="1" applyAlignment="1">
      <alignment/>
    </xf>
    <xf numFmtId="3" fontId="5" fillId="2" borderId="2" xfId="0" applyNumberFormat="1" applyFont="1" applyFill="1" applyBorder="1" applyAlignment="1">
      <alignment horizontal="center"/>
    </xf>
    <xf numFmtId="0" fontId="6" fillId="3" borderId="3" xfId="0" applyFont="1" applyFill="1" applyBorder="1" applyAlignment="1">
      <alignment/>
    </xf>
    <xf numFmtId="0" fontId="5" fillId="3" borderId="4" xfId="0" applyFont="1" applyFill="1" applyBorder="1" applyAlignment="1">
      <alignment horizontal="center"/>
    </xf>
    <xf numFmtId="0" fontId="5" fillId="3" borderId="5" xfId="0" applyFont="1" applyFill="1" applyBorder="1" applyAlignment="1">
      <alignment/>
    </xf>
    <xf numFmtId="0" fontId="5" fillId="3" borderId="0" xfId="0" applyFont="1" applyFill="1" applyBorder="1" applyAlignment="1">
      <alignment horizontal="center"/>
    </xf>
    <xf numFmtId="0" fontId="5" fillId="3" borderId="5" xfId="0" applyFont="1" applyFill="1" applyBorder="1" applyAlignment="1">
      <alignment/>
    </xf>
    <xf numFmtId="3" fontId="5" fillId="3" borderId="0" xfId="0" applyNumberFormat="1" applyFont="1" applyFill="1" applyBorder="1" applyAlignment="1">
      <alignment horizontal="center"/>
    </xf>
    <xf numFmtId="0" fontId="8" fillId="3" borderId="5" xfId="0" applyFont="1" applyFill="1" applyBorder="1" applyAlignment="1">
      <alignment/>
    </xf>
    <xf numFmtId="0" fontId="6" fillId="3" borderId="5" xfId="0" applyFont="1" applyFill="1" applyBorder="1" applyAlignment="1">
      <alignment/>
    </xf>
    <xf numFmtId="0" fontId="5" fillId="3" borderId="6" xfId="0" applyFont="1" applyFill="1" applyBorder="1" applyAlignment="1">
      <alignment/>
    </xf>
    <xf numFmtId="0" fontId="5" fillId="3" borderId="7" xfId="0" applyFont="1" applyFill="1" applyBorder="1" applyAlignment="1">
      <alignment horizontal="center"/>
    </xf>
    <xf numFmtId="0" fontId="5" fillId="4" borderId="3" xfId="0" applyFont="1" applyFill="1" applyBorder="1" applyAlignment="1">
      <alignment/>
    </xf>
    <xf numFmtId="3" fontId="5" fillId="4" borderId="4" xfId="0" applyNumberFormat="1" applyFont="1" applyFill="1" applyBorder="1" applyAlignment="1">
      <alignment horizontal="center"/>
    </xf>
    <xf numFmtId="0" fontId="5" fillId="4" borderId="5" xfId="0" applyFont="1" applyFill="1" applyBorder="1" applyAlignment="1">
      <alignment/>
    </xf>
    <xf numFmtId="3" fontId="5" fillId="4" borderId="0" xfId="0" applyNumberFormat="1" applyFont="1" applyFill="1" applyBorder="1" applyAlignment="1">
      <alignment horizontal="center"/>
    </xf>
    <xf numFmtId="0" fontId="5" fillId="4" borderId="5" xfId="0" applyFont="1" applyFill="1" applyBorder="1" applyAlignment="1">
      <alignment/>
    </xf>
    <xf numFmtId="0" fontId="5" fillId="4" borderId="6" xfId="0" applyFont="1" applyFill="1" applyBorder="1" applyAlignment="1">
      <alignment/>
    </xf>
    <xf numFmtId="3" fontId="5" fillId="4" borderId="7" xfId="0" applyNumberFormat="1" applyFont="1" applyFill="1" applyBorder="1" applyAlignment="1">
      <alignment horizontal="center"/>
    </xf>
    <xf numFmtId="0" fontId="5" fillId="0" borderId="0" xfId="0" applyFont="1" applyFill="1" applyAlignment="1">
      <alignment horizontal="center"/>
    </xf>
    <xf numFmtId="171" fontId="5" fillId="0" borderId="0" xfId="0" applyNumberFormat="1" applyFont="1" applyAlignment="1">
      <alignment horizontal="center"/>
    </xf>
    <xf numFmtId="0" fontId="5" fillId="3" borderId="8" xfId="0" applyFont="1" applyFill="1" applyBorder="1" applyAlignment="1">
      <alignment horizontal="center"/>
    </xf>
    <xf numFmtId="3" fontId="5" fillId="0" borderId="0" xfId="0" applyNumberFormat="1" applyFont="1" applyAlignment="1">
      <alignment horizontal="left"/>
    </xf>
    <xf numFmtId="3" fontId="5" fillId="0" borderId="0" xfId="0" applyNumberFormat="1" applyFont="1" applyAlignment="1">
      <alignment/>
    </xf>
    <xf numFmtId="171" fontId="5" fillId="0" borderId="0" xfId="0" applyNumberFormat="1" applyFont="1" applyAlignment="1">
      <alignment/>
    </xf>
    <xf numFmtId="171" fontId="5" fillId="0" borderId="0" xfId="15" applyNumberFormat="1" applyFont="1" applyAlignment="1">
      <alignment horizontal="center"/>
    </xf>
    <xf numFmtId="171" fontId="5" fillId="0" borderId="0" xfId="15" applyNumberFormat="1" applyFont="1" applyFill="1" applyAlignment="1">
      <alignment/>
    </xf>
    <xf numFmtId="43" fontId="5" fillId="0" borderId="0" xfId="0" applyNumberFormat="1" applyFont="1" applyAlignment="1">
      <alignment horizontal="center"/>
    </xf>
    <xf numFmtId="43" fontId="5" fillId="0" borderId="0" xfId="15" applyNumberFormat="1" applyFont="1" applyAlignment="1">
      <alignment/>
    </xf>
    <xf numFmtId="43" fontId="5" fillId="0" borderId="0" xfId="0" applyNumberFormat="1" applyFont="1" applyAlignment="1">
      <alignment/>
    </xf>
    <xf numFmtId="17" fontId="0" fillId="0" borderId="0" xfId="0" applyNumberFormat="1" applyBorder="1" applyAlignment="1">
      <alignment horizontal="center"/>
    </xf>
    <xf numFmtId="0" fontId="5" fillId="3" borderId="9" xfId="0" applyFont="1" applyFill="1" applyBorder="1" applyAlignment="1">
      <alignment horizontal="center"/>
    </xf>
    <xf numFmtId="171" fontId="5" fillId="0" borderId="0" xfId="15" applyNumberFormat="1" applyFont="1" applyAlignment="1">
      <alignment/>
    </xf>
    <xf numFmtId="0" fontId="5" fillId="0" borderId="0" xfId="0" applyFont="1" applyAlignment="1" quotePrefix="1">
      <alignment/>
    </xf>
    <xf numFmtId="0" fontId="6" fillId="5" borderId="3" xfId="0" applyFont="1" applyFill="1" applyBorder="1" applyAlignment="1">
      <alignment/>
    </xf>
    <xf numFmtId="0" fontId="5" fillId="0" borderId="0" xfId="0" applyFont="1" applyFill="1" applyAlignment="1">
      <alignment/>
    </xf>
    <xf numFmtId="0" fontId="5" fillId="0" borderId="0" xfId="0" applyFont="1" applyFill="1" applyAlignment="1">
      <alignment horizontal="left"/>
    </xf>
    <xf numFmtId="3" fontId="5" fillId="3" borderId="7" xfId="0" applyNumberFormat="1" applyFont="1" applyFill="1" applyBorder="1" applyAlignment="1">
      <alignment horizontal="left"/>
    </xf>
    <xf numFmtId="0" fontId="5" fillId="0" borderId="0" xfId="0" applyFont="1" applyFill="1" applyAlignment="1" quotePrefix="1">
      <alignment/>
    </xf>
    <xf numFmtId="0" fontId="6" fillId="3" borderId="10" xfId="0" applyFont="1" applyFill="1" applyBorder="1" applyAlignment="1">
      <alignment/>
    </xf>
    <xf numFmtId="0" fontId="6" fillId="3" borderId="11" xfId="0" applyFont="1" applyFill="1" applyBorder="1" applyAlignment="1">
      <alignment/>
    </xf>
    <xf numFmtId="0" fontId="6" fillId="2" borderId="1" xfId="0" applyFont="1" applyFill="1" applyBorder="1" applyAlignment="1">
      <alignment/>
    </xf>
    <xf numFmtId="3" fontId="8" fillId="3" borderId="0" xfId="0" applyNumberFormat="1" applyFont="1" applyFill="1" applyBorder="1" applyAlignment="1">
      <alignment horizontal="center"/>
    </xf>
    <xf numFmtId="3" fontId="5" fillId="5" borderId="4" xfId="0" applyNumberFormat="1" applyFont="1" applyFill="1" applyBorder="1" applyAlignment="1">
      <alignment horizontal="center"/>
    </xf>
    <xf numFmtId="0" fontId="6" fillId="5" borderId="6" xfId="0" applyFont="1" applyFill="1" applyBorder="1" applyAlignment="1">
      <alignment/>
    </xf>
    <xf numFmtId="3" fontId="5" fillId="5" borderId="7" xfId="0" applyNumberFormat="1" applyFont="1" applyFill="1" applyBorder="1" applyAlignment="1">
      <alignment horizontal="center"/>
    </xf>
    <xf numFmtId="0" fontId="5" fillId="5" borderId="3" xfId="0" applyFont="1" applyFill="1" applyBorder="1" applyAlignment="1">
      <alignment/>
    </xf>
    <xf numFmtId="37" fontId="5" fillId="5" borderId="12" xfId="17" applyNumberFormat="1" applyFont="1" applyFill="1" applyBorder="1" applyAlignment="1">
      <alignment horizontal="center"/>
    </xf>
    <xf numFmtId="0" fontId="5" fillId="5" borderId="5" xfId="0" applyFont="1" applyFill="1" applyBorder="1" applyAlignment="1">
      <alignment/>
    </xf>
    <xf numFmtId="37" fontId="5" fillId="5" borderId="9" xfId="17" applyNumberFormat="1" applyFont="1" applyFill="1" applyBorder="1" applyAlignment="1">
      <alignment horizontal="center"/>
    </xf>
    <xf numFmtId="0" fontId="5" fillId="5" borderId="6" xfId="0" applyFont="1" applyFill="1" applyBorder="1" applyAlignment="1">
      <alignment/>
    </xf>
    <xf numFmtId="37" fontId="5" fillId="5" borderId="8" xfId="17" applyNumberFormat="1" applyFont="1" applyFill="1" applyBorder="1" applyAlignment="1">
      <alignment horizontal="center"/>
    </xf>
    <xf numFmtId="3" fontId="5" fillId="3" borderId="7" xfId="0" applyNumberFormat="1" applyFont="1" applyFill="1" applyBorder="1" applyAlignment="1">
      <alignment horizontal="center"/>
    </xf>
    <xf numFmtId="0" fontId="5" fillId="4" borderId="7" xfId="0" applyFont="1" applyFill="1" applyBorder="1" applyAlignment="1">
      <alignment horizontal="center"/>
    </xf>
    <xf numFmtId="0" fontId="5" fillId="4" borderId="1" xfId="0" applyFont="1" applyFill="1" applyBorder="1" applyAlignment="1">
      <alignment/>
    </xf>
    <xf numFmtId="3" fontId="5" fillId="4" borderId="13" xfId="0" applyNumberFormat="1" applyFont="1" applyFill="1" applyBorder="1" applyAlignment="1">
      <alignment horizontal="center"/>
    </xf>
    <xf numFmtId="0" fontId="9" fillId="0" borderId="0" xfId="0" applyFont="1" applyAlignment="1">
      <alignment/>
    </xf>
    <xf numFmtId="0" fontId="10" fillId="0" borderId="0" xfId="0" applyFont="1" applyAlignment="1">
      <alignment horizontal="left"/>
    </xf>
    <xf numFmtId="3" fontId="9" fillId="3" borderId="4" xfId="0" applyNumberFormat="1" applyFont="1" applyFill="1" applyBorder="1" applyAlignment="1">
      <alignment horizontal="left"/>
    </xf>
    <xf numFmtId="0" fontId="9" fillId="3" borderId="4" xfId="0" applyFont="1" applyFill="1" applyBorder="1" applyAlignment="1">
      <alignment horizontal="left"/>
    </xf>
    <xf numFmtId="3" fontId="9" fillId="0" borderId="0" xfId="0" applyNumberFormat="1" applyFont="1" applyAlignment="1">
      <alignment horizontal="left"/>
    </xf>
    <xf numFmtId="3" fontId="5" fillId="0" borderId="0" xfId="0" applyNumberFormat="1" applyFont="1" applyAlignment="1">
      <alignment/>
    </xf>
    <xf numFmtId="37" fontId="5" fillId="0" borderId="0" xfId="0" applyNumberFormat="1" applyFont="1" applyAlignment="1">
      <alignment horizontal="center"/>
    </xf>
    <xf numFmtId="1" fontId="5" fillId="0" borderId="0" xfId="0" applyNumberFormat="1" applyFont="1" applyAlignment="1">
      <alignment horizontal="center"/>
    </xf>
    <xf numFmtId="4" fontId="5" fillId="0" borderId="0" xfId="0" applyNumberFormat="1" applyFont="1" applyAlignment="1">
      <alignment horizontal="center"/>
    </xf>
    <xf numFmtId="166" fontId="5" fillId="0" borderId="0" xfId="0" applyNumberFormat="1" applyFont="1" applyAlignment="1">
      <alignment/>
    </xf>
    <xf numFmtId="0" fontId="5" fillId="6" borderId="1" xfId="0" applyFont="1" applyFill="1" applyBorder="1" applyAlignment="1">
      <alignment/>
    </xf>
    <xf numFmtId="0" fontId="6" fillId="6" borderId="1" xfId="0" applyFont="1" applyFill="1" applyBorder="1" applyAlignment="1">
      <alignment horizontal="right"/>
    </xf>
    <xf numFmtId="14" fontId="5" fillId="6" borderId="13" xfId="0" applyNumberFormat="1" applyFont="1" applyFill="1" applyBorder="1" applyAlignment="1">
      <alignment horizontal="center"/>
    </xf>
    <xf numFmtId="0" fontId="5" fillId="2" borderId="5" xfId="0" applyFont="1" applyFill="1" applyBorder="1" applyAlignment="1">
      <alignment/>
    </xf>
    <xf numFmtId="0" fontId="5" fillId="2" borderId="0" xfId="0" applyFont="1" applyFill="1" applyBorder="1" applyAlignment="1">
      <alignment/>
    </xf>
    <xf numFmtId="37" fontId="5" fillId="2" borderId="9" xfId="0" applyNumberFormat="1" applyFont="1" applyFill="1" applyBorder="1" applyAlignment="1">
      <alignment horizontal="center"/>
    </xf>
    <xf numFmtId="0" fontId="5" fillId="2" borderId="6" xfId="0" applyFont="1" applyFill="1" applyBorder="1" applyAlignment="1">
      <alignment/>
    </xf>
    <xf numFmtId="0" fontId="5" fillId="0" borderId="0"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3" fontId="5" fillId="0" borderId="0" xfId="0" applyNumberFormat="1" applyFont="1" applyFill="1" applyBorder="1" applyAlignment="1">
      <alignment horizontal="center"/>
    </xf>
    <xf numFmtId="3" fontId="5" fillId="0" borderId="0" xfId="0" applyNumberFormat="1" applyFont="1" applyBorder="1" applyAlignment="1">
      <alignment horizontal="center"/>
    </xf>
    <xf numFmtId="166" fontId="5" fillId="2" borderId="9" xfId="0" applyNumberFormat="1" applyFont="1" applyFill="1" applyBorder="1" applyAlignment="1">
      <alignment horizontal="center"/>
    </xf>
    <xf numFmtId="0" fontId="5" fillId="0" borderId="0" xfId="0" applyFont="1" applyFill="1" applyBorder="1" applyAlignment="1">
      <alignment horizontal="left"/>
    </xf>
    <xf numFmtId="0" fontId="8" fillId="2" borderId="5" xfId="0" applyFont="1" applyFill="1" applyBorder="1" applyAlignment="1">
      <alignment/>
    </xf>
    <xf numFmtId="0" fontId="8" fillId="0" borderId="0" xfId="0" applyFont="1" applyBorder="1" applyAlignment="1">
      <alignment horizontal="center"/>
    </xf>
    <xf numFmtId="0" fontId="5" fillId="2" borderId="3" xfId="0" applyFont="1" applyFill="1" applyBorder="1" applyAlignment="1">
      <alignment/>
    </xf>
    <xf numFmtId="0" fontId="5" fillId="2" borderId="4" xfId="0" applyFont="1" applyFill="1" applyBorder="1" applyAlignment="1">
      <alignment/>
    </xf>
    <xf numFmtId="3" fontId="5" fillId="2" borderId="12" xfId="0" applyNumberFormat="1" applyFont="1" applyFill="1" applyBorder="1" applyAlignment="1">
      <alignment horizontal="center"/>
    </xf>
    <xf numFmtId="0" fontId="8" fillId="2" borderId="3" xfId="0" applyFont="1" applyFill="1" applyBorder="1" applyAlignment="1">
      <alignment/>
    </xf>
    <xf numFmtId="0" fontId="5" fillId="2" borderId="0" xfId="0" applyFont="1" applyFill="1" applyBorder="1" applyAlignment="1">
      <alignment horizontal="center"/>
    </xf>
    <xf numFmtId="166" fontId="5" fillId="2" borderId="12" xfId="0" applyNumberFormat="1" applyFont="1" applyFill="1" applyBorder="1" applyAlignment="1">
      <alignment horizontal="center"/>
    </xf>
    <xf numFmtId="166" fontId="5" fillId="2" borderId="8" xfId="0" applyNumberFormat="1" applyFont="1" applyFill="1" applyBorder="1" applyAlignment="1">
      <alignment horizontal="center"/>
    </xf>
    <xf numFmtId="0" fontId="8" fillId="2" borderId="0" xfId="0" applyFont="1" applyFill="1" applyBorder="1" applyAlignment="1">
      <alignment horizontal="center"/>
    </xf>
    <xf numFmtId="166" fontId="8" fillId="2" borderId="9" xfId="0" applyNumberFormat="1" applyFont="1" applyFill="1" applyBorder="1" applyAlignment="1">
      <alignment horizontal="center"/>
    </xf>
    <xf numFmtId="0" fontId="5" fillId="2" borderId="7" xfId="0" applyFont="1" applyFill="1" applyBorder="1" applyAlignment="1">
      <alignment horizontal="center"/>
    </xf>
    <xf numFmtId="0" fontId="6" fillId="2" borderId="5" xfId="0" applyFont="1" applyFill="1" applyBorder="1" applyAlignment="1">
      <alignment/>
    </xf>
    <xf numFmtId="0" fontId="6" fillId="2" borderId="0" xfId="0" applyFont="1" applyFill="1" applyBorder="1" applyAlignment="1">
      <alignment horizontal="center"/>
    </xf>
    <xf numFmtId="166" fontId="6" fillId="2" borderId="9" xfId="0" applyNumberFormat="1" applyFont="1" applyFill="1" applyBorder="1" applyAlignment="1">
      <alignment horizontal="center"/>
    </xf>
    <xf numFmtId="0" fontId="6" fillId="2" borderId="3" xfId="0" applyFont="1" applyFill="1" applyBorder="1" applyAlignment="1">
      <alignment/>
    </xf>
    <xf numFmtId="0" fontId="6" fillId="2" borderId="4" xfId="0" applyFont="1" applyFill="1" applyBorder="1" applyAlignment="1">
      <alignment horizontal="center"/>
    </xf>
    <xf numFmtId="166" fontId="6" fillId="2" borderId="12" xfId="0" applyNumberFormat="1" applyFont="1" applyFill="1" applyBorder="1" applyAlignment="1">
      <alignment horizontal="center"/>
    </xf>
    <xf numFmtId="0" fontId="6" fillId="2" borderId="6" xfId="0" applyFont="1" applyFill="1" applyBorder="1" applyAlignment="1">
      <alignment/>
    </xf>
    <xf numFmtId="0" fontId="6" fillId="2" borderId="7" xfId="0" applyFont="1" applyFill="1" applyBorder="1" applyAlignment="1">
      <alignment horizontal="center"/>
    </xf>
    <xf numFmtId="166" fontId="6" fillId="2" borderId="8" xfId="0" applyNumberFormat="1" applyFont="1" applyFill="1" applyBorder="1" applyAlignment="1">
      <alignment horizontal="center"/>
    </xf>
    <xf numFmtId="0" fontId="6" fillId="2" borderId="7" xfId="0" applyFont="1" applyFill="1" applyBorder="1" applyAlignment="1">
      <alignment/>
    </xf>
    <xf numFmtId="197" fontId="6" fillId="2" borderId="8" xfId="0" applyNumberFormat="1" applyFont="1" applyFill="1" applyBorder="1" applyAlignment="1">
      <alignment horizontal="center"/>
    </xf>
    <xf numFmtId="0" fontId="6" fillId="2" borderId="4" xfId="0" applyFont="1" applyFill="1" applyBorder="1" applyAlignment="1">
      <alignment/>
    </xf>
    <xf numFmtId="197" fontId="6" fillId="2" borderId="12" xfId="0" applyNumberFormat="1" applyFont="1" applyFill="1" applyBorder="1" applyAlignment="1">
      <alignment horizontal="center"/>
    </xf>
    <xf numFmtId="3" fontId="5" fillId="3" borderId="9" xfId="0" applyNumberFormat="1" applyFont="1" applyFill="1" applyBorder="1" applyAlignment="1">
      <alignment horizontal="center"/>
    </xf>
    <xf numFmtId="1" fontId="5" fillId="0" borderId="0" xfId="0" applyNumberFormat="1" applyFont="1" applyAlignment="1">
      <alignment/>
    </xf>
    <xf numFmtId="3" fontId="5" fillId="2" borderId="13" xfId="0" applyNumberFormat="1" applyFont="1" applyFill="1" applyBorder="1" applyAlignment="1">
      <alignment horizontal="center"/>
    </xf>
    <xf numFmtId="0" fontId="5" fillId="3" borderId="12" xfId="0" applyFont="1" applyFill="1" applyBorder="1" applyAlignment="1">
      <alignment horizontal="center"/>
    </xf>
    <xf numFmtId="3" fontId="8" fillId="3" borderId="9" xfId="0" applyNumberFormat="1" applyFont="1" applyFill="1" applyBorder="1" applyAlignment="1">
      <alignment horizontal="center"/>
    </xf>
    <xf numFmtId="3" fontId="5" fillId="4" borderId="12" xfId="0" applyNumberFormat="1" applyFont="1" applyFill="1" applyBorder="1" applyAlignment="1">
      <alignment horizontal="center"/>
    </xf>
    <xf numFmtId="3" fontId="5" fillId="4" borderId="9" xfId="0" applyNumberFormat="1" applyFont="1" applyFill="1" applyBorder="1" applyAlignment="1">
      <alignment horizontal="center"/>
    </xf>
    <xf numFmtId="0" fontId="5" fillId="4" borderId="8" xfId="0" applyFont="1" applyFill="1" applyBorder="1" applyAlignment="1">
      <alignment horizontal="center"/>
    </xf>
    <xf numFmtId="3" fontId="5" fillId="5" borderId="12" xfId="0" applyNumberFormat="1" applyFont="1" applyFill="1" applyBorder="1" applyAlignment="1">
      <alignment horizontal="center"/>
    </xf>
    <xf numFmtId="3" fontId="5" fillId="5" borderId="8" xfId="0" applyNumberFormat="1" applyFont="1" applyFill="1" applyBorder="1" applyAlignment="1">
      <alignment horizontal="center"/>
    </xf>
    <xf numFmtId="3" fontId="5" fillId="4" borderId="8" xfId="0" applyNumberFormat="1" applyFont="1" applyFill="1" applyBorder="1" applyAlignment="1">
      <alignment horizontal="center"/>
    </xf>
    <xf numFmtId="0" fontId="5" fillId="4" borderId="3" xfId="0" applyFont="1" applyFill="1" applyBorder="1" applyAlignment="1">
      <alignment/>
    </xf>
    <xf numFmtId="17" fontId="6" fillId="4" borderId="4" xfId="0" applyNumberFormat="1" applyFont="1" applyFill="1" applyBorder="1" applyAlignment="1">
      <alignment horizontal="center"/>
    </xf>
    <xf numFmtId="17" fontId="6" fillId="4" borderId="12" xfId="0" applyNumberFormat="1" applyFont="1" applyFill="1" applyBorder="1" applyAlignment="1">
      <alignment horizontal="center"/>
    </xf>
    <xf numFmtId="0" fontId="5" fillId="4" borderId="5" xfId="0" applyFont="1" applyFill="1" applyBorder="1" applyAlignment="1">
      <alignment horizontal="right"/>
    </xf>
    <xf numFmtId="2" fontId="5" fillId="4" borderId="0" xfId="0" applyNumberFormat="1" applyFont="1" applyFill="1" applyBorder="1" applyAlignment="1">
      <alignment horizontal="center"/>
    </xf>
    <xf numFmtId="2" fontId="5" fillId="4" borderId="9" xfId="0" applyNumberFormat="1" applyFont="1" applyFill="1" applyBorder="1" applyAlignment="1">
      <alignment horizontal="center"/>
    </xf>
    <xf numFmtId="0" fontId="5" fillId="4" borderId="6" xfId="0" applyFont="1" applyFill="1" applyBorder="1" applyAlignment="1">
      <alignment horizontal="right"/>
    </xf>
    <xf numFmtId="2" fontId="5" fillId="4" borderId="7" xfId="0" applyNumberFormat="1" applyFont="1" applyFill="1" applyBorder="1" applyAlignment="1">
      <alignment horizontal="center"/>
    </xf>
    <xf numFmtId="2" fontId="5" fillId="4" borderId="8" xfId="0" applyNumberFormat="1" applyFont="1" applyFill="1" applyBorder="1" applyAlignment="1">
      <alignment horizontal="center"/>
    </xf>
    <xf numFmtId="0" fontId="5" fillId="4" borderId="3" xfId="0" applyFont="1" applyFill="1" applyBorder="1" applyAlignment="1">
      <alignment horizontal="left"/>
    </xf>
    <xf numFmtId="2" fontId="5" fillId="4" borderId="4" xfId="0" applyNumberFormat="1" applyFont="1" applyFill="1" applyBorder="1" applyAlignment="1">
      <alignment horizontal="center"/>
    </xf>
    <xf numFmtId="2" fontId="5" fillId="4" borderId="12" xfId="0" applyNumberFormat="1" applyFont="1" applyFill="1" applyBorder="1" applyAlignment="1">
      <alignment horizontal="center"/>
    </xf>
    <xf numFmtId="0" fontId="5" fillId="3" borderId="3" xfId="0" applyFont="1" applyFill="1" applyBorder="1" applyAlignment="1">
      <alignment/>
    </xf>
    <xf numFmtId="3" fontId="5" fillId="3" borderId="4" xfId="0" applyNumberFormat="1" applyFont="1" applyFill="1" applyBorder="1" applyAlignment="1">
      <alignment horizontal="center"/>
    </xf>
    <xf numFmtId="3" fontId="5" fillId="3" borderId="12" xfId="0" applyNumberFormat="1" applyFont="1" applyFill="1" applyBorder="1" applyAlignment="1">
      <alignment horizontal="center"/>
    </xf>
    <xf numFmtId="3" fontId="5" fillId="3" borderId="0" xfId="0" applyNumberFormat="1" applyFont="1" applyFill="1" applyBorder="1" applyAlignment="1">
      <alignment horizontal="center"/>
    </xf>
    <xf numFmtId="3" fontId="5" fillId="3" borderId="9" xfId="0" applyNumberFormat="1" applyFont="1" applyFill="1" applyBorder="1" applyAlignment="1">
      <alignment horizontal="center"/>
    </xf>
    <xf numFmtId="0" fontId="5" fillId="3" borderId="6" xfId="0" applyFont="1" applyFill="1" applyBorder="1" applyAlignment="1">
      <alignment/>
    </xf>
    <xf numFmtId="3" fontId="5" fillId="3" borderId="7" xfId="0" applyNumberFormat="1" applyFont="1" applyFill="1" applyBorder="1" applyAlignment="1">
      <alignment horizontal="center"/>
    </xf>
    <xf numFmtId="3" fontId="5" fillId="3" borderId="8" xfId="0" applyNumberFormat="1" applyFont="1" applyFill="1" applyBorder="1" applyAlignment="1">
      <alignment horizontal="center"/>
    </xf>
    <xf numFmtId="0" fontId="5" fillId="7" borderId="3" xfId="0" applyFont="1" applyFill="1" applyBorder="1" applyAlignment="1">
      <alignment horizontal="left"/>
    </xf>
    <xf numFmtId="3" fontId="5" fillId="7" borderId="4" xfId="0" applyNumberFormat="1" applyFont="1" applyFill="1" applyBorder="1" applyAlignment="1">
      <alignment horizontal="center"/>
    </xf>
    <xf numFmtId="3" fontId="5" fillId="7" borderId="12" xfId="0" applyNumberFormat="1" applyFont="1" applyFill="1" applyBorder="1" applyAlignment="1">
      <alignment horizontal="center"/>
    </xf>
    <xf numFmtId="0" fontId="5" fillId="7" borderId="6" xfId="0" applyFont="1" applyFill="1" applyBorder="1" applyAlignment="1">
      <alignment horizontal="right"/>
    </xf>
    <xf numFmtId="3" fontId="5" fillId="7" borderId="7" xfId="0" applyNumberFormat="1" applyFont="1" applyFill="1" applyBorder="1" applyAlignment="1">
      <alignment horizontal="center"/>
    </xf>
    <xf numFmtId="3" fontId="5" fillId="7" borderId="8" xfId="0" applyNumberFormat="1" applyFont="1" applyFill="1" applyBorder="1" applyAlignment="1">
      <alignment horizontal="center"/>
    </xf>
    <xf numFmtId="3" fontId="6" fillId="0" borderId="0" xfId="0" applyNumberFormat="1" applyFont="1" applyAlignment="1">
      <alignment/>
    </xf>
    <xf numFmtId="0" fontId="5" fillId="2" borderId="4" xfId="0" applyFont="1" applyFill="1" applyBorder="1" applyAlignment="1">
      <alignment horizontal="center"/>
    </xf>
    <xf numFmtId="3" fontId="5" fillId="2" borderId="4" xfId="0" applyNumberFormat="1" applyFont="1" applyFill="1" applyBorder="1" applyAlignment="1">
      <alignment horizontal="center"/>
    </xf>
    <xf numFmtId="3" fontId="5" fillId="0" borderId="0" xfId="0" applyNumberFormat="1" applyFont="1" applyAlignment="1">
      <alignment horizontal="center"/>
    </xf>
    <xf numFmtId="166" fontId="5" fillId="2" borderId="0"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9" xfId="0" applyNumberFormat="1" applyFont="1" applyFill="1" applyBorder="1" applyAlignment="1">
      <alignment horizontal="center"/>
    </xf>
    <xf numFmtId="0" fontId="5" fillId="2" borderId="9" xfId="0" applyFont="1" applyFill="1" applyBorder="1" applyAlignment="1">
      <alignment horizontal="center"/>
    </xf>
    <xf numFmtId="3" fontId="5" fillId="2" borderId="7" xfId="0" applyNumberFormat="1" applyFont="1" applyFill="1" applyBorder="1" applyAlignment="1">
      <alignment horizontal="center"/>
    </xf>
    <xf numFmtId="0" fontId="5" fillId="2" borderId="8" xfId="0" applyFont="1" applyFill="1" applyBorder="1" applyAlignment="1">
      <alignment horizontal="center"/>
    </xf>
    <xf numFmtId="0" fontId="6" fillId="6" borderId="3" xfId="0" applyFont="1" applyFill="1" applyBorder="1" applyAlignment="1">
      <alignment/>
    </xf>
    <xf numFmtId="0" fontId="5" fillId="6" borderId="4" xfId="0" applyFont="1" applyFill="1" applyBorder="1" applyAlignment="1">
      <alignment horizontal="center"/>
    </xf>
    <xf numFmtId="0" fontId="5" fillId="6" borderId="12" xfId="0" applyFont="1" applyFill="1" applyBorder="1" applyAlignment="1">
      <alignment horizontal="center"/>
    </xf>
    <xf numFmtId="0" fontId="5" fillId="6" borderId="5" xfId="0" applyFont="1" applyFill="1" applyBorder="1" applyAlignment="1">
      <alignment/>
    </xf>
    <xf numFmtId="166" fontId="5" fillId="6" borderId="0" xfId="0" applyNumberFormat="1" applyFont="1" applyFill="1" applyBorder="1" applyAlignment="1">
      <alignment horizontal="center"/>
    </xf>
    <xf numFmtId="3" fontId="5" fillId="6" borderId="0" xfId="0" applyNumberFormat="1" applyFont="1" applyFill="1" applyBorder="1" applyAlignment="1">
      <alignment horizontal="center"/>
    </xf>
    <xf numFmtId="3" fontId="5" fillId="6" borderId="9" xfId="0" applyNumberFormat="1" applyFont="1" applyFill="1" applyBorder="1" applyAlignment="1">
      <alignment horizontal="center"/>
    </xf>
    <xf numFmtId="0" fontId="5" fillId="6" borderId="6" xfId="0" applyFont="1" applyFill="1" applyBorder="1" applyAlignment="1">
      <alignment/>
    </xf>
    <xf numFmtId="166" fontId="5" fillId="6" borderId="7" xfId="0" applyNumberFormat="1" applyFont="1" applyFill="1" applyBorder="1" applyAlignment="1">
      <alignment horizontal="center"/>
    </xf>
    <xf numFmtId="0" fontId="5" fillId="6" borderId="7" xfId="0" applyFont="1" applyFill="1" applyBorder="1" applyAlignment="1">
      <alignment horizontal="center"/>
    </xf>
    <xf numFmtId="0" fontId="5" fillId="6" borderId="8" xfId="0" applyFont="1" applyFill="1" applyBorder="1" applyAlignment="1">
      <alignment horizontal="center"/>
    </xf>
    <xf numFmtId="166" fontId="5" fillId="0" borderId="0" xfId="0" applyNumberFormat="1" applyFont="1" applyAlignment="1">
      <alignment horizontal="center"/>
    </xf>
    <xf numFmtId="0" fontId="6" fillId="0" borderId="0" xfId="0" applyFont="1" applyFill="1" applyBorder="1" applyAlignment="1">
      <alignment horizontal="left"/>
    </xf>
    <xf numFmtId="0" fontId="6" fillId="0" borderId="0" xfId="0" applyFont="1" applyBorder="1" applyAlignment="1">
      <alignment/>
    </xf>
    <xf numFmtId="14" fontId="5" fillId="0" borderId="0" xfId="0" applyNumberFormat="1" applyFont="1" applyBorder="1" applyAlignment="1">
      <alignment horizontal="center"/>
    </xf>
    <xf numFmtId="0" fontId="5" fillId="4" borderId="1" xfId="0" applyFont="1" applyFill="1" applyBorder="1" applyAlignment="1">
      <alignment/>
    </xf>
    <xf numFmtId="0" fontId="5" fillId="4" borderId="2" xfId="0" applyFont="1" applyFill="1" applyBorder="1" applyAlignment="1">
      <alignment/>
    </xf>
    <xf numFmtId="0" fontId="5" fillId="4" borderId="13" xfId="0" applyFont="1" applyFill="1" applyBorder="1" applyAlignment="1">
      <alignment horizontal="center"/>
    </xf>
    <xf numFmtId="0" fontId="5" fillId="8" borderId="3" xfId="0" applyFont="1" applyFill="1" applyBorder="1" applyAlignment="1">
      <alignment/>
    </xf>
    <xf numFmtId="0" fontId="5" fillId="8" borderId="4" xfId="0" applyFont="1" applyFill="1" applyBorder="1" applyAlignment="1">
      <alignment horizontal="center"/>
    </xf>
    <xf numFmtId="17" fontId="13" fillId="8" borderId="4" xfId="0" applyNumberFormat="1" applyFont="1" applyFill="1" applyBorder="1" applyAlignment="1">
      <alignment horizontal="center"/>
    </xf>
    <xf numFmtId="17" fontId="13" fillId="8" borderId="12" xfId="0" applyNumberFormat="1" applyFont="1" applyFill="1" applyBorder="1" applyAlignment="1">
      <alignment horizontal="center"/>
    </xf>
    <xf numFmtId="0" fontId="5" fillId="8" borderId="5" xfId="0" applyFont="1" applyFill="1" applyBorder="1" applyAlignment="1">
      <alignment/>
    </xf>
    <xf numFmtId="0" fontId="5" fillId="8" borderId="0" xfId="0" applyFont="1" applyFill="1" applyBorder="1" applyAlignment="1">
      <alignment horizontal="center"/>
    </xf>
    <xf numFmtId="0" fontId="13" fillId="8" borderId="0" xfId="0" applyFont="1" applyFill="1" applyBorder="1" applyAlignment="1">
      <alignment horizontal="center"/>
    </xf>
    <xf numFmtId="0" fontId="13" fillId="8" borderId="9" xfId="0" applyFont="1" applyFill="1" applyBorder="1" applyAlignment="1">
      <alignment horizontal="center"/>
    </xf>
    <xf numFmtId="17" fontId="13" fillId="8" borderId="0" xfId="0" applyNumberFormat="1" applyFont="1" applyFill="1" applyBorder="1" applyAlignment="1">
      <alignment horizontal="center"/>
    </xf>
    <xf numFmtId="17" fontId="13" fillId="8" borderId="9" xfId="0" applyNumberFormat="1" applyFont="1" applyFill="1" applyBorder="1" applyAlignment="1">
      <alignment horizontal="center"/>
    </xf>
    <xf numFmtId="3" fontId="5" fillId="8" borderId="0" xfId="0" applyNumberFormat="1" applyFont="1" applyFill="1" applyBorder="1" applyAlignment="1">
      <alignment horizontal="center"/>
    </xf>
    <xf numFmtId="3" fontId="5" fillId="8" borderId="9" xfId="0" applyNumberFormat="1" applyFont="1" applyFill="1" applyBorder="1" applyAlignment="1">
      <alignment horizontal="center"/>
    </xf>
    <xf numFmtId="3" fontId="5" fillId="0" borderId="0" xfId="0" applyNumberFormat="1" applyFont="1" applyBorder="1" applyAlignment="1">
      <alignment/>
    </xf>
    <xf numFmtId="0" fontId="5" fillId="8" borderId="5" xfId="0" applyFont="1" applyFill="1" applyBorder="1" applyAlignment="1">
      <alignment horizontal="center"/>
    </xf>
    <xf numFmtId="2" fontId="5" fillId="0" borderId="0" xfId="0" applyNumberFormat="1" applyFont="1" applyBorder="1" applyAlignment="1">
      <alignment horizontal="center"/>
    </xf>
    <xf numFmtId="0" fontId="5" fillId="8" borderId="6" xfId="0" applyFont="1" applyFill="1" applyBorder="1" applyAlignment="1">
      <alignment horizontal="center"/>
    </xf>
    <xf numFmtId="0" fontId="5" fillId="8" borderId="7" xfId="0" applyFont="1" applyFill="1" applyBorder="1" applyAlignment="1">
      <alignment horizontal="center"/>
    </xf>
    <xf numFmtId="3" fontId="5" fillId="8" borderId="7" xfId="0" applyNumberFormat="1" applyFont="1" applyFill="1" applyBorder="1" applyAlignment="1">
      <alignment horizontal="center"/>
    </xf>
    <xf numFmtId="3" fontId="5" fillId="8" borderId="8" xfId="0" applyNumberFormat="1" applyFont="1" applyFill="1" applyBorder="1" applyAlignment="1">
      <alignment horizontal="center"/>
    </xf>
    <xf numFmtId="3" fontId="5" fillId="0" borderId="0" xfId="0" applyNumberFormat="1" applyFont="1" applyFill="1" applyBorder="1" applyAlignment="1">
      <alignment/>
    </xf>
    <xf numFmtId="0" fontId="6" fillId="5" borderId="1" xfId="0" applyFont="1" applyFill="1" applyBorder="1" applyAlignment="1">
      <alignment horizontal="left"/>
    </xf>
    <xf numFmtId="0" fontId="6" fillId="5" borderId="2" xfId="0" applyFont="1" applyFill="1" applyBorder="1" applyAlignment="1">
      <alignment horizontal="center"/>
    </xf>
    <xf numFmtId="0" fontId="5" fillId="5" borderId="13" xfId="0" applyFont="1" applyFill="1" applyBorder="1" applyAlignment="1">
      <alignment horizontal="center"/>
    </xf>
    <xf numFmtId="0" fontId="5" fillId="7" borderId="3" xfId="0" applyFont="1" applyFill="1" applyBorder="1" applyAlignment="1">
      <alignment/>
    </xf>
    <xf numFmtId="0" fontId="5" fillId="7" borderId="4" xfId="0" applyFont="1" applyFill="1" applyBorder="1" applyAlignment="1">
      <alignment horizontal="center"/>
    </xf>
    <xf numFmtId="0" fontId="5" fillId="7" borderId="5" xfId="0" applyFont="1" applyFill="1" applyBorder="1" applyAlignment="1">
      <alignment/>
    </xf>
    <xf numFmtId="0" fontId="5" fillId="7" borderId="0" xfId="0" applyFont="1" applyFill="1" applyBorder="1" applyAlignment="1">
      <alignment horizontal="center"/>
    </xf>
    <xf numFmtId="3" fontId="5" fillId="7" borderId="0" xfId="0" applyNumberFormat="1" applyFont="1" applyFill="1" applyBorder="1" applyAlignment="1">
      <alignment horizontal="center"/>
    </xf>
    <xf numFmtId="3" fontId="5" fillId="7" borderId="9" xfId="0" applyNumberFormat="1" applyFont="1" applyFill="1" applyBorder="1" applyAlignment="1">
      <alignment horizontal="center"/>
    </xf>
    <xf numFmtId="0" fontId="5" fillId="7" borderId="5" xfId="0" applyFont="1" applyFill="1" applyBorder="1" applyAlignment="1">
      <alignment horizontal="right"/>
    </xf>
    <xf numFmtId="0" fontId="5" fillId="7" borderId="9" xfId="0" applyFont="1" applyFill="1" applyBorder="1" applyAlignment="1">
      <alignment horizontal="center"/>
    </xf>
    <xf numFmtId="0" fontId="5" fillId="7" borderId="7" xfId="0" applyFont="1" applyFill="1" applyBorder="1" applyAlignment="1">
      <alignment horizontal="center"/>
    </xf>
    <xf numFmtId="0" fontId="5" fillId="7" borderId="8" xfId="0" applyFont="1" applyFill="1" applyBorder="1" applyAlignment="1">
      <alignment horizontal="center"/>
    </xf>
    <xf numFmtId="0" fontId="5" fillId="9" borderId="3" xfId="0" applyFont="1" applyFill="1" applyBorder="1" applyAlignment="1">
      <alignment/>
    </xf>
    <xf numFmtId="0" fontId="5" fillId="9" borderId="4" xfId="0" applyFont="1" applyFill="1" applyBorder="1" applyAlignment="1">
      <alignment horizontal="center"/>
    </xf>
    <xf numFmtId="0" fontId="5" fillId="9" borderId="5" xfId="0" applyFont="1" applyFill="1" applyBorder="1" applyAlignment="1">
      <alignment/>
    </xf>
    <xf numFmtId="0" fontId="5" fillId="9" borderId="0" xfId="0" applyFont="1" applyFill="1" applyBorder="1" applyAlignment="1">
      <alignment horizontal="center"/>
    </xf>
    <xf numFmtId="3" fontId="5" fillId="9" borderId="0" xfId="0" applyNumberFormat="1" applyFont="1" applyFill="1" applyBorder="1" applyAlignment="1">
      <alignment horizontal="center"/>
    </xf>
    <xf numFmtId="3" fontId="5" fillId="9" borderId="9" xfId="0" applyNumberFormat="1" applyFont="1" applyFill="1" applyBorder="1" applyAlignment="1">
      <alignment horizontal="center"/>
    </xf>
    <xf numFmtId="0" fontId="5" fillId="9" borderId="6" xfId="0" applyFont="1" applyFill="1" applyBorder="1" applyAlignment="1">
      <alignment/>
    </xf>
    <xf numFmtId="0" fontId="5" fillId="9" borderId="7" xfId="0" applyFont="1" applyFill="1" applyBorder="1" applyAlignment="1">
      <alignment horizontal="center"/>
    </xf>
    <xf numFmtId="3" fontId="5" fillId="9" borderId="8" xfId="0" applyNumberFormat="1" applyFont="1" applyFill="1" applyBorder="1" applyAlignment="1">
      <alignment horizontal="center"/>
    </xf>
    <xf numFmtId="0" fontId="6" fillId="4" borderId="1" xfId="0" applyFont="1" applyFill="1" applyBorder="1" applyAlignment="1">
      <alignment horizontal="left"/>
    </xf>
    <xf numFmtId="0" fontId="5" fillId="4" borderId="13" xfId="0" applyFont="1" applyFill="1" applyBorder="1" applyAlignment="1">
      <alignment/>
    </xf>
    <xf numFmtId="17" fontId="6" fillId="0" borderId="0" xfId="0" applyNumberFormat="1" applyFont="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xf>
    <xf numFmtId="0" fontId="6" fillId="0" borderId="0" xfId="0" applyFont="1" applyFill="1" applyBorder="1" applyAlignment="1">
      <alignment/>
    </xf>
    <xf numFmtId="0" fontId="5" fillId="10" borderId="4" xfId="0" applyFont="1" applyFill="1" applyBorder="1" applyAlignment="1">
      <alignment/>
    </xf>
    <xf numFmtId="0" fontId="5" fillId="10" borderId="4" xfId="0" applyFont="1" applyFill="1" applyBorder="1" applyAlignment="1">
      <alignment horizontal="center"/>
    </xf>
    <xf numFmtId="0" fontId="5" fillId="10" borderId="12" xfId="0" applyFont="1" applyFill="1" applyBorder="1" applyAlignment="1">
      <alignment horizontal="center"/>
    </xf>
    <xf numFmtId="0" fontId="5" fillId="10" borderId="5" xfId="0" applyFont="1" applyFill="1" applyBorder="1" applyAlignment="1">
      <alignment/>
    </xf>
    <xf numFmtId="0" fontId="5" fillId="10" borderId="0" xfId="0" applyFont="1" applyFill="1" applyBorder="1" applyAlignment="1">
      <alignment/>
    </xf>
    <xf numFmtId="0" fontId="5" fillId="10" borderId="6" xfId="0" applyFont="1" applyFill="1" applyBorder="1" applyAlignment="1">
      <alignment/>
    </xf>
    <xf numFmtId="0" fontId="5" fillId="10" borderId="7" xfId="0" applyFont="1" applyFill="1" applyBorder="1" applyAlignment="1">
      <alignment/>
    </xf>
    <xf numFmtId="0" fontId="5" fillId="10" borderId="7" xfId="0" applyFont="1" applyFill="1" applyBorder="1" applyAlignment="1">
      <alignment horizontal="center"/>
    </xf>
    <xf numFmtId="0" fontId="5" fillId="3" borderId="4" xfId="0" applyFont="1" applyFill="1" applyBorder="1" applyAlignment="1">
      <alignment/>
    </xf>
    <xf numFmtId="0" fontId="5" fillId="3" borderId="4" xfId="0" applyFont="1" applyFill="1" applyBorder="1" applyAlignment="1">
      <alignment horizontal="center"/>
    </xf>
    <xf numFmtId="0" fontId="5" fillId="3" borderId="0" xfId="0" applyFont="1" applyFill="1" applyBorder="1" applyAlignment="1">
      <alignment/>
    </xf>
    <xf numFmtId="0" fontId="5" fillId="3" borderId="0" xfId="0" applyFont="1" applyFill="1" applyBorder="1" applyAlignment="1">
      <alignment horizontal="center"/>
    </xf>
    <xf numFmtId="0" fontId="5" fillId="3" borderId="7" xfId="0" applyFont="1" applyFill="1" applyBorder="1" applyAlignment="1">
      <alignment/>
    </xf>
    <xf numFmtId="0" fontId="5" fillId="3" borderId="7" xfId="0" applyFont="1" applyFill="1" applyBorder="1" applyAlignment="1">
      <alignment horizontal="center"/>
    </xf>
    <xf numFmtId="0" fontId="5" fillId="3" borderId="12" xfId="0" applyFont="1" applyFill="1" applyBorder="1" applyAlignment="1">
      <alignment horizontal="center"/>
    </xf>
    <xf numFmtId="0" fontId="5" fillId="11" borderId="14" xfId="0" applyFont="1" applyFill="1" applyBorder="1" applyAlignment="1">
      <alignment horizontal="center"/>
    </xf>
    <xf numFmtId="17" fontId="5" fillId="0" borderId="0" xfId="0" applyNumberFormat="1" applyFont="1" applyBorder="1" applyAlignment="1">
      <alignment horizontal="center"/>
    </xf>
    <xf numFmtId="0" fontId="6" fillId="0" borderId="7" xfId="0" applyFont="1" applyFill="1" applyBorder="1" applyAlignment="1">
      <alignment/>
    </xf>
    <xf numFmtId="0" fontId="5" fillId="3" borderId="1" xfId="0" applyFont="1" applyFill="1" applyBorder="1" applyAlignment="1">
      <alignment/>
    </xf>
    <xf numFmtId="0" fontId="5" fillId="3" borderId="2" xfId="0" applyFont="1" applyFill="1" applyBorder="1" applyAlignment="1">
      <alignment/>
    </xf>
    <xf numFmtId="0" fontId="5" fillId="3" borderId="2" xfId="0" applyFont="1" applyFill="1" applyBorder="1" applyAlignment="1">
      <alignment horizontal="center"/>
    </xf>
    <xf numFmtId="3" fontId="5" fillId="3" borderId="2" xfId="0" applyNumberFormat="1" applyFont="1" applyFill="1" applyBorder="1" applyAlignment="1">
      <alignment horizontal="center"/>
    </xf>
    <xf numFmtId="0" fontId="5" fillId="3" borderId="13" xfId="0" applyFont="1" applyFill="1" applyBorder="1" applyAlignment="1">
      <alignment/>
    </xf>
    <xf numFmtId="17" fontId="5" fillId="0" borderId="0" xfId="0" applyNumberFormat="1" applyFont="1" applyAlignment="1">
      <alignment horizontal="center"/>
    </xf>
    <xf numFmtId="0" fontId="5" fillId="0" borderId="2" xfId="0" applyFont="1" applyFill="1" applyBorder="1" applyAlignment="1">
      <alignment horizontal="center"/>
    </xf>
    <xf numFmtId="0" fontId="5" fillId="0" borderId="13" xfId="0" applyFont="1" applyFill="1" applyBorder="1" applyAlignment="1">
      <alignment horizontal="center"/>
    </xf>
    <xf numFmtId="0" fontId="10" fillId="0" borderId="0" xfId="0" applyFont="1" applyAlignment="1">
      <alignment/>
    </xf>
    <xf numFmtId="0" fontId="7" fillId="0" borderId="0" xfId="0" applyFont="1" applyAlignment="1">
      <alignment horizontal="center"/>
    </xf>
    <xf numFmtId="0" fontId="5" fillId="10" borderId="3" xfId="0" applyFont="1" applyFill="1" applyBorder="1" applyAlignment="1">
      <alignment/>
    </xf>
    <xf numFmtId="3" fontId="5" fillId="10" borderId="4" xfId="17" applyNumberFormat="1" applyFont="1" applyFill="1" applyBorder="1" applyAlignment="1">
      <alignment horizontal="center"/>
    </xf>
    <xf numFmtId="3" fontId="5" fillId="10" borderId="12" xfId="17" applyNumberFormat="1" applyFont="1" applyFill="1" applyBorder="1" applyAlignment="1">
      <alignment horizontal="center"/>
    </xf>
    <xf numFmtId="3" fontId="5" fillId="10" borderId="7" xfId="17" applyNumberFormat="1" applyFont="1" applyFill="1" applyBorder="1" applyAlignment="1">
      <alignment horizontal="center"/>
    </xf>
    <xf numFmtId="3" fontId="5" fillId="10" borderId="8" xfId="17" applyNumberFormat="1" applyFont="1" applyFill="1" applyBorder="1" applyAlignment="1">
      <alignment horizontal="center"/>
    </xf>
    <xf numFmtId="0" fontId="6" fillId="5" borderId="1" xfId="0" applyFont="1" applyFill="1" applyBorder="1" applyAlignment="1">
      <alignment/>
    </xf>
    <xf numFmtId="0" fontId="5" fillId="5" borderId="2" xfId="0" applyFont="1" applyFill="1" applyBorder="1" applyAlignment="1">
      <alignment/>
    </xf>
    <xf numFmtId="0" fontId="5" fillId="5" borderId="2" xfId="0" applyFont="1" applyFill="1" applyBorder="1" applyAlignment="1">
      <alignment horizontal="center"/>
    </xf>
    <xf numFmtId="3" fontId="5" fillId="5" borderId="2" xfId="0" applyNumberFormat="1" applyFont="1" applyFill="1" applyBorder="1" applyAlignment="1">
      <alignment horizontal="center"/>
    </xf>
    <xf numFmtId="3" fontId="5" fillId="5" borderId="13" xfId="0" applyNumberFormat="1" applyFont="1" applyFill="1" applyBorder="1" applyAlignment="1">
      <alignment horizontal="center"/>
    </xf>
    <xf numFmtId="3" fontId="5" fillId="0" borderId="9" xfId="0" applyNumberFormat="1" applyFont="1" applyFill="1" applyBorder="1" applyAlignment="1">
      <alignment horizontal="center"/>
    </xf>
    <xf numFmtId="3" fontId="5" fillId="3" borderId="4" xfId="17" applyNumberFormat="1" applyFont="1" applyFill="1" applyBorder="1" applyAlignment="1">
      <alignment horizontal="center"/>
    </xf>
    <xf numFmtId="3" fontId="5" fillId="3" borderId="12" xfId="17" applyNumberFormat="1" applyFont="1" applyFill="1" applyBorder="1" applyAlignment="1">
      <alignment horizontal="center"/>
    </xf>
    <xf numFmtId="4" fontId="5" fillId="3" borderId="7" xfId="17" applyNumberFormat="1" applyFont="1" applyFill="1" applyBorder="1" applyAlignment="1">
      <alignment horizontal="center"/>
    </xf>
    <xf numFmtId="4" fontId="5" fillId="3" borderId="8" xfId="17" applyNumberFormat="1" applyFont="1" applyFill="1" applyBorder="1" applyAlignment="1">
      <alignment horizontal="center"/>
    </xf>
    <xf numFmtId="0" fontId="6" fillId="10" borderId="4" xfId="0" applyFont="1" applyFill="1" applyBorder="1" applyAlignment="1">
      <alignment/>
    </xf>
    <xf numFmtId="3" fontId="5" fillId="10" borderId="11" xfId="0" applyNumberFormat="1" applyFont="1" applyFill="1" applyBorder="1" applyAlignment="1">
      <alignment horizontal="center"/>
    </xf>
    <xf numFmtId="0" fontId="5" fillId="10" borderId="9" xfId="0" applyFont="1" applyFill="1" applyBorder="1" applyAlignment="1">
      <alignment horizontal="center"/>
    </xf>
    <xf numFmtId="3" fontId="5" fillId="10" borderId="10" xfId="0" applyNumberFormat="1" applyFont="1" applyFill="1" applyBorder="1" applyAlignment="1">
      <alignment horizontal="center"/>
    </xf>
    <xf numFmtId="0" fontId="5" fillId="10" borderId="8" xfId="0" applyFont="1" applyFill="1" applyBorder="1" applyAlignment="1">
      <alignment horizontal="center"/>
    </xf>
    <xf numFmtId="3" fontId="5" fillId="10" borderId="15" xfId="0" applyNumberFormat="1" applyFont="1" applyFill="1" applyBorder="1" applyAlignment="1">
      <alignment horizontal="center"/>
    </xf>
    <xf numFmtId="0" fontId="6" fillId="3" borderId="0" xfId="0" applyFont="1" applyFill="1" applyBorder="1" applyAlignment="1">
      <alignment/>
    </xf>
    <xf numFmtId="0" fontId="5" fillId="3" borderId="9" xfId="0" applyFont="1" applyFill="1" applyBorder="1" applyAlignment="1">
      <alignment horizontal="center"/>
    </xf>
    <xf numFmtId="3" fontId="5" fillId="3" borderId="11" xfId="0" applyNumberFormat="1" applyFont="1" applyFill="1" applyBorder="1" applyAlignment="1">
      <alignment horizontal="center"/>
    </xf>
    <xf numFmtId="37" fontId="5" fillId="0" borderId="0" xfId="0" applyNumberFormat="1" applyFont="1" applyAlignment="1">
      <alignment/>
    </xf>
    <xf numFmtId="4" fontId="5" fillId="0" borderId="0" xfId="0" applyNumberFormat="1" applyFont="1" applyFill="1" applyAlignment="1">
      <alignment horizontal="center"/>
    </xf>
    <xf numFmtId="0" fontId="14" fillId="0" borderId="0" xfId="0" applyFont="1" applyAlignment="1">
      <alignment horizontal="left"/>
    </xf>
    <xf numFmtId="0" fontId="6" fillId="3" borderId="4" xfId="0" applyFont="1" applyFill="1" applyBorder="1" applyAlignment="1">
      <alignment/>
    </xf>
    <xf numFmtId="0" fontId="6" fillId="3" borderId="4" xfId="0" applyFont="1" applyFill="1" applyBorder="1" applyAlignment="1">
      <alignment horizontal="center"/>
    </xf>
    <xf numFmtId="165" fontId="5" fillId="3" borderId="10" xfId="0" applyNumberFormat="1" applyFont="1" applyFill="1" applyBorder="1" applyAlignment="1">
      <alignment horizontal="center"/>
    </xf>
    <xf numFmtId="0" fontId="6" fillId="3" borderId="0" xfId="0" applyFont="1" applyFill="1" applyBorder="1" applyAlignment="1">
      <alignment horizontal="center"/>
    </xf>
    <xf numFmtId="165" fontId="5" fillId="3" borderId="11" xfId="0" applyNumberFormat="1" applyFont="1" applyFill="1" applyBorder="1" applyAlignment="1">
      <alignment horizontal="center"/>
    </xf>
    <xf numFmtId="0" fontId="6" fillId="3" borderId="7" xfId="0" applyFont="1" applyFill="1" applyBorder="1" applyAlignment="1">
      <alignment/>
    </xf>
    <xf numFmtId="0" fontId="6" fillId="3" borderId="7" xfId="0" applyFont="1" applyFill="1" applyBorder="1" applyAlignment="1">
      <alignment horizontal="center"/>
    </xf>
    <xf numFmtId="165" fontId="5" fillId="3" borderId="15" xfId="0" applyNumberFormat="1" applyFont="1" applyFill="1" applyBorder="1" applyAlignment="1">
      <alignment horizontal="center"/>
    </xf>
    <xf numFmtId="0" fontId="6" fillId="3" borderId="16" xfId="0" applyFont="1" applyFill="1" applyBorder="1" applyAlignment="1">
      <alignment/>
    </xf>
    <xf numFmtId="0" fontId="5" fillId="3" borderId="16" xfId="0" applyFont="1" applyFill="1" applyBorder="1" applyAlignment="1">
      <alignment/>
    </xf>
    <xf numFmtId="165" fontId="5" fillId="3" borderId="12" xfId="0" applyNumberFormat="1" applyFont="1" applyFill="1" applyBorder="1" applyAlignment="1">
      <alignment horizontal="center"/>
    </xf>
    <xf numFmtId="0" fontId="5" fillId="7" borderId="1" xfId="0" applyFont="1" applyFill="1" applyBorder="1" applyAlignment="1">
      <alignment/>
    </xf>
    <xf numFmtId="0" fontId="5" fillId="7" borderId="2" xfId="0" applyFont="1" applyFill="1" applyBorder="1" applyAlignment="1">
      <alignment/>
    </xf>
    <xf numFmtId="0" fontId="5" fillId="7" borderId="2" xfId="0" applyFont="1" applyFill="1" applyBorder="1" applyAlignment="1">
      <alignment horizontal="center"/>
    </xf>
    <xf numFmtId="10" fontId="5" fillId="7" borderId="13" xfId="0" applyNumberFormat="1" applyFont="1" applyFill="1" applyBorder="1" applyAlignment="1">
      <alignment horizontal="center"/>
    </xf>
    <xf numFmtId="0" fontId="5" fillId="12" borderId="1" xfId="0" applyFont="1" applyFill="1" applyBorder="1" applyAlignment="1">
      <alignment/>
    </xf>
    <xf numFmtId="0" fontId="5" fillId="12" borderId="2" xfId="0" applyFont="1" applyFill="1" applyBorder="1" applyAlignment="1">
      <alignment horizontal="center"/>
    </xf>
    <xf numFmtId="0" fontId="5" fillId="12" borderId="13" xfId="0" applyFont="1" applyFill="1" applyBorder="1" applyAlignment="1">
      <alignment horizontal="center"/>
    </xf>
    <xf numFmtId="0" fontId="12" fillId="0" borderId="0" xfId="0" applyFont="1" applyAlignment="1">
      <alignment/>
    </xf>
    <xf numFmtId="0" fontId="5" fillId="0" borderId="0" xfId="0" applyNumberFormat="1" applyFont="1" applyAlignment="1">
      <alignment horizontal="center"/>
    </xf>
    <xf numFmtId="0" fontId="16" fillId="0" borderId="0" xfId="0" applyFont="1" applyAlignment="1">
      <alignment/>
    </xf>
    <xf numFmtId="0" fontId="6" fillId="7" borderId="1" xfId="0" applyFont="1" applyFill="1" applyBorder="1" applyAlignment="1">
      <alignment/>
    </xf>
    <xf numFmtId="0" fontId="5" fillId="7" borderId="13" xfId="0" applyFont="1" applyFill="1" applyBorder="1" applyAlignment="1">
      <alignment horizontal="center"/>
    </xf>
    <xf numFmtId="3" fontId="5" fillId="7" borderId="17" xfId="0" applyNumberFormat="1" applyFont="1" applyFill="1" applyBorder="1" applyAlignment="1">
      <alignment horizontal="center"/>
    </xf>
    <xf numFmtId="3" fontId="5" fillId="3" borderId="10" xfId="0" applyNumberFormat="1" applyFont="1" applyFill="1" applyBorder="1" applyAlignment="1">
      <alignment horizontal="center"/>
    </xf>
    <xf numFmtId="2" fontId="5" fillId="0" borderId="0" xfId="0" applyNumberFormat="1" applyFont="1" applyAlignment="1">
      <alignment/>
    </xf>
    <xf numFmtId="0" fontId="5" fillId="3" borderId="8" xfId="0" applyFont="1" applyFill="1" applyBorder="1" applyAlignment="1">
      <alignment horizontal="center"/>
    </xf>
    <xf numFmtId="4" fontId="5" fillId="0" borderId="0" xfId="0" applyNumberFormat="1" applyFont="1" applyAlignment="1">
      <alignment horizontal="center"/>
    </xf>
    <xf numFmtId="0" fontId="5" fillId="0" borderId="0" xfId="0" applyFont="1" applyAlignment="1">
      <alignment/>
    </xf>
    <xf numFmtId="0" fontId="5" fillId="3" borderId="17" xfId="0" applyFont="1" applyFill="1" applyBorder="1" applyAlignment="1">
      <alignment/>
    </xf>
    <xf numFmtId="0" fontId="6" fillId="3" borderId="2" xfId="0" applyFont="1" applyFill="1" applyBorder="1" applyAlignment="1">
      <alignment horizontal="center"/>
    </xf>
    <xf numFmtId="0" fontId="6" fillId="3" borderId="13" xfId="0" applyFont="1" applyFill="1" applyBorder="1" applyAlignment="1">
      <alignment horizontal="center"/>
    </xf>
    <xf numFmtId="3" fontId="5" fillId="3" borderId="3" xfId="0" applyNumberFormat="1" applyFont="1" applyFill="1" applyBorder="1" applyAlignment="1">
      <alignment horizontal="center"/>
    </xf>
    <xf numFmtId="3" fontId="5" fillId="3" borderId="5" xfId="0" applyNumberFormat="1" applyFont="1" applyFill="1" applyBorder="1" applyAlignment="1">
      <alignment horizontal="center"/>
    </xf>
    <xf numFmtId="0" fontId="5" fillId="3" borderId="11" xfId="0" applyFont="1" applyFill="1" applyBorder="1" applyAlignment="1">
      <alignment/>
    </xf>
    <xf numFmtId="37" fontId="5" fillId="3" borderId="5" xfId="17" applyNumberFormat="1" applyFont="1" applyFill="1" applyBorder="1" applyAlignment="1">
      <alignment horizontal="center"/>
    </xf>
    <xf numFmtId="0" fontId="5" fillId="3" borderId="15" xfId="0" applyFont="1" applyFill="1" applyBorder="1" applyAlignment="1">
      <alignment/>
    </xf>
    <xf numFmtId="37" fontId="5" fillId="3" borderId="6" xfId="17" applyNumberFormat="1" applyFont="1" applyFill="1" applyBorder="1" applyAlignment="1">
      <alignment horizontal="center"/>
    </xf>
    <xf numFmtId="0" fontId="5" fillId="0" borderId="0" xfId="0" applyFont="1" applyFill="1" applyAlignment="1" quotePrefix="1">
      <alignment/>
    </xf>
    <xf numFmtId="37" fontId="5" fillId="0" borderId="0" xfId="17" applyNumberFormat="1" applyFont="1" applyFill="1" applyBorder="1" applyAlignment="1">
      <alignment horizontal="center"/>
    </xf>
    <xf numFmtId="3" fontId="6" fillId="7" borderId="1" xfId="0" applyNumberFormat="1" applyFont="1" applyFill="1" applyBorder="1" applyAlignment="1">
      <alignment/>
    </xf>
    <xf numFmtId="3" fontId="5" fillId="7" borderId="13" xfId="0" applyNumberFormat="1" applyFont="1" applyFill="1" applyBorder="1" applyAlignment="1">
      <alignment horizontal="center"/>
    </xf>
    <xf numFmtId="49" fontId="5" fillId="0" borderId="0" xfId="0" applyNumberFormat="1" applyFont="1" applyAlignment="1" quotePrefix="1">
      <alignment/>
    </xf>
    <xf numFmtId="0" fontId="5" fillId="7" borderId="10" xfId="0" applyFont="1" applyFill="1" applyBorder="1" applyAlignment="1">
      <alignment/>
    </xf>
    <xf numFmtId="0" fontId="5" fillId="7" borderId="15" xfId="0" applyFont="1" applyFill="1" applyBorder="1" applyAlignment="1">
      <alignment/>
    </xf>
    <xf numFmtId="0" fontId="5" fillId="2" borderId="13" xfId="0" applyFont="1" applyFill="1" applyBorder="1" applyAlignment="1">
      <alignment horizontal="center"/>
    </xf>
    <xf numFmtId="0" fontId="5" fillId="2" borderId="10" xfId="0" applyFont="1" applyFill="1" applyBorder="1" applyAlignment="1">
      <alignment/>
    </xf>
    <xf numFmtId="0" fontId="5" fillId="2" borderId="15" xfId="0" applyFont="1" applyFill="1" applyBorder="1" applyAlignment="1">
      <alignment/>
    </xf>
    <xf numFmtId="3" fontId="5" fillId="2" borderId="8" xfId="0" applyNumberFormat="1" applyFont="1" applyFill="1" applyBorder="1" applyAlignment="1">
      <alignment horizontal="center"/>
    </xf>
    <xf numFmtId="0" fontId="5" fillId="5" borderId="10" xfId="0" applyFont="1" applyFill="1" applyBorder="1" applyAlignment="1">
      <alignment/>
    </xf>
    <xf numFmtId="3" fontId="5" fillId="5" borderId="9" xfId="0" applyNumberFormat="1" applyFont="1" applyFill="1" applyBorder="1" applyAlignment="1">
      <alignment horizontal="center"/>
    </xf>
    <xf numFmtId="0" fontId="5" fillId="5" borderId="15" xfId="0" applyFont="1" applyFill="1" applyBorder="1" applyAlignment="1">
      <alignment/>
    </xf>
    <xf numFmtId="3" fontId="5" fillId="5" borderId="8" xfId="0" applyNumberFormat="1" applyFont="1" applyFill="1" applyBorder="1" applyAlignment="1">
      <alignment horizontal="center"/>
    </xf>
    <xf numFmtId="0" fontId="6" fillId="4" borderId="1" xfId="0" applyFont="1" applyFill="1" applyBorder="1" applyAlignment="1">
      <alignment/>
    </xf>
    <xf numFmtId="0" fontId="5" fillId="4" borderId="17" xfId="0" applyFont="1" applyFill="1" applyBorder="1" applyAlignment="1">
      <alignment/>
    </xf>
    <xf numFmtId="3" fontId="5" fillId="4" borderId="8" xfId="0" applyNumberFormat="1" applyFont="1" applyFill="1" applyBorder="1" applyAlignment="1">
      <alignment horizontal="center"/>
    </xf>
    <xf numFmtId="0" fontId="5" fillId="7" borderId="13" xfId="0" applyFont="1" applyFill="1" applyBorder="1" applyAlignment="1">
      <alignment/>
    </xf>
    <xf numFmtId="0" fontId="5" fillId="2" borderId="12" xfId="0" applyFont="1" applyFill="1" applyBorder="1" applyAlignment="1">
      <alignment/>
    </xf>
    <xf numFmtId="0" fontId="5" fillId="4" borderId="4" xfId="0" applyFont="1" applyFill="1" applyBorder="1" applyAlignment="1">
      <alignment/>
    </xf>
    <xf numFmtId="0" fontId="5" fillId="4" borderId="0" xfId="0" applyFont="1" applyFill="1" applyBorder="1" applyAlignment="1">
      <alignment/>
    </xf>
    <xf numFmtId="0" fontId="5" fillId="4" borderId="6" xfId="0" applyFont="1" applyFill="1" applyBorder="1" applyAlignment="1">
      <alignment/>
    </xf>
    <xf numFmtId="0" fontId="5" fillId="4" borderId="7" xfId="0" applyFont="1" applyFill="1" applyBorder="1" applyAlignment="1">
      <alignment/>
    </xf>
    <xf numFmtId="0" fontId="5" fillId="2" borderId="7" xfId="0" applyFont="1" applyFill="1" applyBorder="1" applyAlignment="1">
      <alignment/>
    </xf>
    <xf numFmtId="0" fontId="17" fillId="13" borderId="2" xfId="0" applyFont="1" applyFill="1" applyBorder="1" applyAlignment="1">
      <alignment/>
    </xf>
    <xf numFmtId="0" fontId="17" fillId="0" borderId="0" xfId="0" applyFont="1" applyFill="1" applyBorder="1" applyAlignment="1">
      <alignment/>
    </xf>
    <xf numFmtId="0" fontId="18" fillId="0" borderId="0" xfId="0" applyFont="1" applyFill="1" applyBorder="1" applyAlignment="1">
      <alignment/>
    </xf>
    <xf numFmtId="0" fontId="6" fillId="7" borderId="2" xfId="0" applyFont="1" applyFill="1" applyBorder="1" applyAlignment="1">
      <alignment/>
    </xf>
    <xf numFmtId="0" fontId="6" fillId="7" borderId="2" xfId="0" applyFont="1" applyFill="1" applyBorder="1" applyAlignment="1">
      <alignment horizontal="center"/>
    </xf>
    <xf numFmtId="0" fontId="6" fillId="7" borderId="13" xfId="0" applyFont="1" applyFill="1" applyBorder="1" applyAlignment="1">
      <alignment horizontal="center"/>
    </xf>
    <xf numFmtId="0" fontId="6" fillId="0" borderId="0" xfId="0" applyFont="1" applyFill="1" applyBorder="1" applyAlignment="1">
      <alignment horizontal="center"/>
    </xf>
    <xf numFmtId="0" fontId="5" fillId="0" borderId="7" xfId="0" applyFont="1" applyFill="1" applyBorder="1" applyAlignment="1">
      <alignment/>
    </xf>
    <xf numFmtId="0" fontId="6" fillId="0" borderId="7" xfId="0" applyFont="1" applyFill="1" applyBorder="1" applyAlignment="1">
      <alignment horizontal="center"/>
    </xf>
    <xf numFmtId="0" fontId="5" fillId="14" borderId="18" xfId="0" applyFont="1" applyFill="1" applyBorder="1" applyAlignment="1">
      <alignment/>
    </xf>
    <xf numFmtId="0" fontId="5" fillId="14" borderId="14" xfId="0" applyFont="1" applyFill="1" applyBorder="1" applyAlignment="1">
      <alignment/>
    </xf>
    <xf numFmtId="0" fontId="5" fillId="14" borderId="14" xfId="0" applyFont="1" applyFill="1" applyBorder="1" applyAlignment="1">
      <alignment horizontal="center"/>
    </xf>
    <xf numFmtId="166" fontId="5" fillId="14" borderId="19" xfId="0" applyNumberFormat="1" applyFont="1" applyFill="1" applyBorder="1" applyAlignment="1">
      <alignment horizontal="center"/>
    </xf>
    <xf numFmtId="165" fontId="5" fillId="0" borderId="0" xfId="0" applyNumberFormat="1" applyFont="1" applyFill="1" applyBorder="1" applyAlignment="1">
      <alignment horizontal="center"/>
    </xf>
    <xf numFmtId="37" fontId="5" fillId="0" borderId="0" xfId="0" applyNumberFormat="1" applyFont="1" applyAlignment="1">
      <alignment/>
    </xf>
    <xf numFmtId="0" fontId="12" fillId="0" borderId="0" xfId="0" applyFont="1" applyFill="1" applyBorder="1" applyAlignment="1">
      <alignment/>
    </xf>
    <xf numFmtId="0" fontId="2" fillId="0" borderId="0" xfId="0" applyFont="1" applyBorder="1" applyAlignment="1">
      <alignment horizontal="center"/>
    </xf>
    <xf numFmtId="0" fontId="5" fillId="5" borderId="4" xfId="0" applyFont="1" applyFill="1" applyBorder="1" applyAlignment="1">
      <alignment/>
    </xf>
    <xf numFmtId="0" fontId="5" fillId="5" borderId="5" xfId="0" applyFont="1" applyFill="1" applyBorder="1" applyAlignment="1">
      <alignment/>
    </xf>
    <xf numFmtId="0" fontId="5" fillId="5" borderId="0" xfId="0" applyFont="1" applyFill="1" applyBorder="1" applyAlignment="1">
      <alignment/>
    </xf>
    <xf numFmtId="0" fontId="5" fillId="5" borderId="6" xfId="0" applyFont="1" applyFill="1" applyBorder="1" applyAlignment="1">
      <alignment/>
    </xf>
    <xf numFmtId="0" fontId="5" fillId="5" borderId="7" xfId="0" applyFont="1" applyFill="1" applyBorder="1" applyAlignment="1">
      <alignment/>
    </xf>
    <xf numFmtId="0" fontId="5" fillId="15" borderId="1" xfId="0" applyFont="1" applyFill="1" applyBorder="1" applyAlignment="1">
      <alignment/>
    </xf>
    <xf numFmtId="0" fontId="5" fillId="15" borderId="2" xfId="0" applyFont="1" applyFill="1" applyBorder="1" applyAlignment="1">
      <alignment/>
    </xf>
    <xf numFmtId="0" fontId="5" fillId="5" borderId="1" xfId="0" applyFont="1" applyFill="1" applyBorder="1" applyAlignment="1">
      <alignment/>
    </xf>
    <xf numFmtId="0" fontId="6" fillId="5" borderId="0" xfId="0" applyFont="1" applyFill="1" applyBorder="1" applyAlignment="1">
      <alignment/>
    </xf>
    <xf numFmtId="0" fontId="6" fillId="5" borderId="0" xfId="0" applyFont="1" applyFill="1" applyBorder="1" applyAlignment="1">
      <alignment horizontal="center"/>
    </xf>
    <xf numFmtId="0" fontId="6" fillId="4" borderId="3" xfId="0" applyFont="1" applyFill="1" applyBorder="1" applyAlignment="1">
      <alignment/>
    </xf>
    <xf numFmtId="0" fontId="6" fillId="4" borderId="4" xfId="0" applyFont="1" applyFill="1" applyBorder="1" applyAlignment="1">
      <alignment/>
    </xf>
    <xf numFmtId="0" fontId="6" fillId="4" borderId="4" xfId="0" applyFont="1" applyFill="1" applyBorder="1" applyAlignment="1">
      <alignment horizontal="center"/>
    </xf>
    <xf numFmtId="165" fontId="5" fillId="4" borderId="10" xfId="0" applyNumberFormat="1" applyFont="1" applyFill="1" applyBorder="1" applyAlignment="1">
      <alignment horizontal="center"/>
    </xf>
    <xf numFmtId="0" fontId="6" fillId="4" borderId="0" xfId="0" applyFont="1" applyFill="1" applyBorder="1" applyAlignment="1">
      <alignment/>
    </xf>
    <xf numFmtId="0" fontId="6" fillId="4" borderId="0" xfId="0" applyFont="1" applyFill="1" applyBorder="1" applyAlignment="1">
      <alignment horizontal="center"/>
    </xf>
    <xf numFmtId="165" fontId="5" fillId="4" borderId="11" xfId="0" applyNumberFormat="1" applyFont="1" applyFill="1" applyBorder="1" applyAlignment="1">
      <alignment horizontal="center"/>
    </xf>
    <xf numFmtId="0" fontId="6" fillId="4" borderId="7" xfId="0" applyFont="1" applyFill="1" applyBorder="1" applyAlignment="1">
      <alignment/>
    </xf>
    <xf numFmtId="0" fontId="6" fillId="4" borderId="7" xfId="0" applyFont="1" applyFill="1" applyBorder="1" applyAlignment="1">
      <alignment horizontal="center"/>
    </xf>
    <xf numFmtId="165" fontId="5" fillId="4" borderId="15" xfId="0" applyNumberFormat="1" applyFont="1" applyFill="1" applyBorder="1" applyAlignment="1">
      <alignment horizontal="center"/>
    </xf>
    <xf numFmtId="0" fontId="6" fillId="4" borderId="20" xfId="0" applyFont="1" applyFill="1" applyBorder="1" applyAlignment="1">
      <alignment/>
    </xf>
    <xf numFmtId="0" fontId="5" fillId="4" borderId="16" xfId="0" applyFont="1" applyFill="1" applyBorder="1" applyAlignment="1">
      <alignment/>
    </xf>
    <xf numFmtId="0" fontId="5" fillId="4" borderId="21" xfId="0" applyFont="1" applyFill="1" applyBorder="1" applyAlignment="1">
      <alignment/>
    </xf>
    <xf numFmtId="0" fontId="6" fillId="7" borderId="3" xfId="0" applyFont="1" applyFill="1" applyBorder="1" applyAlignment="1">
      <alignment/>
    </xf>
    <xf numFmtId="0" fontId="6" fillId="7" borderId="4" xfId="0" applyFont="1" applyFill="1" applyBorder="1" applyAlignment="1">
      <alignment/>
    </xf>
    <xf numFmtId="0" fontId="5" fillId="7" borderId="12" xfId="0" applyFont="1" applyFill="1" applyBorder="1" applyAlignment="1">
      <alignment horizontal="center"/>
    </xf>
    <xf numFmtId="3" fontId="5" fillId="7" borderId="10" xfId="0" applyNumberFormat="1" applyFont="1" applyFill="1" applyBorder="1" applyAlignment="1">
      <alignment horizontal="center"/>
    </xf>
    <xf numFmtId="0" fontId="5" fillId="7" borderId="0" xfId="0" applyFont="1" applyFill="1" applyBorder="1" applyAlignment="1">
      <alignment/>
    </xf>
    <xf numFmtId="0" fontId="6" fillId="7" borderId="9" xfId="0" applyFont="1" applyFill="1" applyBorder="1" applyAlignment="1">
      <alignment horizontal="center"/>
    </xf>
    <xf numFmtId="4" fontId="5" fillId="7" borderId="11" xfId="0" applyNumberFormat="1" applyFont="1" applyFill="1" applyBorder="1" applyAlignment="1">
      <alignment horizontal="center"/>
    </xf>
    <xf numFmtId="0" fontId="5" fillId="7" borderId="6" xfId="0" applyFont="1" applyFill="1" applyBorder="1" applyAlignment="1">
      <alignment/>
    </xf>
    <xf numFmtId="0" fontId="5" fillId="7" borderId="7" xfId="0" applyFont="1" applyFill="1" applyBorder="1" applyAlignment="1">
      <alignment/>
    </xf>
    <xf numFmtId="4" fontId="5" fillId="7" borderId="15" xfId="0" applyNumberFormat="1" applyFont="1" applyFill="1" applyBorder="1" applyAlignment="1">
      <alignment horizontal="center"/>
    </xf>
    <xf numFmtId="0" fontId="5" fillId="7" borderId="4" xfId="0" applyFont="1" applyFill="1" applyBorder="1" applyAlignment="1">
      <alignment/>
    </xf>
    <xf numFmtId="3" fontId="5" fillId="7" borderId="15" xfId="0" applyNumberFormat="1" applyFont="1" applyFill="1" applyBorder="1" applyAlignment="1">
      <alignment horizontal="center"/>
    </xf>
    <xf numFmtId="3" fontId="6" fillId="5" borderId="10" xfId="0" applyNumberFormat="1" applyFont="1" applyFill="1" applyBorder="1" applyAlignment="1">
      <alignment horizontal="center"/>
    </xf>
    <xf numFmtId="3" fontId="6" fillId="5" borderId="11" xfId="0" applyNumberFormat="1" applyFont="1" applyFill="1" applyBorder="1" applyAlignment="1">
      <alignment horizontal="center"/>
    </xf>
    <xf numFmtId="3" fontId="6" fillId="5" borderId="15" xfId="0" applyNumberFormat="1" applyFont="1" applyFill="1" applyBorder="1" applyAlignment="1">
      <alignment horizontal="center"/>
    </xf>
    <xf numFmtId="0" fontId="5" fillId="2" borderId="5" xfId="0" applyFont="1" applyFill="1" applyBorder="1" applyAlignment="1">
      <alignment horizontal="right"/>
    </xf>
    <xf numFmtId="0" fontId="8" fillId="2" borderId="5" xfId="0" applyFont="1" applyFill="1" applyBorder="1" applyAlignment="1">
      <alignment horizontal="left"/>
    </xf>
    <xf numFmtId="0" fontId="5" fillId="2" borderId="5" xfId="0" applyFont="1" applyFill="1" applyBorder="1" applyAlignment="1">
      <alignment horizontal="left"/>
    </xf>
    <xf numFmtId="166" fontId="5" fillId="3" borderId="4" xfId="0" applyNumberFormat="1" applyFont="1" applyFill="1" applyBorder="1" applyAlignment="1">
      <alignment horizontal="center"/>
    </xf>
    <xf numFmtId="166" fontId="5" fillId="3" borderId="0" xfId="0" applyNumberFormat="1" applyFont="1" applyFill="1" applyBorder="1" applyAlignment="1">
      <alignment horizontal="center"/>
    </xf>
    <xf numFmtId="166" fontId="5" fillId="3" borderId="0" xfId="17" applyNumberFormat="1" applyFont="1" applyFill="1" applyBorder="1" applyAlignment="1">
      <alignment horizontal="center"/>
    </xf>
    <xf numFmtId="3" fontId="5" fillId="3" borderId="0" xfId="17" applyNumberFormat="1" applyFont="1" applyFill="1" applyBorder="1" applyAlignment="1">
      <alignment horizontal="center"/>
    </xf>
    <xf numFmtId="3" fontId="5" fillId="3" borderId="9" xfId="17" applyNumberFormat="1" applyFont="1" applyFill="1" applyBorder="1" applyAlignment="1">
      <alignment horizontal="center"/>
    </xf>
    <xf numFmtId="166" fontId="5" fillId="3" borderId="7" xfId="0" applyNumberFormat="1" applyFont="1" applyFill="1" applyBorder="1" applyAlignment="1">
      <alignment horizontal="center"/>
    </xf>
    <xf numFmtId="0" fontId="5" fillId="3" borderId="13" xfId="0" applyFont="1" applyFill="1" applyBorder="1" applyAlignment="1">
      <alignment horizontal="center"/>
    </xf>
    <xf numFmtId="0" fontId="6" fillId="3" borderId="1" xfId="0" applyFont="1" applyFill="1" applyBorder="1" applyAlignment="1">
      <alignment horizontal="left"/>
    </xf>
    <xf numFmtId="0" fontId="6" fillId="7" borderId="3" xfId="0" applyFont="1" applyFill="1" applyBorder="1" applyAlignment="1">
      <alignment horizontal="left"/>
    </xf>
    <xf numFmtId="171" fontId="5" fillId="7" borderId="4" xfId="0" applyNumberFormat="1" applyFont="1" applyFill="1" applyBorder="1" applyAlignment="1">
      <alignment horizontal="center"/>
    </xf>
    <xf numFmtId="171" fontId="5" fillId="7" borderId="12" xfId="0" applyNumberFormat="1" applyFont="1" applyFill="1" applyBorder="1" applyAlignment="1">
      <alignment horizontal="center"/>
    </xf>
    <xf numFmtId="171" fontId="5" fillId="2" borderId="4" xfId="15" applyNumberFormat="1" applyFont="1" applyFill="1" applyBorder="1" applyAlignment="1">
      <alignment horizontal="center"/>
    </xf>
    <xf numFmtId="171" fontId="5" fillId="2" borderId="12" xfId="15" applyNumberFormat="1" applyFont="1" applyFill="1" applyBorder="1" applyAlignment="1">
      <alignment horizontal="center"/>
    </xf>
    <xf numFmtId="171" fontId="5" fillId="2" borderId="0" xfId="15" applyNumberFormat="1" applyFont="1" applyFill="1" applyBorder="1" applyAlignment="1">
      <alignment horizontal="center"/>
    </xf>
    <xf numFmtId="171" fontId="5" fillId="2" borderId="9" xfId="15" applyNumberFormat="1" applyFont="1" applyFill="1" applyBorder="1" applyAlignment="1">
      <alignment horizontal="center"/>
    </xf>
    <xf numFmtId="171" fontId="5" fillId="2" borderId="7" xfId="15" applyNumberFormat="1" applyFont="1" applyFill="1" applyBorder="1" applyAlignment="1">
      <alignment horizontal="center"/>
    </xf>
    <xf numFmtId="171" fontId="5" fillId="2" borderId="8" xfId="15" applyNumberFormat="1" applyFont="1" applyFill="1" applyBorder="1" applyAlignment="1">
      <alignment horizontal="center"/>
    </xf>
    <xf numFmtId="0" fontId="5" fillId="2" borderId="12" xfId="0" applyFont="1" applyFill="1" applyBorder="1" applyAlignment="1">
      <alignment horizontal="center"/>
    </xf>
    <xf numFmtId="0" fontId="5" fillId="2" borderId="7" xfId="0" applyFont="1" applyFill="1" applyBorder="1" applyAlignment="1">
      <alignment/>
    </xf>
    <xf numFmtId="0" fontId="5" fillId="2" borderId="8" xfId="0" applyFont="1" applyFill="1" applyBorder="1" applyAlignment="1">
      <alignment/>
    </xf>
    <xf numFmtId="0" fontId="5" fillId="4" borderId="4" xfId="0" applyFont="1" applyFill="1" applyBorder="1" applyAlignment="1">
      <alignment horizontal="center"/>
    </xf>
    <xf numFmtId="0" fontId="5" fillId="4" borderId="12" xfId="0" applyFont="1" applyFill="1" applyBorder="1" applyAlignment="1">
      <alignment horizontal="center"/>
    </xf>
    <xf numFmtId="0" fontId="5" fillId="4" borderId="0" xfId="0" applyFont="1" applyFill="1" applyBorder="1" applyAlignment="1">
      <alignment horizontal="center"/>
    </xf>
    <xf numFmtId="3" fontId="5" fillId="4" borderId="0" xfId="0" applyNumberFormat="1" applyFont="1" applyFill="1" applyBorder="1" applyAlignment="1">
      <alignment horizontal="center"/>
    </xf>
    <xf numFmtId="3" fontId="5" fillId="4" borderId="9" xfId="0" applyNumberFormat="1" applyFont="1" applyFill="1" applyBorder="1" applyAlignment="1">
      <alignment horizontal="center"/>
    </xf>
    <xf numFmtId="0" fontId="5" fillId="4" borderId="7" xfId="0" applyFont="1" applyFill="1" applyBorder="1" applyAlignment="1">
      <alignment horizontal="center"/>
    </xf>
    <xf numFmtId="3" fontId="5" fillId="4" borderId="7" xfId="0" applyNumberFormat="1" applyFont="1" applyFill="1" applyBorder="1" applyAlignment="1">
      <alignment horizontal="center"/>
    </xf>
    <xf numFmtId="0" fontId="5" fillId="2" borderId="1" xfId="0" applyFont="1" applyFill="1" applyBorder="1" applyAlignment="1">
      <alignment/>
    </xf>
    <xf numFmtId="0" fontId="5" fillId="2" borderId="2" xfId="0" applyFont="1" applyFill="1" applyBorder="1" applyAlignment="1">
      <alignment horizontal="center"/>
    </xf>
    <xf numFmtId="0" fontId="5" fillId="4" borderId="2" xfId="0" applyFont="1" applyFill="1" applyBorder="1" applyAlignment="1">
      <alignment horizontal="center"/>
    </xf>
    <xf numFmtId="0" fontId="5" fillId="3" borderId="0" xfId="0" applyFont="1" applyFill="1" applyAlignment="1">
      <alignment/>
    </xf>
    <xf numFmtId="0" fontId="5" fillId="3" borderId="0" xfId="0" applyFont="1" applyFill="1" applyAlignment="1">
      <alignment horizontal="center"/>
    </xf>
    <xf numFmtId="0" fontId="5" fillId="2" borderId="0" xfId="0" applyFont="1" applyFill="1" applyAlignment="1">
      <alignment/>
    </xf>
    <xf numFmtId="0" fontId="5" fillId="2" borderId="0" xfId="0" applyFont="1" applyFill="1" applyAlignment="1">
      <alignment horizontal="center"/>
    </xf>
    <xf numFmtId="171" fontId="5" fillId="2" borderId="0" xfId="15" applyNumberFormat="1" applyFont="1" applyFill="1" applyAlignment="1">
      <alignment/>
    </xf>
    <xf numFmtId="171" fontId="5" fillId="2" borderId="0" xfId="15" applyNumberFormat="1" applyFont="1" applyFill="1" applyAlignment="1">
      <alignment horizontal="center"/>
    </xf>
    <xf numFmtId="171" fontId="5" fillId="3" borderId="0" xfId="15" applyNumberFormat="1" applyFont="1" applyFill="1" applyAlignment="1">
      <alignment/>
    </xf>
    <xf numFmtId="171" fontId="5" fillId="3" borderId="0" xfId="15" applyNumberFormat="1" applyFont="1" applyFill="1" applyAlignment="1">
      <alignment horizontal="center"/>
    </xf>
    <xf numFmtId="3" fontId="5" fillId="2" borderId="4" xfId="17" applyNumberFormat="1" applyFont="1" applyFill="1" applyBorder="1" applyAlignment="1">
      <alignment horizontal="center"/>
    </xf>
    <xf numFmtId="3" fontId="5" fillId="2" borderId="12" xfId="17" applyNumberFormat="1" applyFont="1" applyFill="1" applyBorder="1" applyAlignment="1">
      <alignment horizontal="center"/>
    </xf>
    <xf numFmtId="3" fontId="5" fillId="2" borderId="7" xfId="17" applyNumberFormat="1" applyFont="1" applyFill="1" applyBorder="1" applyAlignment="1">
      <alignment horizontal="center"/>
    </xf>
    <xf numFmtId="3" fontId="5" fillId="2" borderId="8" xfId="17" applyNumberFormat="1" applyFont="1" applyFill="1" applyBorder="1" applyAlignment="1">
      <alignment horizontal="center"/>
    </xf>
    <xf numFmtId="4" fontId="5" fillId="2" borderId="4" xfId="17" applyNumberFormat="1" applyFont="1" applyFill="1" applyBorder="1" applyAlignment="1">
      <alignment horizontal="center"/>
    </xf>
    <xf numFmtId="4" fontId="5" fillId="2" borderId="12" xfId="17" applyNumberFormat="1" applyFont="1" applyFill="1" applyBorder="1" applyAlignment="1">
      <alignment horizontal="center"/>
    </xf>
    <xf numFmtId="4" fontId="5" fillId="2" borderId="7" xfId="17" applyNumberFormat="1" applyFont="1" applyFill="1" applyBorder="1" applyAlignment="1">
      <alignment horizontal="center"/>
    </xf>
    <xf numFmtId="4" fontId="5" fillId="2" borderId="8" xfId="17" applyNumberFormat="1" applyFont="1" applyFill="1" applyBorder="1" applyAlignment="1">
      <alignment horizontal="center"/>
    </xf>
    <xf numFmtId="3" fontId="5" fillId="2" borderId="10" xfId="0" applyNumberFormat="1" applyFont="1" applyFill="1" applyBorder="1" applyAlignment="1">
      <alignment horizontal="center"/>
    </xf>
    <xf numFmtId="3" fontId="5" fillId="2" borderId="11" xfId="0" applyNumberFormat="1" applyFont="1" applyFill="1" applyBorder="1" applyAlignment="1">
      <alignment horizontal="center"/>
    </xf>
    <xf numFmtId="3" fontId="5" fillId="2" borderId="15" xfId="0" applyNumberFormat="1" applyFont="1" applyFill="1" applyBorder="1" applyAlignment="1">
      <alignment horizontal="center"/>
    </xf>
    <xf numFmtId="165" fontId="5" fillId="2" borderId="10" xfId="0" applyNumberFormat="1" applyFont="1" applyFill="1" applyBorder="1" applyAlignment="1">
      <alignment horizontal="center"/>
    </xf>
    <xf numFmtId="165" fontId="5" fillId="2" borderId="22" xfId="0" applyNumberFormat="1" applyFont="1" applyFill="1" applyBorder="1" applyAlignment="1">
      <alignment horizontal="center"/>
    </xf>
    <xf numFmtId="0" fontId="6" fillId="2" borderId="0" xfId="0" applyFont="1" applyFill="1" applyBorder="1" applyAlignment="1">
      <alignment/>
    </xf>
    <xf numFmtId="165" fontId="5" fillId="2" borderId="11" xfId="0" applyNumberFormat="1" applyFont="1" applyFill="1" applyBorder="1" applyAlignment="1">
      <alignment horizontal="center"/>
    </xf>
    <xf numFmtId="0" fontId="6" fillId="2" borderId="12" xfId="0" applyFont="1" applyFill="1" applyBorder="1" applyAlignment="1">
      <alignment horizontal="center"/>
    </xf>
    <xf numFmtId="0" fontId="6" fillId="2" borderId="9" xfId="0" applyFont="1" applyFill="1" applyBorder="1" applyAlignment="1">
      <alignment horizontal="center"/>
    </xf>
    <xf numFmtId="0" fontId="6" fillId="2" borderId="8" xfId="0" applyFont="1" applyFill="1" applyBorder="1" applyAlignment="1">
      <alignment horizontal="center"/>
    </xf>
    <xf numFmtId="165" fontId="5" fillId="2" borderId="12" xfId="0" applyNumberFormat="1" applyFont="1" applyFill="1" applyBorder="1" applyAlignment="1">
      <alignment horizontal="center"/>
    </xf>
    <xf numFmtId="165" fontId="5" fillId="2" borderId="15" xfId="0" applyNumberFormat="1" applyFont="1" applyFill="1" applyBorder="1" applyAlignment="1">
      <alignment horizontal="center"/>
    </xf>
    <xf numFmtId="171" fontId="5" fillId="7" borderId="4" xfId="15" applyNumberFormat="1" applyFont="1" applyFill="1" applyBorder="1" applyAlignment="1">
      <alignment horizontal="center"/>
    </xf>
    <xf numFmtId="171" fontId="5" fillId="7" borderId="12" xfId="15" applyNumberFormat="1" applyFont="1" applyFill="1" applyBorder="1" applyAlignment="1">
      <alignment horizontal="center"/>
    </xf>
    <xf numFmtId="4" fontId="5" fillId="7" borderId="7" xfId="17" applyNumberFormat="1" applyFont="1" applyFill="1" applyBorder="1" applyAlignment="1">
      <alignment horizontal="center"/>
    </xf>
    <xf numFmtId="4" fontId="5" fillId="7" borderId="8" xfId="17" applyNumberFormat="1" applyFont="1" applyFill="1" applyBorder="1" applyAlignment="1">
      <alignment horizontal="center"/>
    </xf>
    <xf numFmtId="3" fontId="5" fillId="4" borderId="4" xfId="0" applyNumberFormat="1" applyFont="1" applyFill="1" applyBorder="1" applyAlignment="1">
      <alignment horizontal="center"/>
    </xf>
    <xf numFmtId="3" fontId="5" fillId="4" borderId="12" xfId="0" applyNumberFormat="1" applyFont="1" applyFill="1" applyBorder="1" applyAlignment="1">
      <alignment horizontal="center"/>
    </xf>
    <xf numFmtId="3" fontId="5" fillId="7" borderId="11" xfId="0" applyNumberFormat="1" applyFont="1" applyFill="1" applyBorder="1" applyAlignment="1">
      <alignment horizontal="center"/>
    </xf>
    <xf numFmtId="0" fontId="6" fillId="3" borderId="12" xfId="0" applyFont="1" applyFill="1" applyBorder="1" applyAlignment="1">
      <alignment horizontal="center"/>
    </xf>
    <xf numFmtId="0" fontId="6" fillId="3" borderId="9" xfId="0" applyFont="1" applyFill="1" applyBorder="1" applyAlignment="1">
      <alignment horizontal="center"/>
    </xf>
    <xf numFmtId="0" fontId="6" fillId="3" borderId="8" xfId="0" applyFont="1" applyFill="1" applyBorder="1" applyAlignment="1">
      <alignment horizontal="center"/>
    </xf>
    <xf numFmtId="0" fontId="5" fillId="15" borderId="2" xfId="0" applyFont="1" applyFill="1" applyBorder="1" applyAlignment="1">
      <alignment horizontal="center"/>
    </xf>
    <xf numFmtId="3" fontId="5" fillId="15" borderId="2" xfId="0" applyNumberFormat="1" applyFont="1" applyFill="1" applyBorder="1" applyAlignment="1">
      <alignment horizontal="center"/>
    </xf>
    <xf numFmtId="3" fontId="5" fillId="15" borderId="13" xfId="0" applyNumberFormat="1" applyFont="1" applyFill="1" applyBorder="1" applyAlignment="1">
      <alignment horizontal="center"/>
    </xf>
    <xf numFmtId="0" fontId="5" fillId="15" borderId="3" xfId="0" applyFont="1" applyFill="1" applyBorder="1" applyAlignment="1">
      <alignment/>
    </xf>
    <xf numFmtId="0" fontId="6" fillId="15" borderId="4" xfId="0" applyFont="1" applyFill="1" applyBorder="1" applyAlignment="1">
      <alignment/>
    </xf>
    <xf numFmtId="0" fontId="5" fillId="15" borderId="12" xfId="0" applyFont="1" applyFill="1" applyBorder="1" applyAlignment="1">
      <alignment horizontal="center"/>
    </xf>
    <xf numFmtId="3" fontId="5" fillId="15" borderId="10" xfId="0" applyNumberFormat="1" applyFont="1" applyFill="1" applyBorder="1" applyAlignment="1">
      <alignment horizontal="center"/>
    </xf>
    <xf numFmtId="0" fontId="5" fillId="15" borderId="5" xfId="0" applyFont="1" applyFill="1" applyBorder="1" applyAlignment="1">
      <alignment/>
    </xf>
    <xf numFmtId="0" fontId="5" fillId="15" borderId="0" xfId="0" applyFont="1" applyFill="1" applyBorder="1" applyAlignment="1">
      <alignment/>
    </xf>
    <xf numFmtId="0" fontId="5" fillId="15" borderId="9" xfId="0" applyFont="1" applyFill="1" applyBorder="1" applyAlignment="1">
      <alignment horizontal="center"/>
    </xf>
    <xf numFmtId="3" fontId="5" fillId="15" borderId="11" xfId="0" applyNumberFormat="1" applyFont="1" applyFill="1" applyBorder="1" applyAlignment="1">
      <alignment horizontal="center"/>
    </xf>
    <xf numFmtId="0" fontId="5" fillId="15" borderId="6" xfId="0" applyFont="1" applyFill="1" applyBorder="1" applyAlignment="1">
      <alignment/>
    </xf>
    <xf numFmtId="0" fontId="5" fillId="15" borderId="7" xfId="0" applyFont="1" applyFill="1" applyBorder="1" applyAlignment="1">
      <alignment/>
    </xf>
    <xf numFmtId="0" fontId="5" fillId="15" borderId="8" xfId="0" applyFont="1" applyFill="1" applyBorder="1" applyAlignment="1">
      <alignment horizontal="center"/>
    </xf>
    <xf numFmtId="3" fontId="5" fillId="15" borderId="15" xfId="0" applyNumberFormat="1" applyFont="1" applyFill="1" applyBorder="1" applyAlignment="1">
      <alignment horizontal="center"/>
    </xf>
    <xf numFmtId="0" fontId="6" fillId="5" borderId="5" xfId="0" applyFont="1" applyFill="1" applyBorder="1" applyAlignment="1">
      <alignment/>
    </xf>
    <xf numFmtId="0" fontId="5" fillId="5" borderId="0" xfId="0" applyFont="1" applyFill="1" applyBorder="1" applyAlignment="1">
      <alignment horizontal="center"/>
    </xf>
    <xf numFmtId="3" fontId="5" fillId="5" borderId="10" xfId="0" applyNumberFormat="1" applyFont="1" applyFill="1" applyBorder="1" applyAlignment="1">
      <alignment horizontal="center"/>
    </xf>
    <xf numFmtId="4" fontId="5" fillId="5" borderId="11" xfId="0" applyNumberFormat="1" applyFont="1" applyFill="1" applyBorder="1" applyAlignment="1">
      <alignment horizontal="center"/>
    </xf>
    <xf numFmtId="0" fontId="5" fillId="5" borderId="7" xfId="0" applyFont="1" applyFill="1" applyBorder="1" applyAlignment="1">
      <alignment horizontal="center"/>
    </xf>
    <xf numFmtId="4" fontId="5" fillId="5" borderId="10" xfId="0" applyNumberFormat="1" applyFont="1" applyFill="1" applyBorder="1" applyAlignment="1">
      <alignment horizontal="center"/>
    </xf>
    <xf numFmtId="4" fontId="5" fillId="5" borderId="15" xfId="0" applyNumberFormat="1" applyFont="1" applyFill="1" applyBorder="1" applyAlignment="1">
      <alignment horizontal="center"/>
    </xf>
    <xf numFmtId="0" fontId="5" fillId="5" borderId="4" xfId="0" applyFont="1" applyFill="1" applyBorder="1" applyAlignment="1">
      <alignment horizontal="center"/>
    </xf>
    <xf numFmtId="3" fontId="5" fillId="4" borderId="10" xfId="0" applyNumberFormat="1" applyFont="1" applyFill="1" applyBorder="1" applyAlignment="1">
      <alignment horizontal="center"/>
    </xf>
    <xf numFmtId="0" fontId="5" fillId="4" borderId="9" xfId="0" applyFont="1" applyFill="1" applyBorder="1" applyAlignment="1">
      <alignment horizontal="center"/>
    </xf>
    <xf numFmtId="3" fontId="5" fillId="4" borderId="11" xfId="0" applyNumberFormat="1" applyFont="1" applyFill="1" applyBorder="1" applyAlignment="1">
      <alignment horizontal="center"/>
    </xf>
    <xf numFmtId="0" fontId="5" fillId="4" borderId="8" xfId="0" applyFont="1" applyFill="1" applyBorder="1" applyAlignment="1">
      <alignment horizontal="center"/>
    </xf>
    <xf numFmtId="3" fontId="5" fillId="4" borderId="15" xfId="0" applyNumberFormat="1" applyFont="1" applyFill="1" applyBorder="1" applyAlignment="1">
      <alignment horizontal="center"/>
    </xf>
    <xf numFmtId="0" fontId="5" fillId="4" borderId="10" xfId="0" applyFont="1" applyFill="1" applyBorder="1" applyAlignment="1">
      <alignment horizontal="center"/>
    </xf>
    <xf numFmtId="0" fontId="5" fillId="4" borderId="10" xfId="0" applyFont="1" applyFill="1" applyBorder="1" applyAlignment="1">
      <alignment/>
    </xf>
    <xf numFmtId="171" fontId="5" fillId="4" borderId="11" xfId="15" applyNumberFormat="1" applyFont="1" applyFill="1" applyBorder="1" applyAlignment="1">
      <alignment horizontal="center"/>
    </xf>
    <xf numFmtId="3" fontId="5" fillId="4" borderId="10" xfId="0" applyNumberFormat="1" applyFont="1" applyFill="1" applyBorder="1" applyAlignment="1">
      <alignment/>
    </xf>
    <xf numFmtId="171" fontId="5" fillId="4" borderId="11" xfId="15" applyNumberFormat="1" applyFont="1" applyFill="1" applyBorder="1" applyAlignment="1">
      <alignment/>
    </xf>
    <xf numFmtId="171" fontId="5" fillId="4" borderId="15" xfId="15" applyNumberFormat="1" applyFont="1" applyFill="1" applyBorder="1" applyAlignment="1">
      <alignment horizontal="center"/>
    </xf>
    <xf numFmtId="0" fontId="5" fillId="3" borderId="10" xfId="0" applyFont="1" applyFill="1" applyBorder="1" applyAlignment="1">
      <alignment horizontal="center"/>
    </xf>
    <xf numFmtId="37" fontId="5" fillId="3" borderId="11" xfId="17" applyNumberFormat="1" applyFont="1" applyFill="1" applyBorder="1" applyAlignment="1">
      <alignment horizontal="center"/>
    </xf>
    <xf numFmtId="171" fontId="5" fillId="3" borderId="11" xfId="15" applyNumberFormat="1" applyFont="1" applyFill="1" applyBorder="1" applyAlignment="1">
      <alignment horizontal="center"/>
    </xf>
    <xf numFmtId="3" fontId="5" fillId="3" borderId="15" xfId="0" applyNumberFormat="1" applyFont="1" applyFill="1" applyBorder="1" applyAlignment="1">
      <alignment horizontal="center"/>
    </xf>
    <xf numFmtId="171" fontId="5" fillId="4" borderId="15" xfId="15" applyNumberFormat="1" applyFont="1" applyFill="1" applyBorder="1" applyAlignment="1">
      <alignment/>
    </xf>
    <xf numFmtId="0" fontId="5" fillId="7" borderId="3" xfId="0" applyFont="1" applyFill="1" applyBorder="1" applyAlignment="1">
      <alignment/>
    </xf>
    <xf numFmtId="3" fontId="5" fillId="7" borderId="12" xfId="0" applyNumberFormat="1" applyFont="1" applyFill="1" applyBorder="1" applyAlignment="1">
      <alignment horizontal="center"/>
    </xf>
    <xf numFmtId="17" fontId="2" fillId="4" borderId="1" xfId="0" applyNumberFormat="1" applyFont="1" applyFill="1" applyBorder="1" applyAlignment="1">
      <alignment horizontal="center"/>
    </xf>
    <xf numFmtId="17" fontId="2" fillId="4" borderId="2" xfId="0" applyNumberFormat="1" applyFont="1" applyFill="1" applyBorder="1" applyAlignment="1">
      <alignment horizontal="center"/>
    </xf>
    <xf numFmtId="17" fontId="2" fillId="4" borderId="13" xfId="0" applyNumberFormat="1" applyFont="1" applyFill="1" applyBorder="1" applyAlignment="1">
      <alignment horizontal="center"/>
    </xf>
    <xf numFmtId="0" fontId="5" fillId="7" borderId="1" xfId="0" applyFont="1" applyFill="1" applyBorder="1" applyAlignment="1">
      <alignment/>
    </xf>
    <xf numFmtId="3" fontId="5" fillId="7" borderId="13" xfId="0" applyNumberFormat="1" applyFont="1" applyFill="1" applyBorder="1" applyAlignment="1">
      <alignment horizontal="center"/>
    </xf>
    <xf numFmtId="201" fontId="5" fillId="7" borderId="9" xfId="0" applyNumberFormat="1" applyFont="1" applyFill="1" applyBorder="1" applyAlignment="1" quotePrefix="1">
      <alignment horizontal="center"/>
    </xf>
    <xf numFmtId="201" fontId="5" fillId="7" borderId="8" xfId="0" applyNumberFormat="1" applyFont="1" applyFill="1" applyBorder="1" applyAlignment="1" quotePrefix="1">
      <alignment horizontal="center"/>
    </xf>
    <xf numFmtId="0" fontId="2" fillId="0" borderId="1" xfId="0" applyFont="1" applyFill="1" applyBorder="1" applyAlignment="1">
      <alignment horizontal="left"/>
    </xf>
    <xf numFmtId="166" fontId="5" fillId="4" borderId="12" xfId="0" applyNumberFormat="1" applyFont="1" applyFill="1" applyBorder="1" applyAlignment="1">
      <alignment horizontal="center"/>
    </xf>
    <xf numFmtId="166" fontId="5" fillId="4" borderId="13" xfId="0" applyNumberFormat="1" applyFont="1" applyFill="1" applyBorder="1" applyAlignment="1">
      <alignment horizontal="center"/>
    </xf>
    <xf numFmtId="3" fontId="5" fillId="5" borderId="4" xfId="0" applyNumberFormat="1" applyFont="1" applyFill="1" applyBorder="1" applyAlignment="1">
      <alignment horizontal="center"/>
    </xf>
    <xf numFmtId="3" fontId="5" fillId="5" borderId="12" xfId="0" applyNumberFormat="1" applyFont="1" applyFill="1" applyBorder="1" applyAlignment="1">
      <alignment horizontal="center"/>
    </xf>
    <xf numFmtId="166" fontId="5" fillId="5" borderId="2" xfId="0" applyNumberFormat="1" applyFont="1" applyFill="1" applyBorder="1" applyAlignment="1">
      <alignment horizontal="center"/>
    </xf>
    <xf numFmtId="166" fontId="5" fillId="5" borderId="17" xfId="0" applyNumberFormat="1" applyFont="1" applyFill="1" applyBorder="1" applyAlignment="1">
      <alignment horizontal="center"/>
    </xf>
    <xf numFmtId="166" fontId="5" fillId="5" borderId="13" xfId="0" applyNumberFormat="1" applyFont="1" applyFill="1" applyBorder="1" applyAlignment="1">
      <alignment horizontal="center"/>
    </xf>
    <xf numFmtId="166" fontId="5" fillId="3" borderId="12" xfId="0" applyNumberFormat="1" applyFont="1" applyFill="1" applyBorder="1" applyAlignment="1">
      <alignment horizontal="center"/>
    </xf>
    <xf numFmtId="166" fontId="5" fillId="3" borderId="2" xfId="0" applyNumberFormat="1" applyFont="1" applyFill="1" applyBorder="1" applyAlignment="1">
      <alignment horizontal="center"/>
    </xf>
    <xf numFmtId="166" fontId="5" fillId="3" borderId="13" xfId="0" applyNumberFormat="1" applyFont="1" applyFill="1" applyBorder="1" applyAlignment="1">
      <alignment horizontal="center"/>
    </xf>
    <xf numFmtId="0" fontId="5" fillId="0" borderId="4" xfId="0" applyFont="1" applyFill="1" applyBorder="1" applyAlignment="1">
      <alignment/>
    </xf>
    <xf numFmtId="0" fontId="5" fillId="0" borderId="12" xfId="0" applyFont="1" applyFill="1" applyBorder="1" applyAlignment="1">
      <alignment/>
    </xf>
    <xf numFmtId="0" fontId="5" fillId="0" borderId="4" xfId="0" applyFont="1" applyFill="1" applyBorder="1" applyAlignment="1">
      <alignment horizontal="left"/>
    </xf>
    <xf numFmtId="0" fontId="5" fillId="0" borderId="13" xfId="0" applyFont="1" applyFill="1" applyBorder="1" applyAlignment="1">
      <alignment horizontal="left"/>
    </xf>
    <xf numFmtId="0" fontId="0"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horizontal="center"/>
    </xf>
    <xf numFmtId="0" fontId="21" fillId="0" borderId="0" xfId="0" applyFont="1" applyFill="1" applyBorder="1" applyAlignment="1">
      <alignment/>
    </xf>
    <xf numFmtId="0" fontId="21" fillId="0" borderId="0" xfId="0" applyFont="1" applyBorder="1" applyAlignment="1">
      <alignment/>
    </xf>
    <xf numFmtId="14" fontId="0" fillId="0" borderId="0" xfId="0" applyNumberFormat="1" applyFont="1" applyBorder="1" applyAlignment="1">
      <alignment horizontal="center"/>
    </xf>
    <xf numFmtId="166" fontId="5" fillId="6" borderId="9" xfId="0" applyNumberFormat="1" applyFont="1" applyFill="1" applyBorder="1" applyAlignment="1">
      <alignment horizontal="center"/>
    </xf>
    <xf numFmtId="166" fontId="5" fillId="6" borderId="8" xfId="0" applyNumberFormat="1" applyFont="1" applyFill="1" applyBorder="1" applyAlignment="1">
      <alignment horizontal="center"/>
    </xf>
    <xf numFmtId="166" fontId="5" fillId="0" borderId="9" xfId="0" applyNumberFormat="1" applyFont="1" applyBorder="1" applyAlignment="1">
      <alignment horizontal="center"/>
    </xf>
    <xf numFmtId="166" fontId="5" fillId="3" borderId="9" xfId="0" applyNumberFormat="1" applyFont="1" applyFill="1" applyBorder="1" applyAlignment="1">
      <alignment horizontal="center"/>
    </xf>
    <xf numFmtId="166" fontId="5" fillId="3" borderId="9" xfId="17" applyNumberFormat="1" applyFont="1" applyFill="1" applyBorder="1" applyAlignment="1">
      <alignment horizontal="center"/>
    </xf>
    <xf numFmtId="166" fontId="5" fillId="3" borderId="8" xfId="0" applyNumberFormat="1" applyFont="1" applyFill="1" applyBorder="1" applyAlignment="1">
      <alignment horizontal="center"/>
    </xf>
    <xf numFmtId="0" fontId="5" fillId="0" borderId="7" xfId="0" applyFont="1" applyBorder="1" applyAlignment="1">
      <alignment horizontal="center"/>
    </xf>
    <xf numFmtId="0" fontId="8" fillId="0" borderId="4" xfId="0" applyFont="1" applyFill="1" applyBorder="1" applyAlignment="1">
      <alignment/>
    </xf>
    <xf numFmtId="0" fontId="5" fillId="0" borderId="7" xfId="0" applyFont="1" applyFill="1" applyBorder="1" applyAlignment="1">
      <alignment horizontal="right"/>
    </xf>
    <xf numFmtId="3" fontId="5" fillId="3" borderId="13" xfId="0" applyNumberFormat="1" applyFont="1" applyFill="1" applyBorder="1" applyAlignment="1">
      <alignment horizontal="center"/>
    </xf>
    <xf numFmtId="0" fontId="5" fillId="2" borderId="12" xfId="0" applyFont="1" applyFill="1" applyBorder="1" applyAlignment="1">
      <alignment/>
    </xf>
    <xf numFmtId="0" fontId="6" fillId="0" borderId="1" xfId="0" applyFont="1" applyFill="1" applyBorder="1" applyAlignment="1">
      <alignment/>
    </xf>
    <xf numFmtId="0" fontId="6" fillId="0" borderId="2" xfId="0" applyFont="1" applyFill="1" applyBorder="1" applyAlignment="1">
      <alignment horizontal="center"/>
    </xf>
    <xf numFmtId="0" fontId="6" fillId="0" borderId="13" xfId="0" applyFont="1" applyFill="1" applyBorder="1" applyAlignment="1">
      <alignment horizontal="center"/>
    </xf>
    <xf numFmtId="0" fontId="6" fillId="0" borderId="0" xfId="0" applyFont="1" applyAlignment="1">
      <alignment wrapText="1"/>
    </xf>
    <xf numFmtId="0" fontId="5" fillId="2" borderId="9" xfId="0" applyFont="1" applyFill="1" applyBorder="1" applyAlignment="1">
      <alignment wrapText="1"/>
    </xf>
    <xf numFmtId="0" fontId="5" fillId="2" borderId="8" xfId="0" applyFont="1" applyFill="1" applyBorder="1" applyAlignment="1">
      <alignment wrapText="1"/>
    </xf>
    <xf numFmtId="0" fontId="5" fillId="3" borderId="12" xfId="0" applyFont="1" applyFill="1" applyBorder="1" applyAlignment="1">
      <alignment wrapText="1"/>
    </xf>
    <xf numFmtId="0" fontId="5" fillId="3" borderId="9" xfId="0" applyFont="1" applyFill="1" applyBorder="1" applyAlignment="1">
      <alignment wrapText="1"/>
    </xf>
    <xf numFmtId="0" fontId="5" fillId="3" borderId="8" xfId="0" applyFont="1" applyFill="1" applyBorder="1" applyAlignment="1">
      <alignment wrapText="1"/>
    </xf>
    <xf numFmtId="0" fontId="5" fillId="4" borderId="12" xfId="0" applyFont="1" applyFill="1" applyBorder="1" applyAlignment="1">
      <alignment wrapText="1"/>
    </xf>
    <xf numFmtId="0" fontId="5" fillId="4" borderId="9" xfId="0" applyFont="1" applyFill="1" applyBorder="1" applyAlignment="1">
      <alignment wrapText="1"/>
    </xf>
    <xf numFmtId="0" fontId="5" fillId="4" borderId="8" xfId="0" applyFont="1" applyFill="1" applyBorder="1" applyAlignment="1">
      <alignment wrapText="1"/>
    </xf>
    <xf numFmtId="0" fontId="5" fillId="5" borderId="12" xfId="0" applyFont="1" applyFill="1" applyBorder="1" applyAlignment="1">
      <alignment wrapText="1"/>
    </xf>
    <xf numFmtId="0" fontId="5" fillId="5" borderId="9" xfId="0" applyFont="1" applyFill="1" applyBorder="1" applyAlignment="1">
      <alignment wrapText="1"/>
    </xf>
    <xf numFmtId="0" fontId="5" fillId="5" borderId="8" xfId="0" applyFont="1" applyFill="1" applyBorder="1" applyAlignment="1">
      <alignment wrapText="1"/>
    </xf>
    <xf numFmtId="0" fontId="7" fillId="2" borderId="3" xfId="0" applyFont="1" applyFill="1" applyBorder="1" applyAlignment="1">
      <alignment vertical="top"/>
    </xf>
    <xf numFmtId="0" fontId="5" fillId="2" borderId="5" xfId="0" applyFont="1" applyFill="1" applyBorder="1" applyAlignment="1">
      <alignment vertical="top"/>
    </xf>
    <xf numFmtId="0" fontId="5" fillId="2" borderId="6" xfId="0" applyFont="1" applyFill="1" applyBorder="1" applyAlignment="1">
      <alignment vertical="top"/>
    </xf>
    <xf numFmtId="0" fontId="7" fillId="3" borderId="3" xfId="0" applyFont="1" applyFill="1" applyBorder="1" applyAlignment="1">
      <alignment vertical="top"/>
    </xf>
    <xf numFmtId="0" fontId="5" fillId="3" borderId="5" xfId="0" applyFont="1" applyFill="1" applyBorder="1" applyAlignment="1">
      <alignment vertical="top"/>
    </xf>
    <xf numFmtId="0" fontId="5" fillId="3" borderId="6" xfId="0" applyFont="1" applyFill="1" applyBorder="1" applyAlignment="1">
      <alignment vertical="top"/>
    </xf>
    <xf numFmtId="0" fontId="7" fillId="4" borderId="3" xfId="0" applyFont="1" applyFill="1" applyBorder="1" applyAlignment="1">
      <alignment vertical="top"/>
    </xf>
    <xf numFmtId="0" fontId="5" fillId="4" borderId="5" xfId="0" applyFont="1" applyFill="1" applyBorder="1" applyAlignment="1">
      <alignment vertical="top"/>
    </xf>
    <xf numFmtId="0" fontId="5" fillId="4" borderId="6" xfId="0" applyFont="1" applyFill="1" applyBorder="1" applyAlignment="1">
      <alignment vertical="top"/>
    </xf>
    <xf numFmtId="0" fontId="7" fillId="5" borderId="3" xfId="0" applyFont="1" applyFill="1" applyBorder="1" applyAlignment="1">
      <alignment vertical="top"/>
    </xf>
    <xf numFmtId="0" fontId="5" fillId="5" borderId="5" xfId="0" applyFont="1" applyFill="1" applyBorder="1" applyAlignment="1">
      <alignment vertical="top"/>
    </xf>
    <xf numFmtId="0" fontId="5" fillId="5" borderId="6" xfId="0" applyFont="1" applyFill="1" applyBorder="1" applyAlignment="1">
      <alignment vertical="top"/>
    </xf>
    <xf numFmtId="166" fontId="5" fillId="14" borderId="23" xfId="0" applyNumberFormat="1" applyFont="1" applyFill="1" applyBorder="1" applyAlignment="1">
      <alignment horizontal="center"/>
    </xf>
    <xf numFmtId="165" fontId="5" fillId="4" borderId="22" xfId="0" applyNumberFormat="1" applyFont="1" applyFill="1" applyBorder="1" applyAlignment="1">
      <alignment horizontal="center"/>
    </xf>
    <xf numFmtId="165" fontId="5" fillId="4" borderId="24" xfId="0" applyNumberFormat="1" applyFont="1" applyFill="1" applyBorder="1" applyAlignment="1">
      <alignment horizontal="center"/>
    </xf>
    <xf numFmtId="165" fontId="5" fillId="4" borderId="25" xfId="0" applyNumberFormat="1" applyFont="1" applyFill="1" applyBorder="1" applyAlignment="1">
      <alignment horizontal="center"/>
    </xf>
    <xf numFmtId="0" fontId="6" fillId="3" borderId="20" xfId="0" applyFont="1" applyFill="1" applyBorder="1" applyAlignment="1">
      <alignment/>
    </xf>
    <xf numFmtId="165" fontId="5" fillId="3" borderId="22" xfId="0" applyNumberFormat="1" applyFont="1" applyFill="1" applyBorder="1" applyAlignment="1">
      <alignment horizontal="center"/>
    </xf>
    <xf numFmtId="165" fontId="5" fillId="3" borderId="24" xfId="0" applyNumberFormat="1" applyFont="1" applyFill="1" applyBorder="1" applyAlignment="1">
      <alignment horizontal="center"/>
    </xf>
    <xf numFmtId="0" fontId="5" fillId="3" borderId="21" xfId="0" applyFont="1" applyFill="1" applyBorder="1" applyAlignment="1">
      <alignment/>
    </xf>
    <xf numFmtId="165" fontId="5" fillId="3" borderId="25" xfId="0" applyNumberFormat="1" applyFont="1" applyFill="1" applyBorder="1" applyAlignment="1">
      <alignment horizontal="center"/>
    </xf>
    <xf numFmtId="165" fontId="5" fillId="3" borderId="26" xfId="0" applyNumberFormat="1" applyFont="1" applyFill="1" applyBorder="1" applyAlignment="1">
      <alignment horizontal="center"/>
    </xf>
    <xf numFmtId="0" fontId="5" fillId="4" borderId="27" xfId="0" applyFont="1" applyFill="1" applyBorder="1" applyAlignment="1">
      <alignment/>
    </xf>
    <xf numFmtId="0" fontId="6" fillId="4" borderId="28" xfId="0" applyFont="1" applyFill="1" applyBorder="1" applyAlignment="1">
      <alignment/>
    </xf>
    <xf numFmtId="0" fontId="6" fillId="4" borderId="28" xfId="0" applyFont="1" applyFill="1" applyBorder="1" applyAlignment="1">
      <alignment horizontal="center"/>
    </xf>
    <xf numFmtId="165" fontId="5" fillId="4" borderId="29" xfId="0" applyNumberFormat="1" applyFont="1" applyFill="1" applyBorder="1" applyAlignment="1">
      <alignment horizontal="center"/>
    </xf>
    <xf numFmtId="165" fontId="5" fillId="4" borderId="30" xfId="0" applyNumberFormat="1" applyFont="1" applyFill="1" applyBorder="1" applyAlignment="1">
      <alignment horizontal="center"/>
    </xf>
    <xf numFmtId="0" fontId="22" fillId="0" borderId="0" xfId="0" applyFont="1" applyAlignment="1">
      <alignment horizontal="left"/>
    </xf>
    <xf numFmtId="0" fontId="6" fillId="0" borderId="14" xfId="0" applyFont="1" applyFill="1" applyBorder="1" applyAlignment="1">
      <alignment horizontal="center"/>
    </xf>
    <xf numFmtId="165" fontId="5" fillId="0" borderId="14" xfId="0" applyNumberFormat="1" applyFont="1" applyFill="1" applyBorder="1" applyAlignment="1">
      <alignment horizontal="center"/>
    </xf>
    <xf numFmtId="165" fontId="6" fillId="0" borderId="7" xfId="0" applyNumberFormat="1" applyFont="1" applyFill="1" applyBorder="1" applyAlignment="1">
      <alignment horizontal="center"/>
    </xf>
    <xf numFmtId="0" fontId="12" fillId="0" borderId="7" xfId="0" applyFont="1" applyFill="1" applyBorder="1" applyAlignment="1">
      <alignment horizontal="left"/>
    </xf>
    <xf numFmtId="17"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6" fillId="5" borderId="13" xfId="0" applyFont="1" applyFill="1" applyBorder="1" applyAlignment="1">
      <alignment horizontal="center"/>
    </xf>
    <xf numFmtId="1" fontId="5" fillId="7" borderId="9" xfId="0" applyNumberFormat="1" applyFont="1" applyFill="1" applyBorder="1" applyAlignment="1">
      <alignment horizontal="center"/>
    </xf>
    <xf numFmtId="1" fontId="5" fillId="7" borderId="8" xfId="0" applyNumberFormat="1" applyFont="1" applyFill="1" applyBorder="1" applyAlignment="1">
      <alignment horizontal="center"/>
    </xf>
    <xf numFmtId="3" fontId="5" fillId="9" borderId="12" xfId="0" applyNumberFormat="1" applyFont="1" applyFill="1" applyBorder="1" applyAlignment="1">
      <alignment horizontal="center"/>
    </xf>
    <xf numFmtId="0" fontId="6" fillId="9" borderId="13" xfId="0" applyFont="1" applyFill="1" applyBorder="1" applyAlignment="1">
      <alignment horizontal="center"/>
    </xf>
    <xf numFmtId="4" fontId="5" fillId="9" borderId="0" xfId="0" applyNumberFormat="1" applyFont="1" applyFill="1" applyBorder="1" applyAlignment="1">
      <alignment horizontal="center"/>
    </xf>
    <xf numFmtId="0" fontId="10" fillId="0" borderId="0" xfId="0" applyFont="1" applyFill="1" applyBorder="1" applyAlignment="1">
      <alignment horizontal="left" wrapText="1"/>
    </xf>
    <xf numFmtId="0" fontId="5" fillId="3" borderId="6" xfId="0" applyFont="1" applyFill="1" applyBorder="1" applyAlignment="1">
      <alignment horizontal="left"/>
    </xf>
    <xf numFmtId="0" fontId="5" fillId="3" borderId="5" xfId="0" applyFont="1" applyFill="1" applyBorder="1" applyAlignment="1">
      <alignment horizontal="left"/>
    </xf>
    <xf numFmtId="0" fontId="6" fillId="4" borderId="17" xfId="0" applyFont="1" applyFill="1" applyBorder="1" applyAlignment="1">
      <alignment/>
    </xf>
    <xf numFmtId="0" fontId="5" fillId="0" borderId="2" xfId="0" applyFont="1" applyFill="1" applyBorder="1" applyAlignment="1">
      <alignment/>
    </xf>
    <xf numFmtId="0" fontId="5" fillId="0" borderId="9" xfId="0" applyFont="1" applyBorder="1" applyAlignment="1">
      <alignment horizontal="center"/>
    </xf>
    <xf numFmtId="0" fontId="10" fillId="0" borderId="0" xfId="0" applyFont="1" applyAlignment="1">
      <alignment horizontal="left" vertical="top" wrapText="1"/>
    </xf>
    <xf numFmtId="0" fontId="17" fillId="13" borderId="1" xfId="0" applyFont="1" applyFill="1" applyBorder="1" applyAlignment="1">
      <alignment/>
    </xf>
    <xf numFmtId="0" fontId="18" fillId="13" borderId="13"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5" fillId="0" borderId="4" xfId="0" applyFont="1" applyBorder="1" applyAlignment="1">
      <alignment/>
    </xf>
    <xf numFmtId="0" fontId="12" fillId="0" borderId="0" xfId="0" applyFont="1" applyAlignment="1">
      <alignment horizontal="left" vertical="top" wrapText="1"/>
    </xf>
    <xf numFmtId="0" fontId="12" fillId="0" borderId="7" xfId="0" applyFont="1" applyBorder="1" applyAlignment="1">
      <alignment horizontal="left" vertical="top" wrapText="1"/>
    </xf>
    <xf numFmtId="0" fontId="10" fillId="0" borderId="0" xfId="0" applyFont="1" applyAlignment="1">
      <alignment horizontal="left" vertical="top" wrapText="1"/>
    </xf>
    <xf numFmtId="0" fontId="6" fillId="3" borderId="3" xfId="0" applyFont="1" applyFill="1" applyBorder="1" applyAlignment="1">
      <alignment horizontal="left" wrapText="1"/>
    </xf>
    <xf numFmtId="0" fontId="6" fillId="3" borderId="4" xfId="0" applyFont="1" applyFill="1" applyBorder="1" applyAlignment="1">
      <alignment horizontal="left" wrapText="1"/>
    </xf>
    <xf numFmtId="0" fontId="6" fillId="3" borderId="12" xfId="0" applyFont="1" applyFill="1" applyBorder="1" applyAlignment="1">
      <alignment horizontal="left" wrapText="1"/>
    </xf>
    <xf numFmtId="0" fontId="8" fillId="2" borderId="6" xfId="0" applyFont="1" applyFill="1" applyBorder="1" applyAlignment="1">
      <alignment horizontal="left" wrapText="1"/>
    </xf>
    <xf numFmtId="0" fontId="8" fillId="2" borderId="7" xfId="0" applyFont="1" applyFill="1" applyBorder="1" applyAlignment="1">
      <alignment horizontal="left" wrapText="1"/>
    </xf>
    <xf numFmtId="0" fontId="8" fillId="2" borderId="8" xfId="0" applyFont="1" applyFill="1" applyBorder="1" applyAlignment="1">
      <alignment horizontal="left" wrapText="1"/>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13" xfId="0" applyFont="1" applyFill="1" applyBorder="1" applyAlignment="1">
      <alignment horizontal="center"/>
    </xf>
    <xf numFmtId="0" fontId="6" fillId="0" borderId="7" xfId="0" applyFont="1" applyBorder="1" applyAlignment="1">
      <alignment horizontal="left" wrapText="1"/>
    </xf>
    <xf numFmtId="0" fontId="10" fillId="0" borderId="4" xfId="0" applyFont="1" applyFill="1" applyBorder="1" applyAlignment="1">
      <alignment horizontal="left" vertical="top" wrapText="1"/>
    </xf>
    <xf numFmtId="0" fontId="20" fillId="0" borderId="0" xfId="0" applyFont="1" applyAlignment="1">
      <alignment horizontal="left" wrapText="1"/>
    </xf>
    <xf numFmtId="0" fontId="6" fillId="0" borderId="0" xfId="0" applyFont="1" applyAlignment="1">
      <alignment horizontal="left" vertical="top" wrapText="1"/>
    </xf>
    <xf numFmtId="0" fontId="6" fillId="0" borderId="0" xfId="0" applyFont="1" applyAlignment="1">
      <alignment horizontal="left"/>
    </xf>
    <xf numFmtId="0" fontId="6" fillId="0" borderId="0" xfId="0" applyFont="1" applyAlignment="1">
      <alignment horizontal="left" wrapText="1"/>
    </xf>
    <xf numFmtId="0" fontId="6" fillId="5" borderId="3" xfId="0" applyFont="1" applyFill="1" applyBorder="1" applyAlignment="1">
      <alignment horizontal="left" wrapText="1"/>
    </xf>
    <xf numFmtId="0" fontId="6" fillId="5" borderId="4" xfId="0" applyFont="1" applyFill="1" applyBorder="1" applyAlignment="1">
      <alignment horizontal="left" wrapText="1"/>
    </xf>
    <xf numFmtId="0" fontId="6" fillId="5" borderId="12" xfId="0" applyFont="1" applyFill="1" applyBorder="1" applyAlignment="1">
      <alignment horizontal="left" wrapText="1"/>
    </xf>
    <xf numFmtId="0" fontId="6" fillId="5" borderId="6" xfId="0" applyFont="1" applyFill="1" applyBorder="1" applyAlignment="1">
      <alignment horizontal="left" wrapText="1"/>
    </xf>
    <xf numFmtId="0" fontId="6" fillId="5" borderId="7" xfId="0" applyFont="1" applyFill="1" applyBorder="1" applyAlignment="1">
      <alignment horizontal="left" wrapText="1"/>
    </xf>
    <xf numFmtId="0" fontId="6" fillId="5" borderId="8"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M64"/>
  <sheetViews>
    <sheetView view="pageBreakPreview" zoomScale="75" zoomScaleSheetLayoutView="75" workbookViewId="0" topLeftCell="A22">
      <selection activeCell="D79" sqref="D78:D79"/>
    </sheetView>
  </sheetViews>
  <sheetFormatPr defaultColWidth="9.140625" defaultRowHeight="9.75" customHeight="1"/>
  <cols>
    <col min="1" max="1" width="57.8515625" style="2" customWidth="1"/>
    <col min="2" max="2" width="8.7109375" style="2" customWidth="1"/>
    <col min="3" max="3" width="14.421875" style="2" bestFit="1" customWidth="1"/>
    <col min="4" max="4" width="8.7109375" style="2" customWidth="1"/>
    <col min="5" max="5" width="49.7109375" style="2" customWidth="1"/>
    <col min="6" max="6" width="8.7109375" style="2" customWidth="1"/>
    <col min="7" max="7" width="11.00390625" style="2" customWidth="1"/>
    <col min="8" max="16384" width="8.7109375" style="2" customWidth="1"/>
  </cols>
  <sheetData>
    <row r="1" spans="1:3" ht="11.25">
      <c r="A1" s="84"/>
      <c r="B1" s="85" t="s">
        <v>347</v>
      </c>
      <c r="C1" s="86"/>
    </row>
    <row r="2" spans="1:3" ht="11.25">
      <c r="A2" s="104" t="s">
        <v>339</v>
      </c>
      <c r="B2" s="102"/>
      <c r="C2" s="103"/>
    </row>
    <row r="3" spans="1:3" ht="11.25">
      <c r="A3" s="87" t="s">
        <v>334</v>
      </c>
      <c r="B3" s="105" t="s">
        <v>139</v>
      </c>
      <c r="C3" s="97">
        <f>'Lookback Calculation'!F9</f>
        <v>44077031.07664764</v>
      </c>
    </row>
    <row r="4" spans="1:3" ht="11.25">
      <c r="A4" s="87" t="s">
        <v>335</v>
      </c>
      <c r="B4" s="105" t="s">
        <v>139</v>
      </c>
      <c r="C4" s="97">
        <f>'Lookback Calculation'!F10</f>
        <v>96722313.59852806</v>
      </c>
    </row>
    <row r="5" spans="1:3" ht="11.25">
      <c r="A5" s="99" t="s">
        <v>336</v>
      </c>
      <c r="B5" s="105"/>
      <c r="C5" s="97"/>
    </row>
    <row r="6" spans="1:3" ht="11.25">
      <c r="A6" s="87" t="s">
        <v>337</v>
      </c>
      <c r="B6" s="105" t="s">
        <v>139</v>
      </c>
      <c r="C6" s="97">
        <f>'Lookback Calculation'!F12</f>
        <v>39832647.77853357</v>
      </c>
    </row>
    <row r="7" spans="1:3" ht="11.25">
      <c r="A7" s="87" t="s">
        <v>338</v>
      </c>
      <c r="B7" s="105" t="s">
        <v>139</v>
      </c>
      <c r="C7" s="97">
        <f>'Lookback Calculation'!F13</f>
        <v>86776971.80140102</v>
      </c>
    </row>
    <row r="8" spans="1:3" ht="11.25">
      <c r="A8" s="99" t="s">
        <v>340</v>
      </c>
      <c r="B8" s="108"/>
      <c r="C8" s="109"/>
    </row>
    <row r="9" spans="1:3" ht="11.25">
      <c r="A9" s="101" t="s">
        <v>368</v>
      </c>
      <c r="B9" s="115" t="s">
        <v>139</v>
      </c>
      <c r="C9" s="116">
        <f>'Lookback Calculation'!F15</f>
        <v>-4244383.298114069</v>
      </c>
    </row>
    <row r="10" spans="1:3" ht="11.25">
      <c r="A10" s="87" t="s">
        <v>342</v>
      </c>
      <c r="B10" s="105" t="s">
        <v>139</v>
      </c>
      <c r="C10" s="97">
        <f>'Lookback Calculation'!F16</f>
        <v>-9945341.797127038</v>
      </c>
    </row>
    <row r="11" spans="1:3" ht="11.25">
      <c r="A11" s="87" t="s">
        <v>343</v>
      </c>
      <c r="B11" s="105" t="s">
        <v>139</v>
      </c>
      <c r="C11" s="97">
        <f>'Lookback Calculation'!F18</f>
        <v>-777905.8994695246</v>
      </c>
    </row>
    <row r="12" spans="1:3" ht="11.25">
      <c r="A12" s="111" t="s">
        <v>369</v>
      </c>
      <c r="B12" s="112" t="s">
        <v>139</v>
      </c>
      <c r="C12" s="113">
        <f>'Lookback Calculation'!F16+'Lookback Calculation'!F18</f>
        <v>-10723247.696596563</v>
      </c>
    </row>
    <row r="13" spans="1:3" ht="11.25">
      <c r="A13" s="117" t="s">
        <v>370</v>
      </c>
      <c r="B13" s="118" t="s">
        <v>139</v>
      </c>
      <c r="C13" s="119">
        <f>C9+C12</f>
        <v>-14967630.994710632</v>
      </c>
    </row>
    <row r="14" spans="1:3" ht="11.25">
      <c r="A14" s="99" t="s">
        <v>344</v>
      </c>
      <c r="B14" s="88"/>
      <c r="C14" s="89"/>
    </row>
    <row r="15" spans="1:3" ht="11.25">
      <c r="A15" s="114" t="s">
        <v>345</v>
      </c>
      <c r="B15" s="122"/>
      <c r="C15" s="123">
        <f>'Lookback Calculation'!F20</f>
        <v>-0.010252778</v>
      </c>
    </row>
    <row r="16" spans="1:3" ht="11.25">
      <c r="A16" s="117" t="s">
        <v>346</v>
      </c>
      <c r="B16" s="120"/>
      <c r="C16" s="121">
        <f>'Lookback Calculation'!F21</f>
        <v>-0.011890168</v>
      </c>
    </row>
    <row r="17" ht="11.25">
      <c r="A17" s="2" t="s">
        <v>350</v>
      </c>
    </row>
    <row r="18" ht="11.25">
      <c r="A18" s="2" t="s">
        <v>351</v>
      </c>
    </row>
    <row r="19" ht="11.25">
      <c r="A19" s="2" t="s">
        <v>352</v>
      </c>
    </row>
    <row r="20" ht="11.25">
      <c r="A20" s="2" t="s">
        <v>353</v>
      </c>
    </row>
    <row r="21" ht="11.25">
      <c r="A21" s="2" t="s">
        <v>354</v>
      </c>
    </row>
    <row r="22" ht="11.25">
      <c r="A22" s="2" t="s">
        <v>355</v>
      </c>
    </row>
    <row r="23" spans="1:39" ht="11.25">
      <c r="A23" s="2" t="s">
        <v>356</v>
      </c>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row>
    <row r="24" spans="1:39" ht="11.25">
      <c r="A24" s="2" t="s">
        <v>357</v>
      </c>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row>
    <row r="25" spans="1:39" ht="11.25">
      <c r="A25" s="2" t="s">
        <v>358</v>
      </c>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row>
    <row r="26" spans="8:39" ht="11.25">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row>
    <row r="27" spans="1:4" s="92" customFormat="1" ht="11.25">
      <c r="A27" s="84"/>
      <c r="B27" s="85" t="s">
        <v>348</v>
      </c>
      <c r="C27" s="86"/>
      <c r="D27" s="91"/>
    </row>
    <row r="28" spans="1:39" s="94" customFormat="1" ht="11.25">
      <c r="A28" s="101" t="s">
        <v>330</v>
      </c>
      <c r="B28" s="105" t="s">
        <v>139</v>
      </c>
      <c r="C28" s="106">
        <f>SUM('Calculated Inputs'!$D$52:$F$53)</f>
        <v>152193858.06728053</v>
      </c>
      <c r="D28" s="93"/>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row>
    <row r="29" spans="1:39" s="94" customFormat="1" ht="11.25">
      <c r="A29" s="87" t="s">
        <v>331</v>
      </c>
      <c r="B29" s="105" t="s">
        <v>139</v>
      </c>
      <c r="C29" s="97">
        <f>SUM('120 - Day Rule Calc''s'!$F$8:$H$8)+SUM('120 - Day Rule Calc''s'!$F$13:$H$13)</f>
        <v>0</v>
      </c>
      <c r="D29" s="95"/>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row>
    <row r="30" spans="1:39" s="94" customFormat="1" ht="11.25">
      <c r="A30" s="87" t="s">
        <v>325</v>
      </c>
      <c r="B30" s="105" t="s">
        <v>139</v>
      </c>
      <c r="C30" s="97">
        <f>SUM('Calculated Inputs'!$D$90:$F$91)</f>
        <v>98887183</v>
      </c>
      <c r="D30" s="93"/>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row>
    <row r="31" spans="1:4" s="92" customFormat="1" ht="11.25">
      <c r="A31" s="87" t="s">
        <v>332</v>
      </c>
      <c r="B31" s="105" t="s">
        <v>139</v>
      </c>
      <c r="C31" s="97">
        <f>'120 - Day Rule Calc''s'!$F$15</f>
        <v>169163207.1787346</v>
      </c>
      <c r="D31" s="96"/>
    </row>
    <row r="32" spans="1:4" s="92" customFormat="1" ht="11.25">
      <c r="A32" s="87" t="s">
        <v>224</v>
      </c>
      <c r="B32" s="105" t="s">
        <v>139</v>
      </c>
      <c r="C32" s="97">
        <f>'120 - Day Rule Calc''s'!$F$22</f>
        <v>42553587.5988</v>
      </c>
      <c r="D32" s="98"/>
    </row>
    <row r="33" spans="1:4" s="92" customFormat="1" ht="11.25">
      <c r="A33" s="87" t="s">
        <v>359</v>
      </c>
      <c r="B33" s="105" t="s">
        <v>139</v>
      </c>
      <c r="C33" s="97">
        <f>'120 - Day Rule Calc''s'!$F$23</f>
        <v>126609619.5799346</v>
      </c>
      <c r="D33" s="91"/>
    </row>
    <row r="34" spans="1:4" s="92" customFormat="1" ht="11.25">
      <c r="A34" s="87" t="s">
        <v>300</v>
      </c>
      <c r="B34" s="105"/>
      <c r="C34" s="97"/>
      <c r="D34" s="91"/>
    </row>
    <row r="35" spans="1:4" s="92" customFormat="1" ht="11.25">
      <c r="A35" s="87" t="s">
        <v>296</v>
      </c>
      <c r="B35" s="105" t="s">
        <v>139</v>
      </c>
      <c r="C35" s="97">
        <f>'120 - Day Rule Calc''s'!$F$26</f>
        <v>137991322.60750848</v>
      </c>
      <c r="D35" s="91"/>
    </row>
    <row r="36" spans="1:4" s="92" customFormat="1" ht="11.25">
      <c r="A36" s="87" t="s">
        <v>297</v>
      </c>
      <c r="B36" s="105" t="s">
        <v>139</v>
      </c>
      <c r="C36" s="97">
        <f>'120 - Day Rule Calc''s'!$F$27</f>
        <v>300619461.13466805</v>
      </c>
      <c r="D36" s="91"/>
    </row>
    <row r="37" spans="1:4" s="92" customFormat="1" ht="11.25">
      <c r="A37" s="90" t="s">
        <v>341</v>
      </c>
      <c r="B37" s="110" t="s">
        <v>139</v>
      </c>
      <c r="C37" s="107">
        <f>'120 - Day Rule Calc''s'!$F$28</f>
        <v>438610783.74217653</v>
      </c>
      <c r="D37" s="91"/>
    </row>
    <row r="38" spans="1:4" s="92" customFormat="1" ht="11.25">
      <c r="A38" s="16" t="s">
        <v>223</v>
      </c>
      <c r="C38" s="91"/>
      <c r="D38" s="91"/>
    </row>
    <row r="39" spans="1:7" s="92" customFormat="1" ht="9.75" customHeight="1">
      <c r="A39" s="16" t="s">
        <v>440</v>
      </c>
      <c r="C39" s="91"/>
      <c r="D39" s="91"/>
      <c r="E39" s="16"/>
      <c r="F39" s="16"/>
      <c r="G39" s="100"/>
    </row>
    <row r="40" spans="1:7" s="92" customFormat="1" ht="9.75" customHeight="1">
      <c r="A40" s="16" t="s">
        <v>441</v>
      </c>
      <c r="C40" s="91"/>
      <c r="D40" s="91"/>
      <c r="E40" s="16"/>
      <c r="F40" s="16"/>
      <c r="G40" s="100"/>
    </row>
    <row r="41" spans="1:7" s="92" customFormat="1" ht="9.75" customHeight="1">
      <c r="A41" s="16" t="s">
        <v>442</v>
      </c>
      <c r="C41" s="91"/>
      <c r="D41" s="91"/>
      <c r="E41" s="15"/>
      <c r="G41" s="91"/>
    </row>
    <row r="42" spans="1:39" s="92" customFormat="1" ht="9.75" customHeight="1">
      <c r="A42" s="16" t="s">
        <v>327</v>
      </c>
      <c r="C42" s="91"/>
      <c r="D42" s="91"/>
      <c r="E42" s="2"/>
      <c r="F42" s="2"/>
      <c r="G42" s="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row>
    <row r="43" spans="1:39" s="92" customFormat="1" ht="9.75" customHeight="1">
      <c r="A43" s="16" t="s">
        <v>326</v>
      </c>
      <c r="C43" s="91"/>
      <c r="D43" s="91"/>
      <c r="E43" s="2"/>
      <c r="F43" s="2"/>
      <c r="G43" s="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row>
    <row r="44" spans="1:39" s="92" customFormat="1" ht="9.75" customHeight="1">
      <c r="A44" s="16" t="s">
        <v>206</v>
      </c>
      <c r="C44" s="91"/>
      <c r="D44" s="91"/>
      <c r="E44" s="2"/>
      <c r="F44" s="2"/>
      <c r="G44" s="2"/>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row>
    <row r="45" spans="1:7" s="92" customFormat="1" ht="9.75" customHeight="1">
      <c r="A45" s="16" t="s">
        <v>443</v>
      </c>
      <c r="C45" s="91"/>
      <c r="D45" s="91"/>
      <c r="E45" s="2"/>
      <c r="F45" s="2"/>
      <c r="G45" s="2"/>
    </row>
    <row r="46" spans="1:39" s="16" customFormat="1" ht="9.75" customHeight="1">
      <c r="A46" s="16" t="s">
        <v>333</v>
      </c>
      <c r="B46" s="92"/>
      <c r="C46" s="91"/>
      <c r="D46" s="100"/>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row>
    <row r="47" spans="1:39" s="16" customFormat="1" ht="9.75" customHeight="1">
      <c r="A47" s="16" t="s">
        <v>361</v>
      </c>
      <c r="B47" s="92"/>
      <c r="C47" s="91"/>
      <c r="D47" s="100"/>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39" s="16" customFormat="1" ht="9.75" customHeight="1">
      <c r="A48" s="2"/>
      <c r="B48" s="2"/>
      <c r="C48" s="2"/>
      <c r="D48" s="100"/>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39" s="92" customFormat="1" ht="9.75" customHeight="1">
      <c r="A49" s="84"/>
      <c r="B49" s="85" t="s">
        <v>349</v>
      </c>
      <c r="C49" s="86"/>
      <c r="D49" s="91"/>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row>
    <row r="50" spans="1:3" ht="9.75" customHeight="1">
      <c r="A50" s="101" t="s">
        <v>293</v>
      </c>
      <c r="B50" s="105" t="s">
        <v>139</v>
      </c>
      <c r="C50" s="106">
        <f>SUM('Calculated Inputs'!D79:F80)</f>
        <v>160266198.06728053</v>
      </c>
    </row>
    <row r="51" spans="1:3" ht="9.75" customHeight="1">
      <c r="A51" s="87" t="s">
        <v>294</v>
      </c>
      <c r="B51" s="105" t="s">
        <v>139</v>
      </c>
      <c r="C51" s="97">
        <f>SUM('0 - Day Rule Calc''s'!B6:D6)+SUM('0 - Day Rule Calc''s'!B11:D11)</f>
        <v>0</v>
      </c>
    </row>
    <row r="52" spans="1:3" ht="9.75" customHeight="1">
      <c r="A52" s="87" t="s">
        <v>325</v>
      </c>
      <c r="B52" s="105" t="s">
        <v>139</v>
      </c>
      <c r="C52" s="97">
        <f>SUM('Calculated Inputs'!D90:F91)</f>
        <v>98887183</v>
      </c>
    </row>
    <row r="53" spans="1:3" ht="9.75" customHeight="1">
      <c r="A53" s="87" t="s">
        <v>295</v>
      </c>
      <c r="B53" s="105" t="s">
        <v>139</v>
      </c>
      <c r="C53" s="97">
        <f>'0 - Day Rule Calc''s'!B13</f>
        <v>168385301.27926508</v>
      </c>
    </row>
    <row r="54" spans="1:3" ht="9.75" customHeight="1">
      <c r="A54" s="87" t="s">
        <v>224</v>
      </c>
      <c r="B54" s="105" t="s">
        <v>139</v>
      </c>
      <c r="C54" s="97">
        <f>'0 - Day Rule Calc''s'!B20</f>
        <v>42553587.5988</v>
      </c>
    </row>
    <row r="55" spans="1:3" ht="9.75" customHeight="1">
      <c r="A55" s="90" t="s">
        <v>360</v>
      </c>
      <c r="B55" s="110" t="s">
        <v>139</v>
      </c>
      <c r="C55" s="107">
        <f>'0 - Day Rule Calc''s'!B21</f>
        <v>125831713.68046507</v>
      </c>
    </row>
    <row r="56" spans="1:3" ht="9.75" customHeight="1">
      <c r="A56" s="16" t="s">
        <v>223</v>
      </c>
      <c r="B56" s="92"/>
      <c r="C56" s="91"/>
    </row>
    <row r="57" spans="1:3" ht="9.75" customHeight="1">
      <c r="A57" s="16" t="s">
        <v>444</v>
      </c>
      <c r="B57" s="92"/>
      <c r="C57" s="91"/>
    </row>
    <row r="58" spans="1:3" ht="9.75" customHeight="1">
      <c r="A58" s="16" t="s">
        <v>441</v>
      </c>
      <c r="B58" s="92"/>
      <c r="C58" s="91"/>
    </row>
    <row r="59" spans="1:3" ht="9.75" customHeight="1">
      <c r="A59" s="16" t="s">
        <v>442</v>
      </c>
      <c r="B59" s="92"/>
      <c r="C59" s="91"/>
    </row>
    <row r="60" spans="1:3" ht="9.75" customHeight="1">
      <c r="A60" s="16" t="s">
        <v>327</v>
      </c>
      <c r="B60" s="92"/>
      <c r="C60" s="91"/>
    </row>
    <row r="61" spans="1:3" ht="9.75" customHeight="1">
      <c r="A61" s="16" t="s">
        <v>326</v>
      </c>
      <c r="B61" s="92"/>
      <c r="C61" s="91"/>
    </row>
    <row r="62" spans="1:3" ht="9.75" customHeight="1">
      <c r="A62" s="16" t="s">
        <v>206</v>
      </c>
      <c r="B62" s="92"/>
      <c r="C62" s="91"/>
    </row>
    <row r="63" spans="1:3" ht="9.75" customHeight="1">
      <c r="A63" s="16" t="s">
        <v>445</v>
      </c>
      <c r="B63" s="92"/>
      <c r="C63" s="91"/>
    </row>
    <row r="64" spans="1:3" ht="9.75" customHeight="1">
      <c r="A64" s="16" t="s">
        <v>333</v>
      </c>
      <c r="B64" s="92"/>
      <c r="C64" s="91"/>
    </row>
  </sheetData>
  <printOptions horizontalCentered="1"/>
  <pageMargins left="0.5" right="0.5" top="0.75" bottom="0.75" header="0.5" footer="0.5"/>
  <pageSetup fitToHeight="0" fitToWidth="1" horizontalDpi="600" verticalDpi="600" orientation="portrait" r:id="rId1"/>
  <headerFooter alignWithMargins="0">
    <oddHeader>&amp;C&amp;"Arial,Bold"&amp;12Total Results - Tables 1-3</oddHeader>
    <oddFooter>&amp;LPage 1&amp;CBonneville Power Administration, Power Business Line&amp;R2/14/02</oddFooter>
  </headerFooter>
</worksheet>
</file>

<file path=xl/worksheets/sheet10.xml><?xml version="1.0" encoding="utf-8"?>
<worksheet xmlns="http://schemas.openxmlformats.org/spreadsheetml/2006/main" xmlns:r="http://schemas.openxmlformats.org/officeDocument/2006/relationships">
  <sheetPr codeName="Sheet6">
    <pageSetUpPr fitToPage="1"/>
  </sheetPr>
  <dimension ref="A1:O77"/>
  <sheetViews>
    <sheetView view="pageBreakPreview" zoomScaleSheetLayoutView="100" workbookViewId="0" topLeftCell="A1">
      <selection activeCell="A1" sqref="A1:F2"/>
    </sheetView>
  </sheetViews>
  <sheetFormatPr defaultColWidth="9.140625" defaultRowHeight="9.75" customHeight="1"/>
  <cols>
    <col min="1" max="1" width="10.7109375" style="2" customWidth="1"/>
    <col min="2" max="2" width="24.28125" style="4" customWidth="1"/>
    <col min="3" max="8" width="10.7109375" style="4" customWidth="1"/>
    <col min="9" max="16384" width="10.7109375" style="2" customWidth="1"/>
  </cols>
  <sheetData>
    <row r="1" spans="1:6" ht="9.75" customHeight="1">
      <c r="A1" s="646" t="s">
        <v>489</v>
      </c>
      <c r="B1" s="646"/>
      <c r="C1" s="646"/>
      <c r="D1" s="646"/>
      <c r="E1" s="646"/>
      <c r="F1" s="646"/>
    </row>
    <row r="2" spans="1:6" ht="22.5" customHeight="1">
      <c r="A2" s="646"/>
      <c r="B2" s="646"/>
      <c r="C2" s="646"/>
      <c r="D2" s="646"/>
      <c r="E2" s="646"/>
      <c r="F2" s="646"/>
    </row>
    <row r="3" ht="11.25">
      <c r="A3" s="6" t="s">
        <v>499</v>
      </c>
    </row>
    <row r="4" ht="4.5" customHeight="1">
      <c r="A4" s="6"/>
    </row>
    <row r="5" spans="4:9" s="5" customFormat="1" ht="12" customHeight="1">
      <c r="D5" s="48" t="str">
        <f>'Analysis Parameters'!D6</f>
        <v>Oct</v>
      </c>
      <c r="E5" s="48" t="str">
        <f>'Analysis Parameters'!E6</f>
        <v>Nov</v>
      </c>
      <c r="F5" s="48" t="str">
        <f>'Analysis Parameters'!F6</f>
        <v>Dec</v>
      </c>
      <c r="G5" s="48" t="str">
        <f>'Analysis Parameters'!G6</f>
        <v>none</v>
      </c>
      <c r="H5" s="48" t="str">
        <f>'Analysis Parameters'!H6</f>
        <v>none</v>
      </c>
      <c r="I5" s="48" t="str">
        <f>'Analysis Parameters'!I6</f>
        <v>none</v>
      </c>
    </row>
    <row r="6" spans="1:9" ht="11.25">
      <c r="A6" s="6" t="s">
        <v>129</v>
      </c>
      <c r="B6" s="6"/>
      <c r="C6" s="5"/>
      <c r="I6" s="4"/>
    </row>
    <row r="7" spans="1:9" ht="11.25">
      <c r="A7" s="443" t="s">
        <v>120</v>
      </c>
      <c r="B7" s="443"/>
      <c r="C7" s="444"/>
      <c r="D7" s="444">
        <f>'Analysis Parameters'!D9</f>
        <v>432</v>
      </c>
      <c r="E7" s="444">
        <f>'Analysis Parameters'!E9</f>
        <v>416</v>
      </c>
      <c r="F7" s="444">
        <f>'Analysis Parameters'!F9</f>
        <v>416</v>
      </c>
      <c r="G7" s="444"/>
      <c r="H7" s="444"/>
      <c r="I7" s="444"/>
    </row>
    <row r="8" spans="1:9" ht="11.25">
      <c r="A8" s="445" t="s">
        <v>121</v>
      </c>
      <c r="B8" s="445"/>
      <c r="C8" s="446"/>
      <c r="D8" s="446">
        <v>313</v>
      </c>
      <c r="E8" s="446">
        <f>'Analysis Parameters'!E10</f>
        <v>304</v>
      </c>
      <c r="F8" s="446">
        <f>'Analysis Parameters'!F10</f>
        <v>328</v>
      </c>
      <c r="G8" s="446"/>
      <c r="H8" s="446"/>
      <c r="I8" s="446"/>
    </row>
    <row r="9" spans="1:9" s="10" customFormat="1" ht="11.25">
      <c r="A9" s="10" t="s">
        <v>159</v>
      </c>
      <c r="C9" s="9"/>
      <c r="D9" s="9">
        <f>D7+D8</f>
        <v>745</v>
      </c>
      <c r="E9" s="9">
        <f>E7+E8</f>
        <v>720</v>
      </c>
      <c r="F9" s="9">
        <f>F7+F8</f>
        <v>744</v>
      </c>
      <c r="G9" s="9"/>
      <c r="H9" s="9"/>
      <c r="I9" s="9"/>
    </row>
    <row r="10" spans="3:9" s="10" customFormat="1" ht="4.5" customHeight="1">
      <c r="C10" s="9"/>
      <c r="D10" s="9"/>
      <c r="E10" s="9"/>
      <c r="F10" s="9"/>
      <c r="G10" s="9"/>
      <c r="H10" s="9"/>
      <c r="I10" s="9"/>
    </row>
    <row r="11" spans="1:9" ht="11.25">
      <c r="A11" s="6" t="s">
        <v>163</v>
      </c>
      <c r="B11" s="6"/>
      <c r="I11" s="4"/>
    </row>
    <row r="12" spans="1:9" ht="4.5" customHeight="1">
      <c r="A12" s="6"/>
      <c r="B12" s="6"/>
      <c r="I12" s="4"/>
    </row>
    <row r="13" spans="1:9" ht="11.25">
      <c r="A13" s="6" t="s">
        <v>164</v>
      </c>
      <c r="B13" s="6"/>
      <c r="I13" s="4"/>
    </row>
    <row r="14" spans="1:9" ht="4.5" customHeight="1">
      <c r="A14" s="17"/>
      <c r="B14" s="6"/>
      <c r="I14" s="4"/>
    </row>
    <row r="15" spans="1:9" ht="11.25">
      <c r="A15" s="6" t="s">
        <v>156</v>
      </c>
      <c r="B15" s="6"/>
      <c r="I15" s="4"/>
    </row>
    <row r="16" spans="1:15" ht="11.25">
      <c r="A16" s="443" t="s">
        <v>154</v>
      </c>
      <c r="B16" s="443"/>
      <c r="C16" s="444" t="s">
        <v>137</v>
      </c>
      <c r="D16" s="449">
        <v>143856</v>
      </c>
      <c r="E16" s="449">
        <v>134000</v>
      </c>
      <c r="F16" s="449">
        <v>134800</v>
      </c>
      <c r="G16" s="449"/>
      <c r="H16" s="449"/>
      <c r="I16" s="449"/>
      <c r="J16" s="3"/>
      <c r="K16" s="46"/>
      <c r="L16" s="3"/>
      <c r="M16" s="3"/>
      <c r="N16" s="3"/>
      <c r="O16" s="3"/>
    </row>
    <row r="17" spans="1:15" ht="11.25">
      <c r="A17" s="443" t="s">
        <v>183</v>
      </c>
      <c r="B17" s="443"/>
      <c r="C17" s="444" t="s">
        <v>137</v>
      </c>
      <c r="D17" s="449">
        <v>410400</v>
      </c>
      <c r="E17" s="449">
        <v>380000</v>
      </c>
      <c r="F17" s="449">
        <v>380000</v>
      </c>
      <c r="G17" s="449"/>
      <c r="H17" s="449"/>
      <c r="I17" s="449"/>
      <c r="J17" s="42"/>
      <c r="K17" s="3"/>
      <c r="L17" s="3"/>
      <c r="M17" s="3"/>
      <c r="N17" s="3"/>
      <c r="O17" s="3"/>
    </row>
    <row r="18" spans="2:15" ht="4.5" customHeight="1">
      <c r="B18" s="2"/>
      <c r="D18" s="38"/>
      <c r="E18" s="38"/>
      <c r="F18" s="38"/>
      <c r="G18" s="38"/>
      <c r="H18" s="38"/>
      <c r="I18" s="38"/>
      <c r="J18" s="42"/>
      <c r="K18" s="42"/>
      <c r="L18" s="42"/>
      <c r="M18" s="42"/>
      <c r="N18" s="42"/>
      <c r="O18" s="42"/>
    </row>
    <row r="19" spans="1:15" ht="11.25">
      <c r="A19" s="445" t="s">
        <v>155</v>
      </c>
      <c r="B19" s="445"/>
      <c r="C19" s="446" t="s">
        <v>137</v>
      </c>
      <c r="D19" s="447">
        <v>96091</v>
      </c>
      <c r="E19" s="447">
        <v>99520</v>
      </c>
      <c r="F19" s="447">
        <v>107672</v>
      </c>
      <c r="G19" s="447"/>
      <c r="H19" s="447"/>
      <c r="I19" s="447"/>
      <c r="J19" s="3"/>
      <c r="K19" s="46"/>
      <c r="L19" s="3"/>
      <c r="M19" s="3"/>
      <c r="N19" s="3"/>
      <c r="O19" s="3"/>
    </row>
    <row r="20" spans="1:15" ht="11.25">
      <c r="A20" s="445" t="s">
        <v>184</v>
      </c>
      <c r="B20" s="445"/>
      <c r="C20" s="446" t="s">
        <v>137</v>
      </c>
      <c r="D20" s="447">
        <v>297350</v>
      </c>
      <c r="E20" s="447">
        <v>304000</v>
      </c>
      <c r="F20" s="447">
        <v>326800</v>
      </c>
      <c r="G20" s="447"/>
      <c r="H20" s="447"/>
      <c r="I20" s="447"/>
      <c r="J20" s="42"/>
      <c r="K20" s="3"/>
      <c r="L20" s="3"/>
      <c r="M20" s="3"/>
      <c r="N20" s="3"/>
      <c r="O20" s="3"/>
    </row>
    <row r="21" spans="1:15" ht="11.25">
      <c r="A21" s="6" t="s">
        <v>161</v>
      </c>
      <c r="B21" s="6"/>
      <c r="C21" s="38"/>
      <c r="D21" s="38"/>
      <c r="E21" s="38"/>
      <c r="F21" s="38"/>
      <c r="G21" s="38"/>
      <c r="H21" s="38"/>
      <c r="I21" s="38"/>
      <c r="J21" s="42"/>
      <c r="K21" s="42"/>
      <c r="L21" s="42"/>
      <c r="M21" s="47">
        <f>L21/SUM(D9:I9)</f>
        <v>0</v>
      </c>
      <c r="N21" s="42"/>
      <c r="O21" s="42"/>
    </row>
    <row r="22" spans="1:15" ht="11.25">
      <c r="A22" s="443" t="s">
        <v>185</v>
      </c>
      <c r="B22" s="443"/>
      <c r="C22" s="444" t="s">
        <v>139</v>
      </c>
      <c r="D22" s="449">
        <v>11490120</v>
      </c>
      <c r="E22" s="449">
        <v>10639000</v>
      </c>
      <c r="F22" s="449">
        <v>10639000</v>
      </c>
      <c r="G22" s="449"/>
      <c r="H22" s="449"/>
      <c r="I22" s="449"/>
      <c r="J22" s="3"/>
      <c r="K22" s="3"/>
      <c r="L22" s="3"/>
      <c r="M22" s="3"/>
      <c r="N22" s="3"/>
      <c r="O22" s="3"/>
    </row>
    <row r="23" spans="1:15" ht="11.25">
      <c r="A23" s="445" t="s">
        <v>186</v>
      </c>
      <c r="B23" s="445"/>
      <c r="C23" s="446" t="s">
        <v>139</v>
      </c>
      <c r="D23" s="447">
        <v>8325017.5</v>
      </c>
      <c r="E23" s="447">
        <v>8511200</v>
      </c>
      <c r="F23" s="447">
        <v>9149540</v>
      </c>
      <c r="G23" s="447"/>
      <c r="H23" s="447"/>
      <c r="I23" s="447"/>
      <c r="J23" s="3"/>
      <c r="K23" s="3"/>
      <c r="L23" s="3"/>
      <c r="M23" s="3"/>
      <c r="N23" s="3"/>
      <c r="O23" s="3"/>
    </row>
    <row r="24" spans="1:15" ht="11.25">
      <c r="A24" s="443" t="s">
        <v>154</v>
      </c>
      <c r="B24" s="443"/>
      <c r="C24" s="444" t="s">
        <v>139</v>
      </c>
      <c r="D24" s="449">
        <v>15239183.899217129</v>
      </c>
      <c r="E24" s="449">
        <v>12463187.46223808</v>
      </c>
      <c r="F24" s="449">
        <v>14191331.46223808</v>
      </c>
      <c r="G24" s="449"/>
      <c r="H24" s="449"/>
      <c r="I24" s="449"/>
      <c r="J24" s="3"/>
      <c r="K24" s="46"/>
      <c r="L24" s="3"/>
      <c r="M24" s="3">
        <f>SUM(D22:I23)</f>
        <v>58753877.5</v>
      </c>
      <c r="N24" s="3"/>
      <c r="O24" s="3"/>
    </row>
    <row r="25" spans="1:15" ht="11.25">
      <c r="A25" s="445" t="s">
        <v>155</v>
      </c>
      <c r="B25" s="445"/>
      <c r="C25" s="446" t="s">
        <v>139</v>
      </c>
      <c r="D25" s="447">
        <v>9874842.839201298</v>
      </c>
      <c r="E25" s="447">
        <v>8789980.369790465</v>
      </c>
      <c r="F25" s="447">
        <v>10926247.93752475</v>
      </c>
      <c r="G25" s="447"/>
      <c r="H25" s="447"/>
      <c r="I25" s="447"/>
      <c r="J25" s="3"/>
      <c r="K25" s="3"/>
      <c r="L25" s="3"/>
      <c r="M25" s="46" t="e">
        <f>M24/L21</f>
        <v>#DIV/0!</v>
      </c>
      <c r="N25" s="3"/>
      <c r="O25" s="3"/>
    </row>
    <row r="26" spans="2:9" ht="4.5" customHeight="1">
      <c r="B26" s="2"/>
      <c r="D26" s="43"/>
      <c r="I26" s="4"/>
    </row>
    <row r="27" spans="1:11" ht="11.25">
      <c r="A27" s="6" t="s">
        <v>507</v>
      </c>
      <c r="B27" s="6"/>
      <c r="D27" s="38"/>
      <c r="E27" s="38"/>
      <c r="F27" s="38"/>
      <c r="G27" s="38"/>
      <c r="H27" s="38"/>
      <c r="I27" s="38"/>
      <c r="J27" s="42"/>
      <c r="K27" s="42"/>
    </row>
    <row r="28" spans="1:11" ht="4.5" customHeight="1">
      <c r="A28" s="6"/>
      <c r="B28" s="6"/>
      <c r="D28" s="38"/>
      <c r="E28" s="38"/>
      <c r="F28" s="38"/>
      <c r="G28" s="38"/>
      <c r="H28" s="38"/>
      <c r="I28" s="38"/>
      <c r="J28" s="42"/>
      <c r="K28" s="42"/>
    </row>
    <row r="29" spans="1:9" ht="11.25">
      <c r="A29" s="6" t="s">
        <v>156</v>
      </c>
      <c r="B29" s="6"/>
      <c r="I29" s="4"/>
    </row>
    <row r="30" spans="1:15" ht="11.25">
      <c r="A30" s="443" t="s">
        <v>154</v>
      </c>
      <c r="B30" s="443"/>
      <c r="C30" s="444" t="s">
        <v>137</v>
      </c>
      <c r="D30" s="450">
        <v>27273</v>
      </c>
      <c r="E30" s="450">
        <v>53245</v>
      </c>
      <c r="F30" s="450">
        <v>53245</v>
      </c>
      <c r="G30" s="450"/>
      <c r="H30" s="450"/>
      <c r="I30" s="450"/>
      <c r="J30" s="46"/>
      <c r="K30" s="3"/>
      <c r="L30" s="3"/>
      <c r="M30" s="3"/>
      <c r="N30" s="3"/>
      <c r="O30" s="3"/>
    </row>
    <row r="31" spans="1:15" ht="11.25">
      <c r="A31" s="443" t="s">
        <v>183</v>
      </c>
      <c r="B31" s="443"/>
      <c r="C31" s="444" t="s">
        <v>137</v>
      </c>
      <c r="D31" s="450">
        <v>0</v>
      </c>
      <c r="E31" s="450">
        <v>0</v>
      </c>
      <c r="F31" s="450">
        <v>0</v>
      </c>
      <c r="G31" s="450"/>
      <c r="H31" s="450"/>
      <c r="I31" s="450"/>
      <c r="J31" s="3"/>
      <c r="K31" s="3"/>
      <c r="L31" s="3"/>
      <c r="M31" s="3"/>
      <c r="N31" s="3"/>
      <c r="O31" s="3"/>
    </row>
    <row r="32" spans="2:9" ht="4.5" customHeight="1">
      <c r="B32" s="2"/>
      <c r="D32" s="45"/>
      <c r="E32" s="45"/>
      <c r="F32" s="45"/>
      <c r="G32" s="45"/>
      <c r="H32" s="45"/>
      <c r="I32" s="45"/>
    </row>
    <row r="33" spans="1:15" ht="11.25">
      <c r="A33" s="445" t="s">
        <v>155</v>
      </c>
      <c r="B33" s="445"/>
      <c r="C33" s="446" t="s">
        <v>137</v>
      </c>
      <c r="D33" s="448">
        <v>21954.6</v>
      </c>
      <c r="E33" s="448">
        <v>41759</v>
      </c>
      <c r="F33" s="448">
        <v>42123.8</v>
      </c>
      <c r="G33" s="448"/>
      <c r="H33" s="448"/>
      <c r="I33" s="448"/>
      <c r="J33" s="46"/>
      <c r="K33" s="3"/>
      <c r="L33" s="3"/>
      <c r="M33" s="3"/>
      <c r="N33" s="3"/>
      <c r="O33" s="3"/>
    </row>
    <row r="34" spans="1:15" ht="11.25">
      <c r="A34" s="445" t="s">
        <v>184</v>
      </c>
      <c r="B34" s="445"/>
      <c r="C34" s="446" t="s">
        <v>137</v>
      </c>
      <c r="D34" s="448">
        <v>0</v>
      </c>
      <c r="E34" s="448">
        <v>0</v>
      </c>
      <c r="F34" s="448">
        <v>0</v>
      </c>
      <c r="G34" s="448"/>
      <c r="H34" s="448"/>
      <c r="I34" s="448"/>
      <c r="J34" s="3"/>
      <c r="K34" s="3"/>
      <c r="L34" s="3"/>
      <c r="M34" s="3"/>
      <c r="N34" s="3"/>
      <c r="O34" s="3"/>
    </row>
    <row r="35" spans="1:9" ht="11.25">
      <c r="A35" s="6" t="s">
        <v>161</v>
      </c>
      <c r="B35" s="6"/>
      <c r="D35" s="45"/>
      <c r="E35" s="45"/>
      <c r="F35" s="45"/>
      <c r="G35" s="45"/>
      <c r="H35" s="45"/>
      <c r="I35" s="45"/>
    </row>
    <row r="36" spans="1:15" ht="11.25">
      <c r="A36" s="443" t="s">
        <v>154</v>
      </c>
      <c r="B36" s="443"/>
      <c r="C36" s="444" t="s">
        <v>139</v>
      </c>
      <c r="D36" s="450">
        <v>1001827</v>
      </c>
      <c r="E36" s="450">
        <v>1991323</v>
      </c>
      <c r="F36" s="450">
        <v>1991323</v>
      </c>
      <c r="G36" s="450"/>
      <c r="H36" s="450"/>
      <c r="I36" s="450"/>
      <c r="J36" s="3"/>
      <c r="K36" s="46"/>
      <c r="L36" s="3"/>
      <c r="M36" s="3"/>
      <c r="N36" s="3"/>
      <c r="O36" s="3"/>
    </row>
    <row r="37" spans="1:15" ht="11.25">
      <c r="A37" s="445" t="s">
        <v>155</v>
      </c>
      <c r="B37" s="445"/>
      <c r="C37" s="446" t="s">
        <v>139</v>
      </c>
      <c r="D37" s="448">
        <v>757317.636</v>
      </c>
      <c r="E37" s="448">
        <v>1508164.04</v>
      </c>
      <c r="F37" s="448">
        <v>1516126.568</v>
      </c>
      <c r="G37" s="448"/>
      <c r="H37" s="448"/>
      <c r="I37" s="448"/>
      <c r="J37" s="3"/>
      <c r="K37" s="3"/>
      <c r="L37" s="3"/>
      <c r="M37" s="3"/>
      <c r="N37" s="3"/>
      <c r="O37" s="3"/>
    </row>
    <row r="38" spans="2:9" ht="4.5" customHeight="1">
      <c r="B38" s="2"/>
      <c r="I38" s="4"/>
    </row>
    <row r="39" spans="1:9" ht="11.25">
      <c r="A39" s="6" t="s">
        <v>480</v>
      </c>
      <c r="B39" s="6"/>
      <c r="I39" s="4"/>
    </row>
    <row r="40" spans="2:9" ht="4.5" customHeight="1">
      <c r="B40" s="2"/>
      <c r="D40" s="38"/>
      <c r="E40" s="38"/>
      <c r="F40" s="38"/>
      <c r="G40" s="38"/>
      <c r="H40" s="38"/>
      <c r="I40" s="38"/>
    </row>
    <row r="41" spans="1:9" ht="11.25">
      <c r="A41" s="6" t="s">
        <v>216</v>
      </c>
      <c r="B41" s="6"/>
      <c r="D41" s="38"/>
      <c r="E41" s="38"/>
      <c r="F41" s="38"/>
      <c r="G41" s="38"/>
      <c r="H41" s="38"/>
      <c r="I41" s="38"/>
    </row>
    <row r="42" spans="1:15" ht="11.25">
      <c r="A42" s="443" t="s">
        <v>154</v>
      </c>
      <c r="B42" s="443"/>
      <c r="C42" s="444" t="s">
        <v>137</v>
      </c>
      <c r="D42" s="450">
        <v>47520</v>
      </c>
      <c r="E42" s="450">
        <v>48000</v>
      </c>
      <c r="F42" s="450">
        <v>42800</v>
      </c>
      <c r="G42" s="450"/>
      <c r="H42" s="450"/>
      <c r="I42" s="450"/>
      <c r="J42" s="3"/>
      <c r="K42" s="3"/>
      <c r="L42" s="3"/>
      <c r="M42" s="3"/>
      <c r="N42" s="3"/>
      <c r="O42" s="3"/>
    </row>
    <row r="43" spans="1:15" ht="11.25">
      <c r="A43" s="445" t="s">
        <v>155</v>
      </c>
      <c r="B43" s="445"/>
      <c r="C43" s="446" t="s">
        <v>137</v>
      </c>
      <c r="D43" s="448">
        <v>58844</v>
      </c>
      <c r="E43" s="448">
        <v>63360</v>
      </c>
      <c r="F43" s="448">
        <v>63640</v>
      </c>
      <c r="G43" s="448"/>
      <c r="H43" s="448"/>
      <c r="I43" s="448"/>
      <c r="J43" s="3"/>
      <c r="K43" s="3"/>
      <c r="L43" s="3"/>
      <c r="M43" s="3"/>
      <c r="N43" s="3"/>
      <c r="O43" s="3"/>
    </row>
    <row r="44" spans="1:9" ht="11.25">
      <c r="A44" s="2" t="s">
        <v>165</v>
      </c>
      <c r="B44" s="2"/>
      <c r="I44" s="4"/>
    </row>
    <row r="45" spans="1:15" ht="11.25">
      <c r="A45" s="443" t="s">
        <v>154</v>
      </c>
      <c r="B45" s="443"/>
      <c r="C45" s="444" t="s">
        <v>139</v>
      </c>
      <c r="D45" s="450">
        <v>1209600</v>
      </c>
      <c r="E45" s="450">
        <v>1200000</v>
      </c>
      <c r="F45" s="450">
        <v>1096000</v>
      </c>
      <c r="G45" s="450"/>
      <c r="H45" s="450"/>
      <c r="I45" s="450"/>
      <c r="J45" s="3"/>
      <c r="K45" s="3"/>
      <c r="L45" s="3"/>
      <c r="M45" s="3"/>
      <c r="N45" s="3"/>
      <c r="O45" s="3"/>
    </row>
    <row r="46" spans="1:15" ht="11.25">
      <c r="A46" s="445" t="s">
        <v>155</v>
      </c>
      <c r="B46" s="445"/>
      <c r="C46" s="446" t="s">
        <v>139</v>
      </c>
      <c r="D46" s="448">
        <v>1169368</v>
      </c>
      <c r="E46" s="448">
        <v>1259520</v>
      </c>
      <c r="F46" s="448">
        <v>1264544</v>
      </c>
      <c r="G46" s="448"/>
      <c r="H46" s="448"/>
      <c r="I46" s="448"/>
      <c r="J46" s="3"/>
      <c r="K46" s="3"/>
      <c r="L46" s="3"/>
      <c r="M46" s="3"/>
      <c r="N46" s="3"/>
      <c r="O46" s="3"/>
    </row>
    <row r="47" spans="3:15" s="10" customFormat="1" ht="4.5" customHeight="1">
      <c r="C47" s="9"/>
      <c r="D47" s="11"/>
      <c r="E47" s="11"/>
      <c r="F47" s="11"/>
      <c r="G47" s="11"/>
      <c r="H47" s="11"/>
      <c r="I47" s="11"/>
      <c r="J47" s="44"/>
      <c r="K47" s="44"/>
      <c r="L47" s="44"/>
      <c r="M47" s="44"/>
      <c r="N47" s="44"/>
      <c r="O47" s="44"/>
    </row>
    <row r="48" spans="1:9" ht="11.25">
      <c r="A48" s="6" t="s">
        <v>214</v>
      </c>
      <c r="B48" s="6"/>
      <c r="D48" s="11"/>
      <c r="E48" s="11"/>
      <c r="F48" s="11"/>
      <c r="G48" s="11"/>
      <c r="H48" s="11"/>
      <c r="I48" s="11"/>
    </row>
    <row r="49" spans="1:15" ht="11.25">
      <c r="A49" s="443" t="s">
        <v>154</v>
      </c>
      <c r="B49" s="443"/>
      <c r="C49" s="444" t="s">
        <v>137</v>
      </c>
      <c r="D49" s="450">
        <v>21168</v>
      </c>
      <c r="E49" s="450">
        <v>19600</v>
      </c>
      <c r="F49" s="450">
        <v>19600</v>
      </c>
      <c r="G49" s="450"/>
      <c r="H49" s="450"/>
      <c r="I49" s="450"/>
      <c r="J49" s="3"/>
      <c r="K49" s="3"/>
      <c r="L49" s="3"/>
      <c r="M49" s="3"/>
      <c r="N49" s="3"/>
      <c r="O49" s="3"/>
    </row>
    <row r="50" spans="1:15" ht="11.25">
      <c r="A50" s="445" t="s">
        <v>155</v>
      </c>
      <c r="B50" s="445"/>
      <c r="C50" s="446" t="s">
        <v>137</v>
      </c>
      <c r="D50" s="448">
        <v>15337</v>
      </c>
      <c r="E50" s="448">
        <v>15680</v>
      </c>
      <c r="F50" s="448">
        <v>16856</v>
      </c>
      <c r="G50" s="448"/>
      <c r="H50" s="448"/>
      <c r="I50" s="448"/>
      <c r="J50" s="3"/>
      <c r="K50" s="3"/>
      <c r="L50" s="3"/>
      <c r="M50" s="3"/>
      <c r="N50" s="3"/>
      <c r="O50" s="3"/>
    </row>
    <row r="51" spans="1:9" ht="11.25">
      <c r="A51" s="2" t="s">
        <v>479</v>
      </c>
      <c r="B51" s="2"/>
      <c r="I51" s="4"/>
    </row>
    <row r="52" spans="1:15" ht="11.25">
      <c r="A52" s="443" t="s">
        <v>154</v>
      </c>
      <c r="B52" s="443"/>
      <c r="C52" s="444" t="s">
        <v>139</v>
      </c>
      <c r="D52" s="450">
        <v>297760.32</v>
      </c>
      <c r="E52" s="450">
        <v>275704</v>
      </c>
      <c r="F52" s="450">
        <v>275704</v>
      </c>
      <c r="G52" s="450"/>
      <c r="H52" s="450"/>
      <c r="I52" s="450"/>
      <c r="J52" s="3"/>
      <c r="K52" s="3"/>
      <c r="L52" s="3"/>
      <c r="M52" s="3"/>
      <c r="N52" s="3"/>
      <c r="O52" s="3"/>
    </row>
    <row r="53" spans="1:15" ht="11.25">
      <c r="A53" s="445" t="s">
        <v>155</v>
      </c>
      <c r="B53" s="445"/>
      <c r="C53" s="446" t="s">
        <v>139</v>
      </c>
      <c r="D53" s="448">
        <v>215738.38</v>
      </c>
      <c r="E53" s="448">
        <v>220563.2</v>
      </c>
      <c r="F53" s="448">
        <v>237105.44</v>
      </c>
      <c r="G53" s="448"/>
      <c r="H53" s="448"/>
      <c r="I53" s="448"/>
      <c r="J53" s="3"/>
      <c r="K53" s="3"/>
      <c r="L53" s="3"/>
      <c r="M53" s="3"/>
      <c r="N53" s="3"/>
      <c r="O53" s="3"/>
    </row>
    <row r="54" spans="1:15" ht="4.5" customHeight="1">
      <c r="A54" s="10"/>
      <c r="B54" s="10"/>
      <c r="C54" s="9"/>
      <c r="D54" s="11"/>
      <c r="E54" s="11"/>
      <c r="F54" s="11"/>
      <c r="G54" s="448"/>
      <c r="H54" s="448"/>
      <c r="I54" s="448"/>
      <c r="J54" s="3"/>
      <c r="K54" s="3"/>
      <c r="L54" s="3"/>
      <c r="M54" s="3"/>
      <c r="N54" s="3"/>
      <c r="O54" s="3"/>
    </row>
    <row r="55" spans="1:11" ht="11.25">
      <c r="A55" s="6" t="s">
        <v>215</v>
      </c>
      <c r="B55" s="6"/>
      <c r="I55" s="4"/>
      <c r="K55" s="47"/>
    </row>
    <row r="56" spans="1:15" ht="11.25">
      <c r="A56" s="443" t="s">
        <v>154</v>
      </c>
      <c r="B56" s="443"/>
      <c r="C56" s="444" t="s">
        <v>137</v>
      </c>
      <c r="D56" s="450">
        <v>0</v>
      </c>
      <c r="E56" s="450">
        <v>0</v>
      </c>
      <c r="F56" s="450">
        <v>0</v>
      </c>
      <c r="G56" s="450"/>
      <c r="H56" s="450"/>
      <c r="I56" s="450"/>
      <c r="J56" s="3"/>
      <c r="L56" s="3"/>
      <c r="M56" s="3"/>
      <c r="N56" s="3"/>
      <c r="O56" s="3"/>
    </row>
    <row r="57" spans="1:15" ht="11.25">
      <c r="A57" s="445" t="s">
        <v>155</v>
      </c>
      <c r="B57" s="445"/>
      <c r="C57" s="446" t="s">
        <v>137</v>
      </c>
      <c r="D57" s="448">
        <v>0</v>
      </c>
      <c r="E57" s="448">
        <v>0</v>
      </c>
      <c r="F57" s="448">
        <v>0</v>
      </c>
      <c r="G57" s="448"/>
      <c r="H57" s="448"/>
      <c r="I57" s="448"/>
      <c r="J57" s="3"/>
      <c r="K57" s="3"/>
      <c r="L57" s="3"/>
      <c r="M57" s="3"/>
      <c r="N57" s="3"/>
      <c r="O57" s="3"/>
    </row>
    <row r="58" spans="1:9" ht="11.25">
      <c r="A58" s="2" t="s">
        <v>165</v>
      </c>
      <c r="B58" s="2"/>
      <c r="I58" s="4"/>
    </row>
    <row r="59" spans="1:15" ht="11.25">
      <c r="A59" s="443" t="s">
        <v>154</v>
      </c>
      <c r="B59" s="443"/>
      <c r="C59" s="444" t="s">
        <v>139</v>
      </c>
      <c r="D59" s="450">
        <v>0</v>
      </c>
      <c r="E59" s="450">
        <v>0</v>
      </c>
      <c r="F59" s="450">
        <v>0</v>
      </c>
      <c r="G59" s="450"/>
      <c r="H59" s="450"/>
      <c r="I59" s="450"/>
      <c r="J59" s="3"/>
      <c r="K59" s="3"/>
      <c r="L59" s="3"/>
      <c r="M59" s="3"/>
      <c r="N59" s="3"/>
      <c r="O59" s="3"/>
    </row>
    <row r="60" spans="1:15" ht="11.25">
      <c r="A60" s="445" t="s">
        <v>155</v>
      </c>
      <c r="B60" s="445"/>
      <c r="C60" s="446" t="s">
        <v>139</v>
      </c>
      <c r="D60" s="448">
        <v>0</v>
      </c>
      <c r="E60" s="448">
        <v>0</v>
      </c>
      <c r="F60" s="448">
        <v>0</v>
      </c>
      <c r="G60" s="448"/>
      <c r="H60" s="448"/>
      <c r="I60" s="448"/>
      <c r="J60" s="3"/>
      <c r="K60" s="3"/>
      <c r="L60" s="3"/>
      <c r="M60" s="3"/>
      <c r="N60" s="3"/>
      <c r="O60" s="3"/>
    </row>
    <row r="61" spans="1:15" ht="4.5" customHeight="1">
      <c r="A61" s="10"/>
      <c r="B61" s="10"/>
      <c r="C61" s="9"/>
      <c r="D61" s="11"/>
      <c r="E61" s="11"/>
      <c r="F61" s="11"/>
      <c r="G61" s="448"/>
      <c r="H61" s="448"/>
      <c r="I61" s="448"/>
      <c r="J61" s="3"/>
      <c r="K61" s="3"/>
      <c r="L61" s="3"/>
      <c r="M61" s="3"/>
      <c r="N61" s="3"/>
      <c r="O61" s="3"/>
    </row>
    <row r="62" spans="1:9" ht="11.25">
      <c r="A62" s="6" t="s">
        <v>478</v>
      </c>
      <c r="B62" s="6"/>
      <c r="I62" s="4"/>
    </row>
    <row r="63" spans="1:15" ht="11.25">
      <c r="A63" s="443" t="s">
        <v>154</v>
      </c>
      <c r="B63" s="443"/>
      <c r="C63" s="444" t="s">
        <v>137</v>
      </c>
      <c r="D63" s="450">
        <v>0</v>
      </c>
      <c r="E63" s="450">
        <v>0</v>
      </c>
      <c r="F63" s="450">
        <v>0</v>
      </c>
      <c r="G63" s="450"/>
      <c r="H63" s="450"/>
      <c r="I63" s="450"/>
      <c r="J63" s="3"/>
      <c r="K63" s="3"/>
      <c r="L63" s="3"/>
      <c r="M63" s="3"/>
      <c r="N63" s="3"/>
      <c r="O63" s="3"/>
    </row>
    <row r="64" spans="1:15" ht="11.25">
      <c r="A64" s="445" t="s">
        <v>155</v>
      </c>
      <c r="B64" s="445"/>
      <c r="C64" s="446" t="s">
        <v>137</v>
      </c>
      <c r="D64" s="448">
        <v>0</v>
      </c>
      <c r="E64" s="448">
        <v>0</v>
      </c>
      <c r="F64" s="448">
        <v>0</v>
      </c>
      <c r="G64" s="448"/>
      <c r="H64" s="448"/>
      <c r="I64" s="448"/>
      <c r="J64" s="3"/>
      <c r="K64" s="3"/>
      <c r="L64" s="3"/>
      <c r="M64" s="3"/>
      <c r="N64" s="3"/>
      <c r="O64" s="3"/>
    </row>
    <row r="65" spans="1:9" ht="11.25">
      <c r="A65" s="2" t="s">
        <v>165</v>
      </c>
      <c r="B65" s="2"/>
      <c r="I65" s="4"/>
    </row>
    <row r="66" spans="1:15" ht="11.25">
      <c r="A66" s="443" t="s">
        <v>154</v>
      </c>
      <c r="B66" s="443"/>
      <c r="C66" s="444" t="s">
        <v>139</v>
      </c>
      <c r="D66" s="450">
        <v>0</v>
      </c>
      <c r="E66" s="450">
        <v>0</v>
      </c>
      <c r="F66" s="450">
        <v>0</v>
      </c>
      <c r="G66" s="450"/>
      <c r="H66" s="450"/>
      <c r="I66" s="450"/>
      <c r="J66" s="3"/>
      <c r="K66" s="3"/>
      <c r="L66" s="3"/>
      <c r="M66" s="3"/>
      <c r="N66" s="3"/>
      <c r="O66" s="3"/>
    </row>
    <row r="67" spans="1:15" ht="11.25">
      <c r="A67" s="445" t="s">
        <v>155</v>
      </c>
      <c r="B67" s="445"/>
      <c r="C67" s="446" t="s">
        <v>139</v>
      </c>
      <c r="D67" s="448">
        <v>0</v>
      </c>
      <c r="E67" s="448">
        <v>0</v>
      </c>
      <c r="F67" s="448">
        <v>0</v>
      </c>
      <c r="G67" s="448"/>
      <c r="H67" s="448"/>
      <c r="I67" s="448"/>
      <c r="J67" s="3"/>
      <c r="K67" s="3"/>
      <c r="L67" s="3"/>
      <c r="M67" s="3"/>
      <c r="N67" s="3"/>
      <c r="O67" s="3"/>
    </row>
    <row r="68" spans="1:15" ht="4.5" customHeight="1">
      <c r="A68" s="10"/>
      <c r="B68" s="10"/>
      <c r="C68" s="9"/>
      <c r="D68" s="11"/>
      <c r="E68" s="11"/>
      <c r="F68" s="11"/>
      <c r="G68" s="448"/>
      <c r="H68" s="448"/>
      <c r="I68" s="448"/>
      <c r="J68" s="3"/>
      <c r="K68" s="3"/>
      <c r="L68" s="3"/>
      <c r="M68" s="3"/>
      <c r="N68" s="3"/>
      <c r="O68" s="3"/>
    </row>
    <row r="69" spans="1:9" ht="11.25">
      <c r="A69" s="6" t="s">
        <v>217</v>
      </c>
      <c r="B69" s="6"/>
      <c r="I69" s="4"/>
    </row>
    <row r="70" spans="1:15" ht="11.25">
      <c r="A70" s="443" t="s">
        <v>154</v>
      </c>
      <c r="B70" s="443"/>
      <c r="C70" s="444" t="s">
        <v>137</v>
      </c>
      <c r="D70" s="450">
        <v>0</v>
      </c>
      <c r="E70" s="450">
        <v>0</v>
      </c>
      <c r="F70" s="450">
        <v>0</v>
      </c>
      <c r="G70" s="450"/>
      <c r="H70" s="450"/>
      <c r="I70" s="450"/>
      <c r="J70" s="3"/>
      <c r="K70" s="3"/>
      <c r="L70" s="3"/>
      <c r="M70" s="3"/>
      <c r="N70" s="3"/>
      <c r="O70" s="3"/>
    </row>
    <row r="71" spans="1:15" ht="11.25">
      <c r="A71" s="445" t="s">
        <v>155</v>
      </c>
      <c r="B71" s="445"/>
      <c r="C71" s="446" t="s">
        <v>137</v>
      </c>
      <c r="D71" s="448">
        <v>0</v>
      </c>
      <c r="E71" s="448">
        <v>0</v>
      </c>
      <c r="F71" s="448">
        <v>0</v>
      </c>
      <c r="G71" s="448"/>
      <c r="H71" s="448"/>
      <c r="I71" s="448"/>
      <c r="J71" s="3"/>
      <c r="K71" s="3"/>
      <c r="L71" s="3"/>
      <c r="M71" s="3"/>
      <c r="N71" s="3"/>
      <c r="O71" s="3"/>
    </row>
    <row r="72" spans="1:15" s="10" customFormat="1" ht="11.25">
      <c r="A72" s="2" t="s">
        <v>165</v>
      </c>
      <c r="C72" s="9"/>
      <c r="D72" s="11"/>
      <c r="E72" s="11"/>
      <c r="F72" s="11"/>
      <c r="G72" s="11"/>
      <c r="H72" s="11"/>
      <c r="I72" s="11"/>
      <c r="J72" s="44"/>
      <c r="K72" s="44"/>
      <c r="L72" s="44"/>
      <c r="M72" s="44"/>
      <c r="N72" s="44"/>
      <c r="O72" s="44"/>
    </row>
    <row r="73" spans="1:15" ht="11.25">
      <c r="A73" s="443" t="s">
        <v>154</v>
      </c>
      <c r="B73" s="443"/>
      <c r="C73" s="444" t="s">
        <v>139</v>
      </c>
      <c r="D73" s="450">
        <v>0</v>
      </c>
      <c r="E73" s="450">
        <v>0</v>
      </c>
      <c r="F73" s="450">
        <v>0</v>
      </c>
      <c r="G73" s="450"/>
      <c r="H73" s="450"/>
      <c r="I73" s="450"/>
      <c r="J73" s="3"/>
      <c r="K73" s="3"/>
      <c r="L73" s="3"/>
      <c r="M73" s="3"/>
      <c r="N73" s="3"/>
      <c r="O73" s="3"/>
    </row>
    <row r="74" spans="1:15" ht="11.25">
      <c r="A74" s="445" t="s">
        <v>155</v>
      </c>
      <c r="B74" s="445"/>
      <c r="C74" s="446" t="s">
        <v>139</v>
      </c>
      <c r="D74" s="448">
        <v>0</v>
      </c>
      <c r="E74" s="448">
        <v>0</v>
      </c>
      <c r="F74" s="448">
        <v>0</v>
      </c>
      <c r="G74" s="448"/>
      <c r="H74" s="448"/>
      <c r="I74" s="448"/>
      <c r="J74" s="3"/>
      <c r="K74" s="3"/>
      <c r="L74" s="3"/>
      <c r="M74" s="3"/>
      <c r="N74" s="3"/>
      <c r="O74" s="3"/>
    </row>
    <row r="75" spans="2:9" ht="9.75" customHeight="1">
      <c r="B75" s="2"/>
      <c r="I75" s="4"/>
    </row>
    <row r="77" spans="1:9" s="94" customFormat="1" ht="9.75" customHeight="1">
      <c r="A77" s="92"/>
      <c r="B77" s="92"/>
      <c r="C77" s="91"/>
      <c r="D77" s="91"/>
      <c r="F77" s="92"/>
      <c r="G77" s="92"/>
      <c r="H77" s="185"/>
      <c r="I77" s="92"/>
    </row>
  </sheetData>
  <mergeCells count="1">
    <mergeCell ref="A1:F2"/>
  </mergeCells>
  <printOptions horizontalCentered="1"/>
  <pageMargins left="0.5" right="0.5" top="0.75" bottom="0.75" header="0.5" footer="0.5"/>
  <pageSetup fitToHeight="1" fitToWidth="1" horizontalDpi="600" verticalDpi="600" orientation="portrait" scale="92" r:id="rId1"/>
  <headerFooter alignWithMargins="0">
    <oddHeader>&amp;C&amp;"Arial,Bold"&amp;12Augmentation Pre-Purchases - 0-Day Rule</oddHeader>
    <oddFooter>&amp;LPage 10&amp;CBonneville Power Administration, Power Business Line&amp;R2/14/02</oddFooter>
  </headerFooter>
  <rowBreaks count="1" manualBreakCount="1">
    <brk id="74" max="5" man="1"/>
  </rowBreaks>
  <colBreaks count="1" manualBreakCount="1">
    <brk id="6" max="65535" man="1"/>
  </colBreaks>
</worksheet>
</file>

<file path=xl/worksheets/sheet11.xml><?xml version="1.0" encoding="utf-8"?>
<worksheet xmlns="http://schemas.openxmlformats.org/spreadsheetml/2006/main" xmlns:r="http://schemas.openxmlformats.org/officeDocument/2006/relationships">
  <sheetPr codeName="Sheet3">
    <pageSetUpPr fitToPage="1"/>
  </sheetPr>
  <dimension ref="A1:K205"/>
  <sheetViews>
    <sheetView showGridLines="0" view="pageBreakPreview" zoomScaleNormal="95" zoomScaleSheetLayoutView="100" workbookViewId="0" topLeftCell="A1">
      <pane ySplit="4" topLeftCell="BM98" activePane="bottomLeft" state="frozen"/>
      <selection pane="topLeft" activeCell="D79" sqref="D78:D79"/>
      <selection pane="bottomLeft" activeCell="A5" sqref="A5"/>
    </sheetView>
  </sheetViews>
  <sheetFormatPr defaultColWidth="9.140625" defaultRowHeight="9.75" customHeight="1"/>
  <cols>
    <col min="1" max="1" width="30.28125" style="2" customWidth="1"/>
    <col min="2" max="2" width="8.7109375" style="2" customWidth="1"/>
    <col min="3" max="8" width="8.7109375" style="4" customWidth="1"/>
    <col min="9" max="9" width="12.8515625" style="4" customWidth="1"/>
    <col min="10" max="16384" width="8.7109375" style="2" customWidth="1"/>
  </cols>
  <sheetData>
    <row r="1" ht="9.75" customHeight="1">
      <c r="A1" s="263" t="s">
        <v>481</v>
      </c>
    </row>
    <row r="2" ht="9.75" customHeight="1">
      <c r="A2" s="263" t="s">
        <v>482</v>
      </c>
    </row>
    <row r="3" ht="9.75" customHeight="1">
      <c r="A3" s="263"/>
    </row>
    <row r="4" spans="1:9" s="6" customFormat="1" ht="22.5">
      <c r="A4" s="264" t="s">
        <v>116</v>
      </c>
      <c r="B4" s="565" t="s">
        <v>98</v>
      </c>
      <c r="C4" s="5" t="s">
        <v>133</v>
      </c>
      <c r="D4" s="253" t="str">
        <f>'Analysis Parameters'!D6</f>
        <v>Oct</v>
      </c>
      <c r="E4" s="253" t="str">
        <f>'Analysis Parameters'!E6</f>
        <v>Nov</v>
      </c>
      <c r="F4" s="253" t="str">
        <f>'Analysis Parameters'!F6</f>
        <v>Dec</v>
      </c>
      <c r="G4" s="253" t="str">
        <f>'Analysis Parameters'!G6</f>
        <v>none</v>
      </c>
      <c r="H4" s="253" t="str">
        <f>'Analysis Parameters'!H6</f>
        <v>none</v>
      </c>
      <c r="I4" s="253" t="str">
        <f>'Analysis Parameters'!I6</f>
        <v>none</v>
      </c>
    </row>
    <row r="5" spans="1:9" ht="9.75" customHeight="1">
      <c r="A5" s="377" t="s">
        <v>160</v>
      </c>
      <c r="B5" s="378" t="s">
        <v>117</v>
      </c>
      <c r="C5" s="481" t="s">
        <v>138</v>
      </c>
      <c r="D5" s="482">
        <f>'Analysis Parameters'!D14</f>
        <v>4976</v>
      </c>
      <c r="E5" s="482">
        <f>'Analysis Parameters'!E14</f>
        <v>5464</v>
      </c>
      <c r="F5" s="483">
        <f>'Analysis Parameters'!F14</f>
        <v>5886</v>
      </c>
      <c r="G5" s="482"/>
      <c r="H5" s="482"/>
      <c r="I5" s="483"/>
    </row>
    <row r="6" spans="1:9" s="10" customFormat="1" ht="9.75" customHeight="1">
      <c r="A6" s="270" t="s">
        <v>483</v>
      </c>
      <c r="B6" s="271"/>
      <c r="C6" s="272"/>
      <c r="D6" s="273"/>
      <c r="E6" s="273"/>
      <c r="F6" s="274"/>
      <c r="G6" s="273"/>
      <c r="H6" s="273"/>
      <c r="I6" s="274"/>
    </row>
    <row r="7" spans="1:9" ht="9.75" customHeight="1">
      <c r="A7" s="101" t="s">
        <v>145</v>
      </c>
      <c r="B7" s="102" t="s">
        <v>126</v>
      </c>
      <c r="C7" s="162" t="s">
        <v>139</v>
      </c>
      <c r="D7" s="451">
        <v>0</v>
      </c>
      <c r="E7" s="451">
        <v>0</v>
      </c>
      <c r="F7" s="452">
        <v>0</v>
      </c>
      <c r="G7" s="451"/>
      <c r="H7" s="451"/>
      <c r="I7" s="452"/>
    </row>
    <row r="8" spans="1:9" ht="9.75" customHeight="1">
      <c r="A8" s="90"/>
      <c r="B8" s="354" t="s">
        <v>125</v>
      </c>
      <c r="C8" s="110" t="s">
        <v>139</v>
      </c>
      <c r="D8" s="453">
        <v>305449</v>
      </c>
      <c r="E8" s="453">
        <v>383477</v>
      </c>
      <c r="F8" s="454">
        <v>446575</v>
      </c>
      <c r="G8" s="453"/>
      <c r="H8" s="453"/>
      <c r="I8" s="454"/>
    </row>
    <row r="9" spans="1:9" ht="9.75" customHeight="1">
      <c r="A9" s="265" t="s">
        <v>147</v>
      </c>
      <c r="B9" s="237" t="s">
        <v>126</v>
      </c>
      <c r="C9" s="238" t="s">
        <v>139</v>
      </c>
      <c r="D9" s="266">
        <v>436838</v>
      </c>
      <c r="E9" s="266">
        <v>436838</v>
      </c>
      <c r="F9" s="267">
        <v>436838</v>
      </c>
      <c r="G9" s="266"/>
      <c r="H9" s="266"/>
      <c r="I9" s="267"/>
    </row>
    <row r="10" spans="1:9" ht="9.75" customHeight="1">
      <c r="A10" s="242"/>
      <c r="B10" s="243" t="s">
        <v>125</v>
      </c>
      <c r="C10" s="244" t="s">
        <v>139</v>
      </c>
      <c r="D10" s="268">
        <v>551144</v>
      </c>
      <c r="E10" s="268">
        <v>817564</v>
      </c>
      <c r="F10" s="269">
        <v>958147</v>
      </c>
      <c r="G10" s="268"/>
      <c r="H10" s="268"/>
      <c r="I10" s="269"/>
    </row>
    <row r="11" spans="1:9" ht="9.75" customHeight="1">
      <c r="A11" s="135" t="s">
        <v>148</v>
      </c>
      <c r="B11" s="350" t="s">
        <v>126</v>
      </c>
      <c r="C11" s="433" t="s">
        <v>139</v>
      </c>
      <c r="D11" s="475">
        <v>436838</v>
      </c>
      <c r="E11" s="475">
        <v>436838</v>
      </c>
      <c r="F11" s="476">
        <v>436838</v>
      </c>
      <c r="G11" s="475"/>
      <c r="H11" s="475"/>
      <c r="I11" s="476"/>
    </row>
    <row r="12" spans="1:9" ht="9.75" customHeight="1">
      <c r="A12" s="352"/>
      <c r="B12" s="353" t="s">
        <v>146</v>
      </c>
      <c r="C12" s="438" t="s">
        <v>139</v>
      </c>
      <c r="D12" s="439">
        <v>856593</v>
      </c>
      <c r="E12" s="439">
        <v>1201041</v>
      </c>
      <c r="F12" s="347">
        <v>1404722</v>
      </c>
      <c r="G12" s="439"/>
      <c r="H12" s="439"/>
      <c r="I12" s="347"/>
    </row>
    <row r="13" spans="1:9" s="10" customFormat="1" ht="9.75" customHeight="1">
      <c r="A13" s="647" t="s">
        <v>490</v>
      </c>
      <c r="B13" s="648"/>
      <c r="C13" s="648"/>
      <c r="D13" s="648"/>
      <c r="E13" s="648"/>
      <c r="F13" s="649"/>
      <c r="G13" s="273"/>
      <c r="H13" s="273"/>
      <c r="I13" s="274"/>
    </row>
    <row r="14" spans="1:9" s="10" customFormat="1" ht="9.75" customHeight="1">
      <c r="A14" s="650"/>
      <c r="B14" s="651"/>
      <c r="C14" s="651"/>
      <c r="D14" s="651"/>
      <c r="E14" s="651"/>
      <c r="F14" s="652"/>
      <c r="G14" s="532"/>
      <c r="H14" s="532"/>
      <c r="I14" s="533"/>
    </row>
    <row r="15" spans="1:9" ht="9.75" customHeight="1">
      <c r="A15" s="101" t="s">
        <v>145</v>
      </c>
      <c r="B15" s="102" t="s">
        <v>126</v>
      </c>
      <c r="C15" s="162" t="s">
        <v>139</v>
      </c>
      <c r="D15" s="451">
        <f>D7-(D7*0.46369)</f>
        <v>0</v>
      </c>
      <c r="E15" s="451">
        <f>E7-(E7*0.46369)</f>
        <v>0</v>
      </c>
      <c r="F15" s="452">
        <f>F7-(F7*0.46369)</f>
        <v>0</v>
      </c>
      <c r="G15" s="451"/>
      <c r="H15" s="451"/>
      <c r="I15" s="452"/>
    </row>
    <row r="16" spans="1:9" ht="9.75" customHeight="1">
      <c r="A16" s="90"/>
      <c r="B16" s="354" t="s">
        <v>125</v>
      </c>
      <c r="C16" s="110" t="s">
        <v>139</v>
      </c>
      <c r="D16" s="453">
        <f>D8-(D8*0.46225)</f>
        <v>164255.19975</v>
      </c>
      <c r="E16" s="453">
        <f>E8-(E8*0.46225)</f>
        <v>206214.75675</v>
      </c>
      <c r="F16" s="454">
        <f>F8-(F8*0.46225)</f>
        <v>240145.70625</v>
      </c>
      <c r="G16" s="453"/>
      <c r="H16" s="453"/>
      <c r="I16" s="454"/>
    </row>
    <row r="17" spans="1:9" ht="9.75" customHeight="1">
      <c r="A17" s="265" t="s">
        <v>147</v>
      </c>
      <c r="B17" s="237" t="s">
        <v>126</v>
      </c>
      <c r="C17" s="238" t="s">
        <v>139</v>
      </c>
      <c r="D17" s="266">
        <f>D9-(D9*0.46369)</f>
        <v>234280.58778</v>
      </c>
      <c r="E17" s="266">
        <f>E9-(E9*0.46369)</f>
        <v>234280.58778</v>
      </c>
      <c r="F17" s="267">
        <f>F9-(F9*0.46369)</f>
        <v>234280.58778</v>
      </c>
      <c r="G17" s="266"/>
      <c r="H17" s="266"/>
      <c r="I17" s="267"/>
    </row>
    <row r="18" spans="1:9" ht="9.75" customHeight="1">
      <c r="A18" s="242"/>
      <c r="B18" s="243" t="s">
        <v>125</v>
      </c>
      <c r="C18" s="244" t="s">
        <v>139</v>
      </c>
      <c r="D18" s="268">
        <f>D10-(D10*0.46225)</f>
        <v>296377.686</v>
      </c>
      <c r="E18" s="268">
        <f>E10-(E10*0.46225)</f>
        <v>439645.041</v>
      </c>
      <c r="F18" s="269">
        <f>F10-(F10*0.46225)</f>
        <v>515243.54925</v>
      </c>
      <c r="G18" s="268"/>
      <c r="H18" s="268"/>
      <c r="I18" s="269"/>
    </row>
    <row r="19" spans="1:9" ht="9.75" customHeight="1">
      <c r="A19" s="135" t="s">
        <v>148</v>
      </c>
      <c r="B19" s="350" t="s">
        <v>126</v>
      </c>
      <c r="C19" s="433" t="s">
        <v>139</v>
      </c>
      <c r="D19" s="475">
        <f aca="true" t="shared" si="0" ref="D19:F20">D15+D17</f>
        <v>234280.58778</v>
      </c>
      <c r="E19" s="475">
        <f t="shared" si="0"/>
        <v>234280.58778</v>
      </c>
      <c r="F19" s="476">
        <f t="shared" si="0"/>
        <v>234280.58778</v>
      </c>
      <c r="G19" s="475"/>
      <c r="H19" s="475"/>
      <c r="I19" s="476"/>
    </row>
    <row r="20" spans="1:9" ht="9.75" customHeight="1">
      <c r="A20" s="352"/>
      <c r="B20" s="353" t="s">
        <v>146</v>
      </c>
      <c r="C20" s="438" t="s">
        <v>139</v>
      </c>
      <c r="D20" s="439">
        <f t="shared" si="0"/>
        <v>460632.88575</v>
      </c>
      <c r="E20" s="439">
        <f t="shared" si="0"/>
        <v>645859.79775</v>
      </c>
      <c r="F20" s="347">
        <f t="shared" si="0"/>
        <v>755389.2555</v>
      </c>
      <c r="G20" s="439"/>
      <c r="H20" s="439"/>
      <c r="I20" s="347"/>
    </row>
    <row r="21" spans="1:9" s="10" customFormat="1" ht="3.75" customHeight="1">
      <c r="A21" s="621"/>
      <c r="B21" s="94"/>
      <c r="C21" s="93"/>
      <c r="D21" s="95"/>
      <c r="E21" s="95"/>
      <c r="F21" s="95"/>
      <c r="G21" s="95"/>
      <c r="H21" s="95"/>
      <c r="I21" s="275"/>
    </row>
    <row r="22" spans="1:9" ht="9.75" customHeight="1">
      <c r="A22" s="101" t="s">
        <v>150</v>
      </c>
      <c r="B22" s="102" t="s">
        <v>127</v>
      </c>
      <c r="C22" s="162" t="s">
        <v>139</v>
      </c>
      <c r="D22" s="451">
        <v>326948</v>
      </c>
      <c r="E22" s="451">
        <v>327270</v>
      </c>
      <c r="F22" s="452">
        <v>334089</v>
      </c>
      <c r="G22" s="455"/>
      <c r="H22" s="455"/>
      <c r="I22" s="456"/>
    </row>
    <row r="23" spans="1:9" ht="9.75" customHeight="1">
      <c r="A23" s="90"/>
      <c r="B23" s="354" t="s">
        <v>128</v>
      </c>
      <c r="C23" s="110" t="s">
        <v>139</v>
      </c>
      <c r="D23" s="453">
        <v>106300</v>
      </c>
      <c r="E23" s="453">
        <v>106300</v>
      </c>
      <c r="F23" s="454">
        <v>106300</v>
      </c>
      <c r="G23" s="457"/>
      <c r="H23" s="457"/>
      <c r="I23" s="458"/>
    </row>
    <row r="24" spans="1:9" ht="9.75" customHeight="1">
      <c r="A24" s="265" t="s">
        <v>149</v>
      </c>
      <c r="B24" s="237" t="s">
        <v>127</v>
      </c>
      <c r="C24" s="238" t="s">
        <v>139</v>
      </c>
      <c r="D24" s="266">
        <v>1164819</v>
      </c>
      <c r="E24" s="266">
        <v>1178743</v>
      </c>
      <c r="F24" s="267">
        <v>1171763</v>
      </c>
      <c r="G24" s="266"/>
      <c r="H24" s="266"/>
      <c r="I24" s="267"/>
    </row>
    <row r="25" spans="1:9" ht="9.75" customHeight="1">
      <c r="A25" s="242"/>
      <c r="B25" s="243" t="s">
        <v>128</v>
      </c>
      <c r="C25" s="244" t="s">
        <v>139</v>
      </c>
      <c r="D25" s="268">
        <v>477541</v>
      </c>
      <c r="E25" s="268">
        <v>477541</v>
      </c>
      <c r="F25" s="269">
        <v>477541</v>
      </c>
      <c r="G25" s="268"/>
      <c r="H25" s="268"/>
      <c r="I25" s="269"/>
    </row>
    <row r="26" spans="1:9" ht="9.75" customHeight="1">
      <c r="A26" s="147" t="s">
        <v>177</v>
      </c>
      <c r="B26" s="245" t="s">
        <v>127</v>
      </c>
      <c r="C26" s="246" t="s">
        <v>139</v>
      </c>
      <c r="D26" s="276">
        <v>121063</v>
      </c>
      <c r="E26" s="276">
        <v>118080</v>
      </c>
      <c r="F26" s="277">
        <v>122016</v>
      </c>
      <c r="G26" s="276"/>
      <c r="H26" s="276"/>
      <c r="I26" s="277"/>
    </row>
    <row r="27" spans="1:9" ht="9.75" customHeight="1">
      <c r="A27" s="152"/>
      <c r="B27" s="249"/>
      <c r="C27" s="250"/>
      <c r="D27" s="278"/>
      <c r="E27" s="278"/>
      <c r="F27" s="279"/>
      <c r="G27" s="278"/>
      <c r="H27" s="278"/>
      <c r="I27" s="279"/>
    </row>
    <row r="28" spans="1:9" s="10" customFormat="1" ht="9.75" customHeight="1">
      <c r="A28" s="212" t="s">
        <v>178</v>
      </c>
      <c r="B28" s="405" t="s">
        <v>127</v>
      </c>
      <c r="C28" s="213" t="s">
        <v>139</v>
      </c>
      <c r="D28" s="471">
        <v>693500</v>
      </c>
      <c r="E28" s="471">
        <v>693500</v>
      </c>
      <c r="F28" s="472">
        <v>693500</v>
      </c>
      <c r="G28" s="471"/>
      <c r="H28" s="471"/>
      <c r="I28" s="472"/>
    </row>
    <row r="29" spans="1:9" s="10" customFormat="1" ht="9.75" customHeight="1">
      <c r="A29" s="402"/>
      <c r="B29" s="403"/>
      <c r="C29" s="220"/>
      <c r="D29" s="473"/>
      <c r="E29" s="473"/>
      <c r="F29" s="474"/>
      <c r="G29" s="473"/>
      <c r="H29" s="473"/>
      <c r="I29" s="474"/>
    </row>
    <row r="30" spans="1:9" ht="9.75" customHeight="1">
      <c r="A30" s="135" t="s">
        <v>151</v>
      </c>
      <c r="B30" s="350" t="s">
        <v>127</v>
      </c>
      <c r="C30" s="433" t="s">
        <v>139</v>
      </c>
      <c r="D30" s="475">
        <v>2306330</v>
      </c>
      <c r="E30" s="475">
        <v>2317593</v>
      </c>
      <c r="F30" s="476">
        <v>2321368</v>
      </c>
      <c r="G30" s="475"/>
      <c r="H30" s="475"/>
      <c r="I30" s="476"/>
    </row>
    <row r="31" spans="1:9" ht="9.75" customHeight="1">
      <c r="A31" s="352"/>
      <c r="B31" s="353" t="s">
        <v>128</v>
      </c>
      <c r="C31" s="438" t="s">
        <v>139</v>
      </c>
      <c r="D31" s="439">
        <v>583841</v>
      </c>
      <c r="E31" s="439">
        <v>583841</v>
      </c>
      <c r="F31" s="347">
        <v>583841</v>
      </c>
      <c r="G31" s="439"/>
      <c r="H31" s="439"/>
      <c r="I31" s="347"/>
    </row>
    <row r="32" ht="3" customHeight="1"/>
    <row r="33" spans="1:9" ht="9.75" customHeight="1">
      <c r="A33" s="101" t="s">
        <v>209</v>
      </c>
      <c r="B33" s="122"/>
      <c r="C33" s="430"/>
      <c r="D33" s="459"/>
      <c r="E33" s="459"/>
      <c r="F33" s="459"/>
      <c r="G33" s="459"/>
      <c r="H33" s="459"/>
      <c r="I33" s="459"/>
    </row>
    <row r="34" spans="1:9" ht="9.75" customHeight="1">
      <c r="A34" s="87"/>
      <c r="B34" s="88" t="s">
        <v>120</v>
      </c>
      <c r="C34" s="168" t="s">
        <v>139</v>
      </c>
      <c r="D34" s="460">
        <v>136057</v>
      </c>
      <c r="E34" s="460">
        <v>112805</v>
      </c>
      <c r="F34" s="460">
        <v>119892</v>
      </c>
      <c r="G34" s="460"/>
      <c r="H34" s="460"/>
      <c r="I34" s="460"/>
    </row>
    <row r="35" spans="1:9" ht="9.75" customHeight="1">
      <c r="A35" s="90"/>
      <c r="B35" s="354" t="s">
        <v>121</v>
      </c>
      <c r="C35" s="170" t="s">
        <v>139</v>
      </c>
      <c r="D35" s="460">
        <v>101655</v>
      </c>
      <c r="E35" s="460">
        <v>83565</v>
      </c>
      <c r="F35" s="460">
        <v>89965</v>
      </c>
      <c r="G35" s="460"/>
      <c r="H35" s="460"/>
      <c r="I35" s="460"/>
    </row>
    <row r="36" spans="1:9" ht="9.75" customHeight="1">
      <c r="A36" s="101" t="s">
        <v>226</v>
      </c>
      <c r="B36" s="122"/>
      <c r="C36" s="430"/>
      <c r="D36" s="459"/>
      <c r="E36" s="459"/>
      <c r="F36" s="459"/>
      <c r="G36" s="459"/>
      <c r="H36" s="459"/>
      <c r="I36" s="459"/>
    </row>
    <row r="37" spans="1:9" ht="9.75" customHeight="1">
      <c r="A37" s="87"/>
      <c r="B37" s="88" t="s">
        <v>120</v>
      </c>
      <c r="C37" s="168" t="s">
        <v>139</v>
      </c>
      <c r="D37" s="460"/>
      <c r="E37" s="460"/>
      <c r="F37" s="460"/>
      <c r="G37" s="460"/>
      <c r="H37" s="460"/>
      <c r="I37" s="460"/>
    </row>
    <row r="38" spans="1:9" ht="9.75" customHeight="1">
      <c r="A38" s="90"/>
      <c r="B38" s="354" t="s">
        <v>121</v>
      </c>
      <c r="C38" s="170" t="s">
        <v>139</v>
      </c>
      <c r="D38" s="461"/>
      <c r="E38" s="461"/>
      <c r="F38" s="461"/>
      <c r="G38" s="461"/>
      <c r="H38" s="461"/>
      <c r="I38" s="461"/>
    </row>
    <row r="39" spans="1:9" ht="9.75" customHeight="1">
      <c r="A39" s="265" t="s">
        <v>210</v>
      </c>
      <c r="B39" s="280"/>
      <c r="C39" s="239"/>
      <c r="D39" s="281"/>
      <c r="E39" s="281"/>
      <c r="F39" s="281"/>
      <c r="G39" s="281"/>
      <c r="H39" s="281"/>
      <c r="I39" s="281"/>
    </row>
    <row r="40" spans="1:11" ht="9.75" customHeight="1">
      <c r="A40" s="240"/>
      <c r="B40" s="241" t="s">
        <v>120</v>
      </c>
      <c r="C40" s="282" t="s">
        <v>139</v>
      </c>
      <c r="D40" s="281">
        <v>560920</v>
      </c>
      <c r="E40" s="281">
        <v>790724</v>
      </c>
      <c r="F40" s="281">
        <v>744763</v>
      </c>
      <c r="G40" s="281"/>
      <c r="H40" s="281"/>
      <c r="I40" s="281"/>
      <c r="K40" s="79"/>
    </row>
    <row r="41" spans="1:11" ht="9.75" customHeight="1">
      <c r="A41" s="242"/>
      <c r="B41" s="241" t="s">
        <v>121</v>
      </c>
      <c r="C41" s="282" t="s">
        <v>139</v>
      </c>
      <c r="D41" s="281">
        <v>412215</v>
      </c>
      <c r="E41" s="281">
        <v>587015</v>
      </c>
      <c r="F41" s="281">
        <v>578103</v>
      </c>
      <c r="G41" s="281"/>
      <c r="H41" s="281"/>
      <c r="I41" s="281"/>
      <c r="K41" s="79"/>
    </row>
    <row r="42" spans="1:11" ht="9.75" customHeight="1">
      <c r="A42" s="240" t="s">
        <v>227</v>
      </c>
      <c r="B42" s="265"/>
      <c r="C42" s="239"/>
      <c r="D42" s="283"/>
      <c r="E42" s="283"/>
      <c r="F42" s="283"/>
      <c r="G42" s="283"/>
      <c r="H42" s="283"/>
      <c r="I42" s="283"/>
      <c r="K42" s="79"/>
    </row>
    <row r="43" spans="1:11" ht="9.75" customHeight="1">
      <c r="A43" s="240"/>
      <c r="B43" s="241" t="s">
        <v>120</v>
      </c>
      <c r="C43" s="282" t="s">
        <v>139</v>
      </c>
      <c r="D43" s="281"/>
      <c r="E43" s="281"/>
      <c r="F43" s="281"/>
      <c r="G43" s="281"/>
      <c r="H43" s="281"/>
      <c r="I43" s="281"/>
      <c r="K43" s="79"/>
    </row>
    <row r="44" spans="1:9" ht="9.75" customHeight="1">
      <c r="A44" s="242"/>
      <c r="B44" s="243" t="s">
        <v>121</v>
      </c>
      <c r="C44" s="284" t="s">
        <v>139</v>
      </c>
      <c r="D44" s="285"/>
      <c r="E44" s="285"/>
      <c r="F44" s="285"/>
      <c r="G44" s="285"/>
      <c r="H44" s="285"/>
      <c r="I44" s="285"/>
    </row>
    <row r="45" spans="1:9" ht="9.75" customHeight="1">
      <c r="A45" s="147" t="s">
        <v>211</v>
      </c>
      <c r="B45" s="286"/>
      <c r="C45" s="287"/>
      <c r="D45" s="288"/>
      <c r="E45" s="288"/>
      <c r="F45" s="288"/>
      <c r="G45" s="288"/>
      <c r="H45" s="288"/>
      <c r="I45" s="288"/>
    </row>
    <row r="46" spans="1:9" ht="9.75" customHeight="1">
      <c r="A46" s="22"/>
      <c r="B46" s="247" t="s">
        <v>120</v>
      </c>
      <c r="C46" s="287" t="s">
        <v>139</v>
      </c>
      <c r="D46" s="288">
        <v>8621735</v>
      </c>
      <c r="E46" s="288">
        <v>8295518</v>
      </c>
      <c r="F46" s="288">
        <v>8295518</v>
      </c>
      <c r="G46" s="288"/>
      <c r="H46" s="288"/>
      <c r="I46" s="288"/>
    </row>
    <row r="47" spans="1:11" ht="9.75" customHeight="1">
      <c r="A47" s="152"/>
      <c r="B47" s="249" t="s">
        <v>121</v>
      </c>
      <c r="C47" s="287" t="s">
        <v>139</v>
      </c>
      <c r="D47" s="288">
        <v>6246766</v>
      </c>
      <c r="E47" s="288">
        <v>6074041</v>
      </c>
      <c r="F47" s="288">
        <v>6553026</v>
      </c>
      <c r="G47" s="288"/>
      <c r="H47" s="288"/>
      <c r="I47" s="288"/>
      <c r="K47" s="79"/>
    </row>
    <row r="48" spans="1:11" ht="9.75" customHeight="1">
      <c r="A48" s="212" t="s">
        <v>225</v>
      </c>
      <c r="B48" s="396"/>
      <c r="C48" s="397"/>
      <c r="D48" s="398"/>
      <c r="E48" s="398"/>
      <c r="F48" s="398"/>
      <c r="G48" s="398"/>
      <c r="H48" s="398"/>
      <c r="I48" s="398"/>
      <c r="K48" s="289"/>
    </row>
    <row r="49" spans="1:9" ht="9.75" customHeight="1">
      <c r="A49" s="214"/>
      <c r="B49" s="399" t="s">
        <v>120</v>
      </c>
      <c r="C49" s="219" t="s">
        <v>139</v>
      </c>
      <c r="D49" s="477">
        <v>9760985</v>
      </c>
      <c r="E49" s="477">
        <v>9716593</v>
      </c>
      <c r="F49" s="477">
        <v>9411743</v>
      </c>
      <c r="G49" s="477"/>
      <c r="H49" s="477"/>
      <c r="I49" s="477"/>
    </row>
    <row r="50" spans="1:11" ht="9.75" customHeight="1">
      <c r="A50" s="402"/>
      <c r="B50" s="403" t="s">
        <v>121</v>
      </c>
      <c r="C50" s="219" t="s">
        <v>139</v>
      </c>
      <c r="D50" s="477">
        <v>7072195</v>
      </c>
      <c r="E50" s="477">
        <v>7100587</v>
      </c>
      <c r="F50" s="477">
        <v>7420797</v>
      </c>
      <c r="G50" s="477"/>
      <c r="H50" s="477"/>
      <c r="I50" s="477"/>
      <c r="K50" s="79"/>
    </row>
    <row r="51" spans="1:9" ht="9.75" customHeight="1">
      <c r="A51" s="484" t="s">
        <v>47</v>
      </c>
      <c r="B51" s="485" t="s">
        <v>132</v>
      </c>
      <c r="C51" s="486"/>
      <c r="D51" s="487"/>
      <c r="E51" s="487"/>
      <c r="F51" s="487"/>
      <c r="G51" s="487"/>
      <c r="H51" s="487"/>
      <c r="I51" s="487"/>
    </row>
    <row r="52" spans="1:9" ht="9.75" customHeight="1">
      <c r="A52" s="488"/>
      <c r="B52" s="489" t="s">
        <v>120</v>
      </c>
      <c r="C52" s="490" t="s">
        <v>139</v>
      </c>
      <c r="D52" s="491"/>
      <c r="E52" s="491"/>
      <c r="F52" s="491"/>
      <c r="G52" s="491"/>
      <c r="H52" s="491"/>
      <c r="I52" s="491"/>
    </row>
    <row r="53" spans="1:9" ht="9.75" customHeight="1">
      <c r="A53" s="492"/>
      <c r="B53" s="493" t="s">
        <v>121</v>
      </c>
      <c r="C53" s="494" t="s">
        <v>139</v>
      </c>
      <c r="D53" s="495"/>
      <c r="E53" s="495"/>
      <c r="F53" s="495"/>
      <c r="G53" s="495"/>
      <c r="H53" s="495"/>
      <c r="I53" s="495"/>
    </row>
    <row r="54" spans="3:9" s="10" customFormat="1" ht="6.75" customHeight="1">
      <c r="C54" s="9"/>
      <c r="D54" s="290"/>
      <c r="E54" s="290"/>
      <c r="F54" s="290"/>
      <c r="G54" s="290"/>
      <c r="H54" s="290"/>
      <c r="I54" s="290"/>
    </row>
    <row r="55" spans="1:9" ht="9.75" customHeight="1">
      <c r="A55" s="291" t="s">
        <v>394</v>
      </c>
      <c r="D55" s="253"/>
      <c r="E55" s="253"/>
      <c r="F55" s="253"/>
      <c r="G55" s="253"/>
      <c r="H55" s="253"/>
      <c r="I55" s="253"/>
    </row>
    <row r="56" spans="1:9" ht="9.75" customHeight="1">
      <c r="A56" s="379" t="s">
        <v>53</v>
      </c>
      <c r="B56" s="271" t="s">
        <v>52</v>
      </c>
      <c r="C56" s="272" t="s">
        <v>135</v>
      </c>
      <c r="D56" s="535">
        <f>'Analysis Parameters'!D17</f>
        <v>1419430</v>
      </c>
      <c r="E56" s="535">
        <f>'Analysis Parameters'!E17</f>
        <v>1419430</v>
      </c>
      <c r="F56" s="535">
        <f>'Analysis Parameters'!F17</f>
        <v>1419430</v>
      </c>
      <c r="G56" s="534"/>
      <c r="H56" s="534"/>
      <c r="I56" s="536"/>
    </row>
    <row r="57" spans="1:9" ht="9.75" customHeight="1">
      <c r="A57" s="114" t="s">
        <v>167</v>
      </c>
      <c r="B57" s="122" t="s">
        <v>50</v>
      </c>
      <c r="C57" s="115"/>
      <c r="D57" s="462"/>
      <c r="E57" s="462"/>
      <c r="F57" s="462"/>
      <c r="G57" s="462"/>
      <c r="H57" s="462"/>
      <c r="I57" s="463"/>
    </row>
    <row r="58" spans="1:9" ht="9.75" customHeight="1">
      <c r="A58" s="87" t="s">
        <v>120</v>
      </c>
      <c r="B58" s="464"/>
      <c r="C58" s="112" t="s">
        <v>134</v>
      </c>
      <c r="D58" s="465">
        <f>'Analysis Parameters'!D19</f>
        <v>16.27</v>
      </c>
      <c r="E58" s="465">
        <f>'Analysis Parameters'!E19</f>
        <v>22</v>
      </c>
      <c r="F58" s="465">
        <f>'Analysis Parameters'!F19</f>
        <v>22.65</v>
      </c>
      <c r="G58" s="465"/>
      <c r="H58" s="465"/>
      <c r="I58" s="465"/>
    </row>
    <row r="59" spans="1:9" ht="9.75" customHeight="1">
      <c r="A59" s="87" t="s">
        <v>121</v>
      </c>
      <c r="B59" s="464"/>
      <c r="C59" s="112" t="s">
        <v>134</v>
      </c>
      <c r="D59" s="465">
        <f>'Analysis Parameters'!D20</f>
        <v>11.76</v>
      </c>
      <c r="E59" s="465">
        <f>'Analysis Parameters'!E20</f>
        <v>17.71</v>
      </c>
      <c r="F59" s="465">
        <f>'Analysis Parameters'!F20</f>
        <v>17.37</v>
      </c>
      <c r="G59" s="465"/>
      <c r="H59" s="465"/>
      <c r="I59" s="465"/>
    </row>
    <row r="60" spans="1:9" ht="9.75" customHeight="1">
      <c r="A60" s="87" t="s">
        <v>122</v>
      </c>
      <c r="B60" s="464"/>
      <c r="C60" s="112" t="s">
        <v>136</v>
      </c>
      <c r="D60" s="465">
        <f>'Analysis Parameters'!D21</f>
        <v>1.76</v>
      </c>
      <c r="E60" s="465">
        <f>'Analysis Parameters'!E21</f>
        <v>2.31</v>
      </c>
      <c r="F60" s="465">
        <f>'Analysis Parameters'!F21</f>
        <v>2.31</v>
      </c>
      <c r="G60" s="465"/>
      <c r="H60" s="465"/>
      <c r="I60" s="465"/>
    </row>
    <row r="61" spans="1:9" ht="9.75" customHeight="1">
      <c r="A61" s="90" t="s">
        <v>123</v>
      </c>
      <c r="B61" s="120"/>
      <c r="C61" s="118" t="s">
        <v>134</v>
      </c>
      <c r="D61" s="465">
        <f>'Analysis Parameters'!D22</f>
        <v>0.8</v>
      </c>
      <c r="E61" s="465">
        <f>'Analysis Parameters'!E22</f>
        <v>0.8</v>
      </c>
      <c r="F61" s="465">
        <f>'Analysis Parameters'!F22</f>
        <v>0.8</v>
      </c>
      <c r="G61" s="465"/>
      <c r="H61" s="465"/>
      <c r="I61" s="465"/>
    </row>
    <row r="62" spans="1:9" ht="9.75" customHeight="1">
      <c r="A62" s="20" t="s">
        <v>229</v>
      </c>
      <c r="B62" s="292"/>
      <c r="C62" s="293"/>
      <c r="D62" s="294"/>
      <c r="E62" s="294"/>
      <c r="F62" s="294"/>
      <c r="G62" s="294"/>
      <c r="H62" s="294"/>
      <c r="I62" s="294"/>
    </row>
    <row r="63" spans="1:9" ht="9.75" customHeight="1">
      <c r="A63" s="22" t="s">
        <v>120</v>
      </c>
      <c r="B63" s="286"/>
      <c r="C63" s="295" t="s">
        <v>134</v>
      </c>
      <c r="D63" s="296">
        <f>'Analysis Parameters'!D24</f>
        <v>20.03</v>
      </c>
      <c r="E63" s="296">
        <f>'Analysis Parameters'!E24</f>
        <v>25.76</v>
      </c>
      <c r="F63" s="296">
        <f>'Analysis Parameters'!F24</f>
        <v>26.41</v>
      </c>
      <c r="G63" s="296"/>
      <c r="H63" s="296"/>
      <c r="I63" s="296"/>
    </row>
    <row r="64" spans="1:9" ht="9.75" customHeight="1">
      <c r="A64" s="22" t="s">
        <v>121</v>
      </c>
      <c r="B64" s="286"/>
      <c r="C64" s="295" t="s">
        <v>134</v>
      </c>
      <c r="D64" s="296">
        <f>'Analysis Parameters'!D25</f>
        <v>15.52</v>
      </c>
      <c r="E64" s="296">
        <f>'Analysis Parameters'!E25</f>
        <v>21.47</v>
      </c>
      <c r="F64" s="296">
        <f>'Analysis Parameters'!F25</f>
        <v>21.13</v>
      </c>
      <c r="G64" s="296"/>
      <c r="H64" s="296"/>
      <c r="I64" s="296"/>
    </row>
    <row r="65" spans="1:9" ht="9.75" customHeight="1">
      <c r="A65" s="152" t="s">
        <v>122</v>
      </c>
      <c r="B65" s="297"/>
      <c r="C65" s="298" t="s">
        <v>136</v>
      </c>
      <c r="D65" s="299">
        <f>'Analysis Parameters'!D26</f>
        <v>1.76</v>
      </c>
      <c r="E65" s="299">
        <f>'Analysis Parameters'!E26</f>
        <v>2.31</v>
      </c>
      <c r="F65" s="299">
        <f>'Analysis Parameters'!F26</f>
        <v>2.31</v>
      </c>
      <c r="G65" s="299"/>
      <c r="H65" s="299"/>
      <c r="I65" s="299"/>
    </row>
    <row r="66" spans="1:9" ht="9.75" customHeight="1">
      <c r="A66" s="27" t="s">
        <v>230</v>
      </c>
      <c r="B66" s="286"/>
      <c r="C66" s="295"/>
      <c r="D66" s="294"/>
      <c r="E66" s="294"/>
      <c r="F66" s="294"/>
      <c r="G66" s="294"/>
      <c r="H66" s="294"/>
      <c r="I66" s="294"/>
    </row>
    <row r="67" spans="1:9" ht="9.75" customHeight="1">
      <c r="A67" s="22" t="s">
        <v>120</v>
      </c>
      <c r="B67" s="286"/>
      <c r="C67" s="295" t="s">
        <v>134</v>
      </c>
      <c r="D67" s="296">
        <f>'Analysis Parameters'!D28</f>
        <v>21.53</v>
      </c>
      <c r="E67" s="296">
        <f>'Analysis Parameters'!E28</f>
        <v>27.26</v>
      </c>
      <c r="F67" s="296">
        <f>'Analysis Parameters'!F28</f>
        <v>27.91</v>
      </c>
      <c r="G67" s="296"/>
      <c r="H67" s="296"/>
      <c r="I67" s="296"/>
    </row>
    <row r="68" spans="1:9" ht="9.75" customHeight="1">
      <c r="A68" s="22" t="s">
        <v>121</v>
      </c>
      <c r="B68" s="286"/>
      <c r="C68" s="295" t="s">
        <v>134</v>
      </c>
      <c r="D68" s="296">
        <f>'Analysis Parameters'!D29</f>
        <v>17.02</v>
      </c>
      <c r="E68" s="296">
        <f>'Analysis Parameters'!E29</f>
        <v>22.98</v>
      </c>
      <c r="F68" s="296">
        <f>'Analysis Parameters'!F29</f>
        <v>22.63</v>
      </c>
      <c r="G68" s="296"/>
      <c r="H68" s="296"/>
      <c r="I68" s="296"/>
    </row>
    <row r="69" spans="1:9" ht="9.75" customHeight="1">
      <c r="A69" s="22" t="s">
        <v>122</v>
      </c>
      <c r="B69" s="286"/>
      <c r="C69" s="295" t="s">
        <v>136</v>
      </c>
      <c r="D69" s="299">
        <f>'Analysis Parameters'!D30</f>
        <v>1.76</v>
      </c>
      <c r="E69" s="299">
        <f>'Analysis Parameters'!E30</f>
        <v>2.31</v>
      </c>
      <c r="F69" s="299">
        <f>'Analysis Parameters'!F30</f>
        <v>2.31</v>
      </c>
      <c r="G69" s="299"/>
      <c r="H69" s="299"/>
      <c r="I69" s="299"/>
    </row>
    <row r="70" spans="1:9" ht="9.75" customHeight="1">
      <c r="A70" s="114" t="s">
        <v>166</v>
      </c>
      <c r="B70" s="122"/>
      <c r="C70" s="466"/>
      <c r="D70" s="465"/>
      <c r="E70" s="465"/>
      <c r="F70" s="465"/>
      <c r="G70" s="465"/>
      <c r="H70" s="465"/>
      <c r="I70" s="465"/>
    </row>
    <row r="71" spans="1:9" ht="9.75" customHeight="1">
      <c r="A71" s="87" t="s">
        <v>120</v>
      </c>
      <c r="B71" s="464"/>
      <c r="C71" s="467" t="s">
        <v>134</v>
      </c>
      <c r="D71" s="465">
        <f>'Analysis Parameters'!D32</f>
        <v>15.67</v>
      </c>
      <c r="E71" s="465">
        <f>'Analysis Parameters'!E32</f>
        <v>21.4</v>
      </c>
      <c r="F71" s="465">
        <f>'Analysis Parameters'!F32</f>
        <v>22.05</v>
      </c>
      <c r="G71" s="465"/>
      <c r="H71" s="465"/>
      <c r="I71" s="465"/>
    </row>
    <row r="72" spans="1:9" ht="9.75" customHeight="1">
      <c r="A72" s="87" t="s">
        <v>121</v>
      </c>
      <c r="B72" s="464"/>
      <c r="C72" s="467" t="s">
        <v>134</v>
      </c>
      <c r="D72" s="465">
        <f>'Analysis Parameters'!D33</f>
        <v>11.16</v>
      </c>
      <c r="E72" s="465">
        <f>'Analysis Parameters'!E33</f>
        <v>17.11</v>
      </c>
      <c r="F72" s="465">
        <f>'Analysis Parameters'!F33</f>
        <v>16.77</v>
      </c>
      <c r="G72" s="465"/>
      <c r="H72" s="465"/>
      <c r="I72" s="465"/>
    </row>
    <row r="73" spans="1:9" ht="9.75" customHeight="1">
      <c r="A73" s="87" t="s">
        <v>122</v>
      </c>
      <c r="B73" s="464"/>
      <c r="C73" s="467" t="s">
        <v>136</v>
      </c>
      <c r="D73" s="465">
        <f>'Analysis Parameters'!D34</f>
        <v>1.76</v>
      </c>
      <c r="E73" s="465">
        <f>'Analysis Parameters'!E34</f>
        <v>2.31</v>
      </c>
      <c r="F73" s="465">
        <f>'Analysis Parameters'!F34</f>
        <v>2.31</v>
      </c>
      <c r="G73" s="465"/>
      <c r="H73" s="465"/>
      <c r="I73" s="465"/>
    </row>
    <row r="74" spans="1:9" ht="9.75" customHeight="1">
      <c r="A74" s="90" t="s">
        <v>123</v>
      </c>
      <c r="B74" s="120"/>
      <c r="C74" s="468" t="s">
        <v>134</v>
      </c>
      <c r="D74" s="465">
        <f>'Analysis Parameters'!D35</f>
        <v>0.8</v>
      </c>
      <c r="E74" s="465">
        <f>'Analysis Parameters'!E35</f>
        <v>0.8</v>
      </c>
      <c r="F74" s="465">
        <f>'Analysis Parameters'!F35</f>
        <v>0.8</v>
      </c>
      <c r="G74" s="465"/>
      <c r="H74" s="465"/>
      <c r="I74" s="465"/>
    </row>
    <row r="75" spans="1:9" ht="9.75" customHeight="1">
      <c r="A75" s="496" t="s">
        <v>231</v>
      </c>
      <c r="B75" s="380"/>
      <c r="C75" s="497"/>
      <c r="D75" s="498"/>
      <c r="E75" s="498"/>
      <c r="F75" s="498"/>
      <c r="G75" s="498"/>
      <c r="H75" s="498"/>
      <c r="I75" s="498"/>
    </row>
    <row r="76" spans="1:9" ht="9.75" customHeight="1">
      <c r="A76" s="373"/>
      <c r="B76" s="374" t="s">
        <v>120</v>
      </c>
      <c r="C76" s="381" t="s">
        <v>134</v>
      </c>
      <c r="D76" s="499">
        <f>'Analysis Parameters'!D60</f>
        <v>140.26</v>
      </c>
      <c r="E76" s="499">
        <f>'Analysis Parameters'!E60</f>
        <v>140.26</v>
      </c>
      <c r="F76" s="499">
        <f>'Analysis Parameters'!F60</f>
        <v>140.26</v>
      </c>
      <c r="G76" s="499"/>
      <c r="H76" s="499"/>
      <c r="I76" s="499"/>
    </row>
    <row r="77" spans="1:9" ht="9.75" customHeight="1">
      <c r="A77" s="375"/>
      <c r="B77" s="376" t="s">
        <v>121</v>
      </c>
      <c r="C77" s="500"/>
      <c r="D77" s="499">
        <f>'Analysis Parameters'!D61</f>
        <v>95.14</v>
      </c>
      <c r="E77" s="499">
        <f>'Analysis Parameters'!E61</f>
        <v>95.14</v>
      </c>
      <c r="F77" s="499">
        <f>'Analysis Parameters'!F61</f>
        <v>95.14</v>
      </c>
      <c r="G77" s="499"/>
      <c r="H77" s="499"/>
      <c r="I77" s="499"/>
    </row>
    <row r="78" spans="1:9" ht="9.75" customHeight="1">
      <c r="A78" s="52" t="s">
        <v>232</v>
      </c>
      <c r="B78" s="374"/>
      <c r="C78" s="497"/>
      <c r="D78" s="501"/>
      <c r="E78" s="501"/>
      <c r="F78" s="501"/>
      <c r="G78" s="501"/>
      <c r="H78" s="501"/>
      <c r="I78" s="501"/>
    </row>
    <row r="79" spans="1:9" ht="9.75" customHeight="1">
      <c r="A79" s="373"/>
      <c r="B79" s="374" t="s">
        <v>120</v>
      </c>
      <c r="C79" s="381" t="s">
        <v>134</v>
      </c>
      <c r="D79" s="499">
        <f>'Fixed Costs &amp; Rates'!D104</f>
        <v>24.42</v>
      </c>
      <c r="E79" s="499">
        <f>'Fixed Costs &amp; Rates'!E104</f>
        <v>35.55</v>
      </c>
      <c r="F79" s="499">
        <f>'Fixed Costs &amp; Rates'!F104</f>
        <v>30.08</v>
      </c>
      <c r="G79" s="499"/>
      <c r="H79" s="499"/>
      <c r="I79" s="499"/>
    </row>
    <row r="80" spans="1:9" ht="9.75" customHeight="1">
      <c r="A80" s="375"/>
      <c r="B80" s="376" t="s">
        <v>121</v>
      </c>
      <c r="C80" s="500"/>
      <c r="D80" s="502">
        <f>'Fixed Costs &amp; Rates'!D105</f>
        <v>19.85</v>
      </c>
      <c r="E80" s="502">
        <f>'Fixed Costs &amp; Rates'!E105</f>
        <v>28.51</v>
      </c>
      <c r="F80" s="502">
        <f>'Fixed Costs &amp; Rates'!F105</f>
        <v>25.16</v>
      </c>
      <c r="G80" s="502"/>
      <c r="H80" s="502"/>
      <c r="I80" s="502"/>
    </row>
    <row r="82" spans="1:9" ht="9.75" customHeight="1">
      <c r="A82" s="291" t="s">
        <v>395</v>
      </c>
      <c r="D82" s="253"/>
      <c r="E82" s="253"/>
      <c r="F82" s="253"/>
      <c r="G82" s="253"/>
      <c r="H82" s="253"/>
      <c r="I82" s="253"/>
    </row>
    <row r="83" spans="1:9" ht="9.75" customHeight="1">
      <c r="A83" s="379" t="s">
        <v>53</v>
      </c>
      <c r="B83" s="271" t="s">
        <v>52</v>
      </c>
      <c r="C83" s="272" t="s">
        <v>135</v>
      </c>
      <c r="D83" s="535">
        <f>'Analysis Parameters'!D38</f>
        <v>2077598.4425522604</v>
      </c>
      <c r="E83" s="535">
        <f>'Analysis Parameters'!E38</f>
        <v>2077598.4425522604</v>
      </c>
      <c r="F83" s="535">
        <f>'Analysis Parameters'!F38</f>
        <v>2077598.4425522604</v>
      </c>
      <c r="G83" s="535"/>
      <c r="H83" s="535"/>
      <c r="I83" s="535"/>
    </row>
    <row r="84" spans="1:9" ht="9.75" customHeight="1">
      <c r="A84" s="114" t="s">
        <v>167</v>
      </c>
      <c r="B84" s="122" t="s">
        <v>50</v>
      </c>
      <c r="C84" s="115"/>
      <c r="D84" s="462"/>
      <c r="E84" s="462"/>
      <c r="F84" s="462"/>
      <c r="G84" s="462"/>
      <c r="H84" s="462"/>
      <c r="I84" s="463"/>
    </row>
    <row r="85" spans="1:9" ht="9.75" customHeight="1">
      <c r="A85" s="87" t="s">
        <v>120</v>
      </c>
      <c r="B85" s="464"/>
      <c r="C85" s="112" t="s">
        <v>134</v>
      </c>
      <c r="D85" s="465">
        <f>'Analysis Parameters'!D40</f>
        <v>23.790818432971104</v>
      </c>
      <c r="E85" s="465">
        <f>'Analysis Parameters'!E40</f>
        <v>32.16951478336597</v>
      </c>
      <c r="F85" s="465">
        <f>'Analysis Parameters'!F40</f>
        <v>33.11997772014723</v>
      </c>
      <c r="G85" s="465"/>
      <c r="H85" s="465"/>
      <c r="I85" s="465"/>
    </row>
    <row r="86" spans="1:9" ht="9.75" customHeight="1">
      <c r="A86" s="87" t="s">
        <v>121</v>
      </c>
      <c r="B86" s="464"/>
      <c r="C86" s="112" t="s">
        <v>134</v>
      </c>
      <c r="D86" s="465">
        <f>'Analysis Parameters'!D41</f>
        <v>17.19606790238108</v>
      </c>
      <c r="E86" s="465">
        <f>'Analysis Parameters'!E41</f>
        <v>25.896459400609604</v>
      </c>
      <c r="F86" s="465">
        <f>'Analysis Parameters'!F41</f>
        <v>25.399294172139403</v>
      </c>
      <c r="G86" s="465"/>
      <c r="H86" s="465"/>
      <c r="I86" s="465"/>
    </row>
    <row r="87" spans="1:9" ht="9.75" customHeight="1">
      <c r="A87" s="87" t="s">
        <v>122</v>
      </c>
      <c r="B87" s="464"/>
      <c r="C87" s="112" t="s">
        <v>136</v>
      </c>
      <c r="D87" s="465">
        <f>'Analysis Parameters'!D42</f>
        <v>2.5735611826692772</v>
      </c>
      <c r="E87" s="465">
        <f>'Analysis Parameters'!E42</f>
        <v>3.3777990522534265</v>
      </c>
      <c r="F87" s="465">
        <f>'Analysis Parameters'!F42</f>
        <v>3.3777990522534265</v>
      </c>
      <c r="G87" s="465"/>
      <c r="H87" s="465"/>
      <c r="I87" s="465"/>
    </row>
    <row r="88" spans="1:9" ht="9.75" customHeight="1">
      <c r="A88" s="90" t="s">
        <v>123</v>
      </c>
      <c r="B88" s="120"/>
      <c r="C88" s="118" t="s">
        <v>134</v>
      </c>
      <c r="D88" s="465">
        <f>'Analysis Parameters'!D43</f>
        <v>1.1698005375769442</v>
      </c>
      <c r="E88" s="465">
        <f>'Analysis Parameters'!E43</f>
        <v>1.1698005375769442</v>
      </c>
      <c r="F88" s="465">
        <f>'Analysis Parameters'!F43</f>
        <v>1.1698005375769442</v>
      </c>
      <c r="G88" s="465"/>
      <c r="H88" s="465"/>
      <c r="I88" s="465"/>
    </row>
    <row r="89" spans="1:9" ht="9.75" customHeight="1">
      <c r="A89" s="20" t="s">
        <v>229</v>
      </c>
      <c r="B89" s="292"/>
      <c r="C89" s="293"/>
      <c r="D89" s="294"/>
      <c r="E89" s="294"/>
      <c r="F89" s="294"/>
      <c r="G89" s="294"/>
      <c r="H89" s="294"/>
      <c r="I89" s="302"/>
    </row>
    <row r="90" spans="1:9" ht="9.75" customHeight="1">
      <c r="A90" s="22" t="s">
        <v>120</v>
      </c>
      <c r="B90" s="286"/>
      <c r="C90" s="295" t="s">
        <v>134</v>
      </c>
      <c r="D90" s="296">
        <f>'Analysis Parameters'!D45</f>
        <v>29.29</v>
      </c>
      <c r="E90" s="296">
        <f>'Analysis Parameters'!E45</f>
        <v>37.67</v>
      </c>
      <c r="F90" s="296">
        <f>'Analysis Parameters'!F45</f>
        <v>38.62</v>
      </c>
      <c r="G90" s="296"/>
      <c r="H90" s="296"/>
      <c r="I90" s="296"/>
    </row>
    <row r="91" spans="1:9" ht="9.75" customHeight="1">
      <c r="A91" s="22" t="s">
        <v>121</v>
      </c>
      <c r="B91" s="286"/>
      <c r="C91" s="295" t="s">
        <v>134</v>
      </c>
      <c r="D91" s="296">
        <f>'Analysis Parameters'!D46</f>
        <v>22.69</v>
      </c>
      <c r="E91" s="296">
        <f>'Analysis Parameters'!E46</f>
        <v>31.39</v>
      </c>
      <c r="F91" s="296">
        <f>'Analysis Parameters'!F46</f>
        <v>30.9</v>
      </c>
      <c r="G91" s="296"/>
      <c r="H91" s="296"/>
      <c r="I91" s="296"/>
    </row>
    <row r="92" spans="1:9" ht="9.75" customHeight="1">
      <c r="A92" s="152" t="s">
        <v>122</v>
      </c>
      <c r="B92" s="297"/>
      <c r="C92" s="298" t="s">
        <v>136</v>
      </c>
      <c r="D92" s="296">
        <f>'Analysis Parameters'!D47</f>
        <v>2.57</v>
      </c>
      <c r="E92" s="296">
        <f>'Analysis Parameters'!E47</f>
        <v>3.38</v>
      </c>
      <c r="F92" s="296">
        <f>'Analysis Parameters'!F47</f>
        <v>3.38</v>
      </c>
      <c r="G92" s="296"/>
      <c r="H92" s="296"/>
      <c r="I92" s="296"/>
    </row>
    <row r="93" spans="1:9" ht="9.75" customHeight="1">
      <c r="A93" s="20" t="s">
        <v>230</v>
      </c>
      <c r="B93" s="292"/>
      <c r="C93" s="478"/>
      <c r="D93" s="294"/>
      <c r="E93" s="294"/>
      <c r="F93" s="294"/>
      <c r="G93" s="294"/>
      <c r="H93" s="294"/>
      <c r="I93" s="294"/>
    </row>
    <row r="94" spans="1:9" ht="9.75" customHeight="1">
      <c r="A94" s="22" t="s">
        <v>120</v>
      </c>
      <c r="B94" s="286"/>
      <c r="C94" s="479" t="s">
        <v>134</v>
      </c>
      <c r="D94" s="296">
        <f>'Analysis Parameters'!D49</f>
        <v>21.53</v>
      </c>
      <c r="E94" s="296">
        <f>'Analysis Parameters'!E49</f>
        <v>27.26</v>
      </c>
      <c r="F94" s="296">
        <f>'Analysis Parameters'!F49</f>
        <v>34.92</v>
      </c>
      <c r="G94" s="296"/>
      <c r="H94" s="296"/>
      <c r="I94" s="296"/>
    </row>
    <row r="95" spans="1:9" ht="9.75" customHeight="1">
      <c r="A95" s="22" t="s">
        <v>121</v>
      </c>
      <c r="B95" s="286"/>
      <c r="C95" s="479" t="s">
        <v>134</v>
      </c>
      <c r="D95" s="296">
        <f>'Analysis Parameters'!D50</f>
        <v>17.02</v>
      </c>
      <c r="E95" s="296">
        <f>'Analysis Parameters'!E50</f>
        <v>22.98</v>
      </c>
      <c r="F95" s="296">
        <f>'Analysis Parameters'!F50</f>
        <v>26.17</v>
      </c>
      <c r="G95" s="296"/>
      <c r="H95" s="296"/>
      <c r="I95" s="296"/>
    </row>
    <row r="96" spans="1:9" ht="9.75" customHeight="1">
      <c r="A96" s="152" t="s">
        <v>122</v>
      </c>
      <c r="B96" s="297"/>
      <c r="C96" s="480" t="s">
        <v>136</v>
      </c>
      <c r="D96" s="296">
        <f>'Analysis Parameters'!D51</f>
        <v>1.76</v>
      </c>
      <c r="E96" s="296">
        <f>'Analysis Parameters'!E51</f>
        <v>2.31</v>
      </c>
      <c r="F96" s="296">
        <f>'Analysis Parameters'!F51</f>
        <v>3.16</v>
      </c>
      <c r="G96" s="296"/>
      <c r="H96" s="296"/>
      <c r="I96" s="296"/>
    </row>
    <row r="97" spans="1:9" ht="9.75" customHeight="1">
      <c r="A97" s="111" t="s">
        <v>166</v>
      </c>
      <c r="B97" s="464"/>
      <c r="C97" s="112"/>
      <c r="D97" s="462"/>
      <c r="E97" s="462"/>
      <c r="F97" s="462"/>
      <c r="G97" s="462"/>
      <c r="H97" s="462"/>
      <c r="I97" s="469"/>
    </row>
    <row r="98" spans="1:9" ht="9.75" customHeight="1">
      <c r="A98" s="87" t="s">
        <v>120</v>
      </c>
      <c r="B98" s="464"/>
      <c r="C98" s="112" t="s">
        <v>134</v>
      </c>
      <c r="D98" s="465">
        <f>'Analysis Parameters'!D53</f>
        <v>22.913468029788394</v>
      </c>
      <c r="E98" s="465">
        <f>'Analysis Parameters'!E53</f>
        <v>31.292164380183255</v>
      </c>
      <c r="F98" s="465">
        <f>'Analysis Parameters'!F53</f>
        <v>32.24262731696453</v>
      </c>
      <c r="G98" s="465"/>
      <c r="H98" s="465"/>
      <c r="I98" s="465"/>
    </row>
    <row r="99" spans="1:9" ht="9.75" customHeight="1">
      <c r="A99" s="87" t="s">
        <v>121</v>
      </c>
      <c r="B99" s="464"/>
      <c r="C99" s="112" t="s">
        <v>134</v>
      </c>
      <c r="D99" s="465">
        <f>'Analysis Parameters'!D54</f>
        <v>16.31871749919837</v>
      </c>
      <c r="E99" s="465">
        <f>'Analysis Parameters'!E54</f>
        <v>25.019108997426894</v>
      </c>
      <c r="F99" s="465">
        <f>'Analysis Parameters'!F54</f>
        <v>24.521943768956692</v>
      </c>
      <c r="G99" s="465"/>
      <c r="H99" s="465"/>
      <c r="I99" s="465"/>
    </row>
    <row r="100" spans="1:9" ht="9.75" customHeight="1">
      <c r="A100" s="87" t="s">
        <v>122</v>
      </c>
      <c r="B100" s="464"/>
      <c r="C100" s="112" t="s">
        <v>136</v>
      </c>
      <c r="D100" s="465">
        <f>'Analysis Parameters'!D55</f>
        <v>2.5735611826692772</v>
      </c>
      <c r="E100" s="465">
        <f>'Analysis Parameters'!E55</f>
        <v>3.3777990522534265</v>
      </c>
      <c r="F100" s="465">
        <f>'Analysis Parameters'!F55</f>
        <v>3.3777990522534265</v>
      </c>
      <c r="G100" s="465"/>
      <c r="H100" s="465"/>
      <c r="I100" s="465"/>
    </row>
    <row r="101" spans="1:9" ht="9.75" customHeight="1">
      <c r="A101" s="90" t="s">
        <v>123</v>
      </c>
      <c r="B101" s="120"/>
      <c r="C101" s="118" t="s">
        <v>134</v>
      </c>
      <c r="D101" s="470">
        <f>'Analysis Parameters'!D56</f>
        <v>1.1698005375769442</v>
      </c>
      <c r="E101" s="470">
        <f>'Analysis Parameters'!E56</f>
        <v>1.1698005375769442</v>
      </c>
      <c r="F101" s="470">
        <f>'Analysis Parameters'!F56</f>
        <v>1.1698005375769442</v>
      </c>
      <c r="G101" s="470"/>
      <c r="H101" s="470"/>
      <c r="I101" s="470"/>
    </row>
    <row r="103" spans="1:9" ht="9.75" customHeight="1">
      <c r="A103" s="52" t="s">
        <v>232</v>
      </c>
      <c r="B103" s="372"/>
      <c r="C103" s="503"/>
      <c r="D103" s="501"/>
      <c r="E103" s="501"/>
      <c r="F103" s="501"/>
      <c r="G103" s="501"/>
      <c r="H103" s="501"/>
      <c r="I103" s="501"/>
    </row>
    <row r="104" spans="1:9" ht="9.75" customHeight="1">
      <c r="A104" s="626"/>
      <c r="B104" s="374" t="s">
        <v>120</v>
      </c>
      <c r="C104" s="381" t="s">
        <v>134</v>
      </c>
      <c r="D104" s="499">
        <v>24.42</v>
      </c>
      <c r="E104" s="499">
        <v>35.55</v>
      </c>
      <c r="F104" s="499">
        <v>30.08</v>
      </c>
      <c r="G104" s="499"/>
      <c r="H104" s="499"/>
      <c r="I104" s="499"/>
    </row>
    <row r="105" spans="1:9" ht="9.75" customHeight="1">
      <c r="A105" s="627"/>
      <c r="B105" s="376" t="s">
        <v>121</v>
      </c>
      <c r="C105" s="500"/>
      <c r="D105" s="502">
        <v>19.85</v>
      </c>
      <c r="E105" s="502">
        <v>28.51</v>
      </c>
      <c r="F105" s="502">
        <v>25.16</v>
      </c>
      <c r="G105" s="502"/>
      <c r="H105" s="502"/>
      <c r="I105" s="502"/>
    </row>
    <row r="107" spans="1:4" ht="9.75" customHeight="1">
      <c r="A107" s="303" t="s">
        <v>93</v>
      </c>
      <c r="B107" s="304" t="s">
        <v>119</v>
      </c>
      <c r="C107" s="305" t="s">
        <v>140</v>
      </c>
      <c r="D107" s="306">
        <v>0.018</v>
      </c>
    </row>
    <row r="108" spans="4:9" s="5" customFormat="1" ht="9.75" customHeight="1">
      <c r="D108" s="253"/>
      <c r="E108" s="253"/>
      <c r="F108" s="253"/>
      <c r="G108" s="253"/>
      <c r="H108" s="253"/>
      <c r="I108" s="253"/>
    </row>
    <row r="109" spans="1:3" ht="9.75" customHeight="1">
      <c r="A109" s="6" t="s">
        <v>129</v>
      </c>
      <c r="B109" s="5"/>
      <c r="C109" s="5"/>
    </row>
    <row r="110" spans="1:9" ht="9.75" customHeight="1">
      <c r="A110" s="255" t="s">
        <v>120</v>
      </c>
      <c r="B110" s="257"/>
      <c r="C110" s="257"/>
      <c r="D110" s="257">
        <f>'Analysis Parameters'!D9</f>
        <v>432</v>
      </c>
      <c r="E110" s="257">
        <f>'Analysis Parameters'!E9</f>
        <v>416</v>
      </c>
      <c r="F110" s="419">
        <f>'Analysis Parameters'!F9</f>
        <v>416</v>
      </c>
      <c r="G110" s="257"/>
      <c r="H110" s="257"/>
      <c r="I110" s="419"/>
    </row>
    <row r="111" spans="1:9" ht="9.75" customHeight="1">
      <c r="A111" s="440" t="s">
        <v>121</v>
      </c>
      <c r="B111" s="441"/>
      <c r="C111" s="441"/>
      <c r="D111" s="441">
        <f>'Analysis Parameters'!D10</f>
        <v>313</v>
      </c>
      <c r="E111" s="441">
        <f>'Analysis Parameters'!E10</f>
        <v>304</v>
      </c>
      <c r="F111" s="337">
        <f>'Analysis Parameters'!F10</f>
        <v>328</v>
      </c>
      <c r="G111" s="441"/>
      <c r="H111" s="441"/>
      <c r="I111" s="337"/>
    </row>
    <row r="112" spans="1:9" s="10" customFormat="1" ht="9.75" customHeight="1">
      <c r="A112" s="307" t="s">
        <v>115</v>
      </c>
      <c r="B112" s="308"/>
      <c r="C112" s="308"/>
      <c r="D112" s="308">
        <f>D110+D111</f>
        <v>745</v>
      </c>
      <c r="E112" s="308">
        <f>E110+E111</f>
        <v>720</v>
      </c>
      <c r="F112" s="309">
        <f>F110+F111</f>
        <v>744</v>
      </c>
      <c r="G112" s="308"/>
      <c r="H112" s="308"/>
      <c r="I112" s="309"/>
    </row>
    <row r="115" spans="1:9" s="94" customFormat="1" ht="9.75" customHeight="1">
      <c r="A115" s="92"/>
      <c r="B115" s="92"/>
      <c r="C115" s="91"/>
      <c r="D115" s="91"/>
      <c r="F115" s="92"/>
      <c r="G115" s="92"/>
      <c r="H115" s="185"/>
      <c r="I115" s="92"/>
    </row>
    <row r="139" ht="9.75" customHeight="1">
      <c r="A139" s="310"/>
    </row>
    <row r="170" ht="9.75" customHeight="1">
      <c r="A170" s="310"/>
    </row>
    <row r="176" ht="9.75" customHeight="1">
      <c r="A176" s="310"/>
    </row>
    <row r="177" ht="9.75" customHeight="1">
      <c r="A177" s="310"/>
    </row>
    <row r="178" ht="9.75" customHeight="1">
      <c r="A178" s="310"/>
    </row>
    <row r="179" ht="9.75" customHeight="1">
      <c r="A179" s="310"/>
    </row>
    <row r="180" ht="9.75" customHeight="1">
      <c r="A180" s="310"/>
    </row>
    <row r="181" ht="9.75" customHeight="1">
      <c r="A181" s="310"/>
    </row>
    <row r="182" ht="9.75" customHeight="1">
      <c r="A182" s="310"/>
    </row>
    <row r="183" ht="9.75" customHeight="1">
      <c r="A183" s="310"/>
    </row>
    <row r="184" ht="9.75" customHeight="1">
      <c r="A184" s="310"/>
    </row>
    <row r="185" ht="9.75" customHeight="1">
      <c r="A185" s="310"/>
    </row>
    <row r="186" ht="9.75" customHeight="1">
      <c r="A186" s="310"/>
    </row>
    <row r="187" ht="9.75" customHeight="1">
      <c r="A187" s="310"/>
    </row>
    <row r="188" ht="9.75" customHeight="1">
      <c r="A188" s="310"/>
    </row>
    <row r="189" ht="9.75" customHeight="1">
      <c r="A189" s="310"/>
    </row>
    <row r="190" ht="9.75" customHeight="1">
      <c r="A190" s="310"/>
    </row>
    <row r="191" ht="9.75" customHeight="1">
      <c r="A191" s="310"/>
    </row>
    <row r="192" ht="9.75" customHeight="1">
      <c r="A192" s="310"/>
    </row>
    <row r="193" ht="9.75" customHeight="1">
      <c r="A193" s="310"/>
    </row>
    <row r="194" ht="9.75" customHeight="1">
      <c r="A194" s="310"/>
    </row>
    <row r="195" ht="9.75" customHeight="1">
      <c r="A195" s="310"/>
    </row>
    <row r="196" ht="9.75" customHeight="1">
      <c r="A196" s="310"/>
    </row>
    <row r="197" ht="9.75" customHeight="1">
      <c r="A197" s="310"/>
    </row>
    <row r="198" ht="9.75" customHeight="1">
      <c r="A198" s="7"/>
    </row>
    <row r="205" ht="9.75" customHeight="1">
      <c r="D205" s="311"/>
    </row>
  </sheetData>
  <mergeCells count="1">
    <mergeCell ref="A13:F14"/>
  </mergeCells>
  <printOptions horizontalCentered="1"/>
  <pageMargins left="0.5" right="0.5" top="0.75" bottom="0.75" header="0.5" footer="0.5"/>
  <pageSetup fitToHeight="1" fitToWidth="1" horizontalDpi="600" verticalDpi="600" orientation="portrait" scale="65" r:id="rId1"/>
  <headerFooter alignWithMargins="0">
    <oddHeader>&amp;C&amp;"Arial,Bold"&amp;12Load Reduction, C&amp;&amp;D, LDD Cost Inputs and Rates</oddHeader>
    <oddFooter>&amp;LPage 11&amp;CBonneville Power Administration, Power Business Line&amp;R2/14/02</oddFooter>
  </headerFooter>
</worksheet>
</file>

<file path=xl/worksheets/sheet12.xml><?xml version="1.0" encoding="utf-8"?>
<worksheet xmlns="http://schemas.openxmlformats.org/spreadsheetml/2006/main" xmlns:r="http://schemas.openxmlformats.org/officeDocument/2006/relationships">
  <sheetPr codeName="Sheet13">
    <pageSetUpPr fitToPage="1"/>
  </sheetPr>
  <dimension ref="A1:U94"/>
  <sheetViews>
    <sheetView view="pageBreakPreview" zoomScaleSheetLayoutView="100" workbookViewId="0" topLeftCell="A1">
      <selection activeCell="A1" sqref="A1"/>
    </sheetView>
  </sheetViews>
  <sheetFormatPr defaultColWidth="9.140625" defaultRowHeight="9.75" customHeight="1"/>
  <cols>
    <col min="1" max="1" width="8.7109375" style="2" customWidth="1"/>
    <col min="2" max="2" width="33.140625" style="2" customWidth="1"/>
    <col min="3" max="3" width="12.57421875" style="4" customWidth="1"/>
    <col min="4" max="4" width="9.7109375" style="4" customWidth="1"/>
    <col min="5" max="6" width="10.00390625" style="4" customWidth="1"/>
    <col min="7" max="9" width="8.7109375" style="4" customWidth="1"/>
    <col min="10" max="16384" width="8.7109375" style="2" customWidth="1"/>
  </cols>
  <sheetData>
    <row r="1" ht="9.75" customHeight="1">
      <c r="D1" s="1" t="s">
        <v>461</v>
      </c>
    </row>
    <row r="3" ht="9.75" customHeight="1">
      <c r="A3" s="6" t="s">
        <v>508</v>
      </c>
    </row>
    <row r="4" ht="4.5" customHeight="1">
      <c r="A4" s="6"/>
    </row>
    <row r="5" ht="9.75" customHeight="1">
      <c r="A5" s="312" t="s">
        <v>162</v>
      </c>
    </row>
    <row r="6" ht="4.5" customHeight="1">
      <c r="A6" s="6"/>
    </row>
    <row r="7" spans="1:9" ht="9.75" customHeight="1">
      <c r="A7" s="6" t="s">
        <v>484</v>
      </c>
      <c r="D7" s="4" t="str">
        <f>'Analysis Parameters'!D6</f>
        <v>Oct</v>
      </c>
      <c r="E7" s="4" t="str">
        <f>'Analysis Parameters'!E6</f>
        <v>Nov</v>
      </c>
      <c r="F7" s="4" t="str">
        <f>'Analysis Parameters'!F6</f>
        <v>Dec</v>
      </c>
      <c r="G7" s="4" t="str">
        <f>'Analysis Parameters'!G6</f>
        <v>none</v>
      </c>
      <c r="H7" s="4" t="str">
        <f>'Analysis Parameters'!H6</f>
        <v>none</v>
      </c>
      <c r="I7" s="4" t="str">
        <f>'Analysis Parameters'!I6</f>
        <v>none</v>
      </c>
    </row>
    <row r="8" spans="1:9" ht="9.75" customHeight="1">
      <c r="A8" s="313" t="s">
        <v>152</v>
      </c>
      <c r="B8" s="304" t="s">
        <v>124</v>
      </c>
      <c r="C8" s="314" t="s">
        <v>138</v>
      </c>
      <c r="D8" s="315">
        <f>'Load Inputs'!D5+'Load Inputs'!D6</f>
        <v>1600</v>
      </c>
      <c r="E8" s="315">
        <f>'Load Inputs'!E5+'Load Inputs'!E6</f>
        <v>1600</v>
      </c>
      <c r="F8" s="315">
        <f>'Load Inputs'!F5+'Load Inputs'!F6</f>
        <v>1600</v>
      </c>
      <c r="G8" s="315"/>
      <c r="H8" s="315"/>
      <c r="I8" s="315"/>
    </row>
    <row r="9" spans="1:9" ht="9.75" customHeight="1">
      <c r="A9" s="114" t="s">
        <v>142</v>
      </c>
      <c r="B9" s="88"/>
      <c r="C9" s="105"/>
      <c r="D9" s="460"/>
      <c r="E9" s="460"/>
      <c r="F9" s="460"/>
      <c r="G9" s="460"/>
      <c r="H9" s="460"/>
      <c r="I9" s="460"/>
    </row>
    <row r="10" spans="1:9" ht="9.75" customHeight="1">
      <c r="A10" s="87" t="s">
        <v>120</v>
      </c>
      <c r="B10" s="88"/>
      <c r="C10" s="105" t="s">
        <v>137</v>
      </c>
      <c r="D10" s="460">
        <f>'Load Inputs'!D11+'Load Inputs'!D16</f>
        <v>1150526.425</v>
      </c>
      <c r="E10" s="460">
        <f>'Load Inputs'!E11+'Load Inputs'!E16</f>
        <v>1237894.646</v>
      </c>
      <c r="F10" s="460">
        <f>'Load Inputs'!F11+'Load Inputs'!F16</f>
        <v>1230111.656</v>
      </c>
      <c r="G10" s="460"/>
      <c r="H10" s="460"/>
      <c r="I10" s="460"/>
    </row>
    <row r="11" spans="1:9" ht="9.75" customHeight="1">
      <c r="A11" s="87" t="s">
        <v>121</v>
      </c>
      <c r="B11" s="88"/>
      <c r="C11" s="105" t="s">
        <v>137</v>
      </c>
      <c r="D11" s="460">
        <f>'Load Inputs'!D12+'Load Inputs'!D17</f>
        <v>732956.8080000001</v>
      </c>
      <c r="E11" s="460">
        <f>'Load Inputs'!E12+'Load Inputs'!E17</f>
        <v>820604.909</v>
      </c>
      <c r="F11" s="460">
        <f>'Load Inputs'!F12+'Load Inputs'!F17</f>
        <v>858443.75</v>
      </c>
      <c r="G11" s="460"/>
      <c r="H11" s="460"/>
      <c r="I11" s="460"/>
    </row>
    <row r="12" spans="1:9" ht="9.75" customHeight="1">
      <c r="A12" s="87" t="s">
        <v>122</v>
      </c>
      <c r="B12" s="88"/>
      <c r="C12" s="105" t="s">
        <v>181</v>
      </c>
      <c r="D12" s="460">
        <f>'Load Inputs'!D13+'Load Inputs'!D18</f>
        <v>4413.076</v>
      </c>
      <c r="E12" s="460">
        <f>'Load Inputs'!E13+'Load Inputs'!E18</f>
        <v>4859.725</v>
      </c>
      <c r="F12" s="460">
        <f>'Load Inputs'!F13+'Load Inputs'!F18</f>
        <v>4946.491</v>
      </c>
      <c r="G12" s="460"/>
      <c r="H12" s="460"/>
      <c r="I12" s="460"/>
    </row>
    <row r="13" spans="1:9" ht="9.75" customHeight="1">
      <c r="A13" s="90" t="s">
        <v>123</v>
      </c>
      <c r="B13" s="354"/>
      <c r="C13" s="110" t="s">
        <v>141</v>
      </c>
      <c r="D13" s="460">
        <f>'Load Inputs'!D14+'Load Inputs'!D19</f>
        <v>1722675.935</v>
      </c>
      <c r="E13" s="460">
        <f>'Load Inputs'!E14+'Load Inputs'!E19</f>
        <v>1688983.0150000001</v>
      </c>
      <c r="F13" s="460">
        <f>'Load Inputs'!F14+'Load Inputs'!F19</f>
        <v>1929842.767</v>
      </c>
      <c r="G13" s="460"/>
      <c r="H13" s="460"/>
      <c r="I13" s="460"/>
    </row>
    <row r="14" spans="1:17" ht="9.75" customHeight="1">
      <c r="A14" s="20" t="s">
        <v>179</v>
      </c>
      <c r="B14" s="245"/>
      <c r="C14" s="251"/>
      <c r="D14" s="316"/>
      <c r="E14" s="316"/>
      <c r="F14" s="316"/>
      <c r="G14" s="316"/>
      <c r="H14" s="316"/>
      <c r="I14" s="316"/>
      <c r="K14" s="79"/>
      <c r="L14" s="79"/>
      <c r="M14" s="79"/>
      <c r="N14" s="79"/>
      <c r="O14" s="79"/>
      <c r="P14" s="79"/>
      <c r="Q14" s="79"/>
    </row>
    <row r="15" spans="1:9" ht="9.75" customHeight="1">
      <c r="A15" s="22" t="s">
        <v>120</v>
      </c>
      <c r="B15" s="247"/>
      <c r="C15" s="287" t="s">
        <v>137</v>
      </c>
      <c r="D15" s="288">
        <f>'Load Inputs'!D34</f>
        <v>28266</v>
      </c>
      <c r="E15" s="288">
        <f>'Load Inputs'!E34</f>
        <v>26624</v>
      </c>
      <c r="F15" s="288">
        <f>'Load Inputs'!F34</f>
        <v>26624</v>
      </c>
      <c r="G15" s="288"/>
      <c r="H15" s="288"/>
      <c r="I15" s="288"/>
    </row>
    <row r="16" spans="1:12" ht="9.75" customHeight="1">
      <c r="A16" s="22" t="s">
        <v>121</v>
      </c>
      <c r="B16" s="247"/>
      <c r="C16" s="287" t="s">
        <v>137</v>
      </c>
      <c r="D16" s="288">
        <f>'Load Inputs'!D35</f>
        <v>20167</v>
      </c>
      <c r="E16" s="288">
        <f>'Load Inputs'!E35</f>
        <v>19152</v>
      </c>
      <c r="F16" s="288">
        <f>'Load Inputs'!F35</f>
        <v>20664</v>
      </c>
      <c r="G16" s="288"/>
      <c r="H16" s="288"/>
      <c r="I16" s="288"/>
      <c r="L16" s="317"/>
    </row>
    <row r="17" spans="1:9" ht="9.75" customHeight="1">
      <c r="A17" s="152" t="s">
        <v>122</v>
      </c>
      <c r="B17" s="249"/>
      <c r="C17" s="318" t="s">
        <v>181</v>
      </c>
      <c r="D17" s="288">
        <f>'Load Inputs'!D36</f>
        <v>68</v>
      </c>
      <c r="E17" s="288">
        <f>'Load Inputs'!E36</f>
        <v>64</v>
      </c>
      <c r="F17" s="288">
        <f>'Load Inputs'!F36</f>
        <v>64</v>
      </c>
      <c r="G17" s="288"/>
      <c r="H17" s="288"/>
      <c r="I17" s="288"/>
    </row>
    <row r="18" spans="1:9" ht="9.75" customHeight="1">
      <c r="A18" s="382" t="s">
        <v>180</v>
      </c>
      <c r="B18" s="350"/>
      <c r="C18" s="434"/>
      <c r="D18" s="504"/>
      <c r="E18" s="504"/>
      <c r="F18" s="504"/>
      <c r="G18" s="504"/>
      <c r="H18" s="504"/>
      <c r="I18" s="504"/>
    </row>
    <row r="19" spans="1:9" ht="9.75" customHeight="1">
      <c r="A19" s="34" t="s">
        <v>120</v>
      </c>
      <c r="B19" s="351"/>
      <c r="C19" s="505" t="s">
        <v>137</v>
      </c>
      <c r="D19" s="506">
        <f>'Load Inputs'!D42</f>
        <v>151200</v>
      </c>
      <c r="E19" s="506">
        <f>'Load Inputs'!E42</f>
        <v>145600</v>
      </c>
      <c r="F19" s="506">
        <f>'Load Inputs'!F42</f>
        <v>145600</v>
      </c>
      <c r="G19" s="506"/>
      <c r="H19" s="506"/>
      <c r="I19" s="506"/>
    </row>
    <row r="20" spans="1:9" ht="9.75" customHeight="1">
      <c r="A20" s="34" t="s">
        <v>121</v>
      </c>
      <c r="B20" s="351"/>
      <c r="C20" s="505" t="s">
        <v>137</v>
      </c>
      <c r="D20" s="506">
        <f>'Load Inputs'!D43</f>
        <v>109550</v>
      </c>
      <c r="E20" s="506">
        <f>'Load Inputs'!E43</f>
        <v>106400</v>
      </c>
      <c r="F20" s="506">
        <f>'Load Inputs'!F43</f>
        <v>114800</v>
      </c>
      <c r="G20" s="506"/>
      <c r="H20" s="506"/>
      <c r="I20" s="506"/>
    </row>
    <row r="21" spans="1:9" ht="9.75" customHeight="1">
      <c r="A21" s="352" t="s">
        <v>122</v>
      </c>
      <c r="B21" s="353"/>
      <c r="C21" s="507" t="s">
        <v>181</v>
      </c>
      <c r="D21" s="508">
        <f>'Load Inputs'!D44</f>
        <v>350</v>
      </c>
      <c r="E21" s="508">
        <f>'Load Inputs'!E44</f>
        <v>350</v>
      </c>
      <c r="F21" s="508">
        <f>'Load Inputs'!F44</f>
        <v>350</v>
      </c>
      <c r="G21" s="508"/>
      <c r="H21" s="508"/>
      <c r="I21" s="508"/>
    </row>
    <row r="22" spans="1:9" ht="9.75" customHeight="1">
      <c r="A22" s="114" t="s">
        <v>379</v>
      </c>
      <c r="B22" s="102"/>
      <c r="C22" s="430"/>
      <c r="D22" s="459"/>
      <c r="E22" s="459"/>
      <c r="F22" s="459"/>
      <c r="G22" s="459"/>
      <c r="H22" s="459"/>
      <c r="I22" s="459"/>
    </row>
    <row r="23" spans="1:9" ht="9.75" customHeight="1">
      <c r="A23" s="87" t="s">
        <v>120</v>
      </c>
      <c r="B23" s="88"/>
      <c r="C23" s="168" t="s">
        <v>137</v>
      </c>
      <c r="D23" s="460">
        <f>'Load Inputs'!D23+'Load Inputs'!D28</f>
        <v>459562.998</v>
      </c>
      <c r="E23" s="460">
        <f>'Load Inputs'!E23+'Load Inputs'!E28</f>
        <v>504711.528</v>
      </c>
      <c r="F23" s="460">
        <f>'Load Inputs'!F23+'Load Inputs'!F28</f>
        <v>577426.778</v>
      </c>
      <c r="G23" s="460"/>
      <c r="H23" s="460"/>
      <c r="I23" s="460"/>
    </row>
    <row r="24" spans="1:9" ht="9.75" customHeight="1">
      <c r="A24" s="87" t="s">
        <v>121</v>
      </c>
      <c r="B24" s="88"/>
      <c r="C24" s="168" t="s">
        <v>137</v>
      </c>
      <c r="D24" s="460">
        <f>'Load Inputs'!D24+'Load Inputs'!D29</f>
        <v>298007.483</v>
      </c>
      <c r="E24" s="460">
        <f>'Load Inputs'!E24+'Load Inputs'!E29</f>
        <v>330498.351</v>
      </c>
      <c r="F24" s="460">
        <f>'Load Inputs'!F24+'Load Inputs'!F29</f>
        <v>389157.901</v>
      </c>
      <c r="G24" s="460"/>
      <c r="H24" s="460"/>
      <c r="I24" s="460"/>
    </row>
    <row r="25" spans="1:9" ht="9.75" customHeight="1">
      <c r="A25" s="87" t="s">
        <v>122</v>
      </c>
      <c r="B25" s="88"/>
      <c r="C25" s="168" t="s">
        <v>181</v>
      </c>
      <c r="D25" s="460">
        <f>'Load Inputs'!D25+'Load Inputs'!D30</f>
        <v>0</v>
      </c>
      <c r="E25" s="460">
        <f>'Load Inputs'!E25+'Load Inputs'!E30</f>
        <v>0</v>
      </c>
      <c r="F25" s="460">
        <f>'Load Inputs'!F25+'Load Inputs'!F30</f>
        <v>0</v>
      </c>
      <c r="G25" s="460"/>
      <c r="H25" s="460"/>
      <c r="I25" s="460"/>
    </row>
    <row r="26" spans="1:9" ht="9.75" customHeight="1">
      <c r="A26" s="90" t="s">
        <v>123</v>
      </c>
      <c r="B26" s="354"/>
      <c r="C26" s="170" t="s">
        <v>141</v>
      </c>
      <c r="D26" s="461">
        <f>'Load Inputs'!D26+'Load Inputs'!D31</f>
        <v>0</v>
      </c>
      <c r="E26" s="461">
        <f>'Load Inputs'!E26+'Load Inputs'!E31</f>
        <v>0</v>
      </c>
      <c r="F26" s="461">
        <f>'Load Inputs'!F26+'Load Inputs'!F31</f>
        <v>0</v>
      </c>
      <c r="G26" s="461"/>
      <c r="H26" s="461"/>
      <c r="I26" s="461"/>
    </row>
    <row r="27" spans="1:9" s="10" customFormat="1" ht="4.5" customHeight="1">
      <c r="A27" s="540"/>
      <c r="B27" s="94"/>
      <c r="C27" s="93"/>
      <c r="D27" s="95"/>
      <c r="E27" s="95"/>
      <c r="F27" s="95"/>
      <c r="G27" s="95"/>
      <c r="H27" s="95"/>
      <c r="I27" s="95"/>
    </row>
    <row r="28" spans="1:9" s="10" customFormat="1" ht="9.75" customHeight="1">
      <c r="A28" s="8" t="s">
        <v>487</v>
      </c>
      <c r="B28" s="8"/>
      <c r="C28" s="9"/>
      <c r="D28" s="290"/>
      <c r="E28" s="290"/>
      <c r="F28" s="290"/>
      <c r="G28" s="290"/>
      <c r="H28" s="290"/>
      <c r="I28" s="290"/>
    </row>
    <row r="29" spans="1:9" s="10" customFormat="1" ht="4.5" customHeight="1">
      <c r="A29" s="6"/>
      <c r="B29" s="6"/>
      <c r="C29" s="4"/>
      <c r="D29" s="319" t="str">
        <f>'Analysis Parameters'!D6</f>
        <v>Oct</v>
      </c>
      <c r="E29" s="319" t="str">
        <f>'Analysis Parameters'!E6</f>
        <v>Nov</v>
      </c>
      <c r="F29" s="319" t="str">
        <f>'Analysis Parameters'!F6</f>
        <v>Dec</v>
      </c>
      <c r="G29" s="319"/>
      <c r="H29" s="319"/>
      <c r="I29" s="319"/>
    </row>
    <row r="30" spans="1:21" ht="9.75" customHeight="1">
      <c r="A30" s="135" t="s">
        <v>381</v>
      </c>
      <c r="B30" s="383"/>
      <c r="C30" s="433"/>
      <c r="D30" s="509"/>
      <c r="E30" s="509"/>
      <c r="F30" s="509"/>
      <c r="G30" s="510"/>
      <c r="H30" s="510"/>
      <c r="I30" s="510"/>
      <c r="J30" s="320"/>
      <c r="K30" s="320"/>
      <c r="L30" s="320"/>
      <c r="M30" s="320"/>
      <c r="N30" s="320"/>
      <c r="O30" s="320"/>
      <c r="P30" s="320"/>
      <c r="Q30" s="320"/>
      <c r="R30" s="320"/>
      <c r="S30" s="320"/>
      <c r="T30" s="320"/>
      <c r="U30" s="320"/>
    </row>
    <row r="31" spans="1:21" ht="9.75" customHeight="1">
      <c r="A31" s="34"/>
      <c r="B31" s="351" t="s">
        <v>120</v>
      </c>
      <c r="C31" s="435" t="s">
        <v>138</v>
      </c>
      <c r="D31" s="511">
        <f>('120-Day Rule Pre-Purchases'!D17+'120-Day Rule Pre-Purchases'!D18+'120-Day Rule Pre-Purchases'!D31+'120-Day Rule Pre-Purchases'!D32)/'120-Day Rule Pre-Purchases'!D8</f>
        <v>1293</v>
      </c>
      <c r="E31" s="511">
        <f>('120-Day Rule Pre-Purchases'!E17+'120-Day Rule Pre-Purchases'!E18+'120-Day Rule Pre-Purchases'!E31+'120-Day Rule Pre-Purchases'!E32)/'120-Day Rule Pre-Purchases'!E8</f>
        <v>1245.1923076923076</v>
      </c>
      <c r="F31" s="511">
        <f>('120-Day Rule Pre-Purchases'!F17+'120-Day Rule Pre-Purchases'!F18+'120-Day Rule Pre-Purchases'!F31+'120-Day Rule Pre-Purchases'!F32)/'120-Day Rule Pre-Purchases'!F8</f>
        <v>1247.1153846153845</v>
      </c>
      <c r="G31" s="511"/>
      <c r="H31" s="511"/>
      <c r="I31" s="511"/>
      <c r="J31" s="320"/>
      <c r="K31" s="320"/>
      <c r="L31" s="320"/>
      <c r="M31" s="320"/>
      <c r="N31" s="320"/>
      <c r="O31" s="320"/>
      <c r="P31" s="320"/>
      <c r="Q31" s="320"/>
      <c r="R31" s="320"/>
      <c r="S31" s="320"/>
      <c r="T31" s="320"/>
      <c r="U31" s="320"/>
    </row>
    <row r="32" spans="1:21" ht="9.75" customHeight="1">
      <c r="A32" s="352"/>
      <c r="B32" s="353" t="s">
        <v>121</v>
      </c>
      <c r="C32" s="438" t="s">
        <v>138</v>
      </c>
      <c r="D32" s="511">
        <f>('120-Day Rule Pre-Purchases'!D20+'120-Day Rule Pre-Purchases'!D21+'120-Day Rule Pre-Purchases'!D34+'120-Day Rule Pre-Purchases'!D35)/'120-Day Rule Pre-Purchases'!D9</f>
        <v>1272.1999999999998</v>
      </c>
      <c r="E32" s="511">
        <f>('120-Day Rule Pre-Purchases'!E20+'120-Day Rule Pre-Purchases'!E21+'120-Day Rule Pre-Purchases'!E34+'120-Day Rule Pre-Purchases'!E35)/'120-Day Rule Pre-Purchases'!E9</f>
        <v>1343.3684210526317</v>
      </c>
      <c r="F32" s="511">
        <f>('120-Day Rule Pre-Purchases'!F20+'120-Day Rule Pre-Purchases'!F21+'120-Day Rule Pre-Purchases'!F34+'120-Day Rule Pre-Purchases'!F35)/'120-Day Rule Pre-Purchases'!F9</f>
        <v>1340.551219512195</v>
      </c>
      <c r="G32" s="511"/>
      <c r="H32" s="511"/>
      <c r="I32" s="511"/>
      <c r="J32" s="320"/>
      <c r="K32" s="320"/>
      <c r="L32" s="320"/>
      <c r="M32" s="320"/>
      <c r="N32" s="320"/>
      <c r="O32" s="320"/>
      <c r="P32" s="320"/>
      <c r="Q32" s="320"/>
      <c r="R32" s="320"/>
      <c r="S32" s="320"/>
      <c r="T32" s="320"/>
      <c r="U32" s="320"/>
    </row>
    <row r="33" spans="1:21" ht="9.75" customHeight="1">
      <c r="A33" s="135" t="s">
        <v>380</v>
      </c>
      <c r="B33" s="383"/>
      <c r="C33" s="433"/>
      <c r="D33" s="504"/>
      <c r="E33" s="504"/>
      <c r="F33" s="504"/>
      <c r="G33" s="512"/>
      <c r="H33" s="512"/>
      <c r="I33" s="512"/>
      <c r="J33" s="320"/>
      <c r="K33" s="320"/>
      <c r="L33" s="320"/>
      <c r="M33" s="320"/>
      <c r="N33" s="320"/>
      <c r="O33" s="320"/>
      <c r="P33" s="320"/>
      <c r="Q33" s="320"/>
      <c r="R33" s="320"/>
      <c r="S33" s="320"/>
      <c r="T33" s="320"/>
      <c r="U33" s="320"/>
    </row>
    <row r="34" spans="1:21" ht="9.75" customHeight="1">
      <c r="A34" s="34"/>
      <c r="B34" s="351" t="s">
        <v>120</v>
      </c>
      <c r="C34" s="435" t="s">
        <v>138</v>
      </c>
      <c r="D34" s="511">
        <f>('120-Day Rule Pre-Purchases'!D43+'120-Day Rule Pre-Purchases'!D50+'120-Day Rule Pre-Purchases'!D57+'120-Day Rule Pre-Purchases'!D64+'120-Day Rule Pre-Purchases'!D71)/'120-Day Rule Pre-Purchases'!D8</f>
        <v>159</v>
      </c>
      <c r="E34" s="511">
        <f>('120-Day Rule Pre-Purchases'!E43+'120-Day Rule Pre-Purchases'!E50+'120-Day Rule Pre-Purchases'!E57+'120-Day Rule Pre-Purchases'!E64+'120-Day Rule Pre-Purchases'!E71)/'120-Day Rule Pre-Purchases'!E8</f>
        <v>162.5</v>
      </c>
      <c r="F34" s="511">
        <f>('120-Day Rule Pre-Purchases'!F43+'120-Day Rule Pre-Purchases'!F50+'120-Day Rule Pre-Purchases'!F57+'120-Day Rule Pre-Purchases'!F64+'120-Day Rule Pre-Purchases'!F71)/'120-Day Rule Pre-Purchases'!F8</f>
        <v>150</v>
      </c>
      <c r="G34" s="513"/>
      <c r="H34" s="513"/>
      <c r="I34" s="513"/>
      <c r="J34" s="320"/>
      <c r="K34" s="320"/>
      <c r="L34" s="320"/>
      <c r="M34" s="320"/>
      <c r="N34" s="320"/>
      <c r="O34" s="320"/>
      <c r="P34" s="320"/>
      <c r="Q34" s="320"/>
      <c r="R34" s="320"/>
      <c r="S34" s="320"/>
      <c r="T34" s="320"/>
      <c r="U34" s="320"/>
    </row>
    <row r="35" spans="1:9" ht="9.75" customHeight="1">
      <c r="A35" s="352"/>
      <c r="B35" s="353" t="s">
        <v>121</v>
      </c>
      <c r="C35" s="438" t="s">
        <v>138</v>
      </c>
      <c r="D35" s="514">
        <f>('120-Day Rule Pre-Purchases'!D44+'120-Day Rule Pre-Purchases'!D51+'120-Day Rule Pre-Purchases'!D58+'120-Day Rule Pre-Purchases'!D65+'120-Day Rule Pre-Purchases'!D72)/'120-Day Rule Pre-Purchases'!D9</f>
        <v>237</v>
      </c>
      <c r="E35" s="514">
        <f>('120-Day Rule Pre-Purchases'!E44+'120-Day Rule Pre-Purchases'!E51+'120-Day Rule Pre-Purchases'!E58+'120-Day Rule Pre-Purchases'!E65+'120-Day Rule Pre-Purchases'!E72)/'120-Day Rule Pre-Purchases'!E9</f>
        <v>260</v>
      </c>
      <c r="F35" s="514">
        <f>('120-Day Rule Pre-Purchases'!F44+'120-Day Rule Pre-Purchases'!F51+'120-Day Rule Pre-Purchases'!F58+'120-Day Rule Pre-Purchases'!F65+'120-Day Rule Pre-Purchases'!F72)/'120-Day Rule Pre-Purchases'!F9</f>
        <v>245.41463414634146</v>
      </c>
      <c r="G35" s="514"/>
      <c r="H35" s="514"/>
      <c r="I35" s="514"/>
    </row>
    <row r="36" spans="1:9" ht="9.75" customHeight="1">
      <c r="A36" s="135" t="s">
        <v>262</v>
      </c>
      <c r="B36" s="383"/>
      <c r="C36" s="433"/>
      <c r="D36" s="506"/>
      <c r="E36" s="506"/>
      <c r="F36" s="506"/>
      <c r="G36" s="506"/>
      <c r="H36" s="506"/>
      <c r="I36" s="506"/>
    </row>
    <row r="37" spans="1:9" ht="9.75" customHeight="1">
      <c r="A37" s="34"/>
      <c r="B37" s="351" t="s">
        <v>120</v>
      </c>
      <c r="C37" s="435" t="s">
        <v>138</v>
      </c>
      <c r="D37" s="506">
        <f aca="true" t="shared" si="0" ref="D37:F38">D31+D34</f>
        <v>1452</v>
      </c>
      <c r="E37" s="506">
        <f t="shared" si="0"/>
        <v>1407.6923076923076</v>
      </c>
      <c r="F37" s="506">
        <f t="shared" si="0"/>
        <v>1397.1153846153845</v>
      </c>
      <c r="G37" s="506"/>
      <c r="H37" s="506"/>
      <c r="I37" s="506"/>
    </row>
    <row r="38" spans="1:9" ht="9.75" customHeight="1">
      <c r="A38" s="34"/>
      <c r="B38" s="353" t="s">
        <v>121</v>
      </c>
      <c r="C38" s="438" t="s">
        <v>138</v>
      </c>
      <c r="D38" s="506">
        <f t="shared" si="0"/>
        <v>1509.1999999999998</v>
      </c>
      <c r="E38" s="506">
        <f t="shared" si="0"/>
        <v>1603.3684210526317</v>
      </c>
      <c r="F38" s="506">
        <f t="shared" si="0"/>
        <v>1585.9658536585366</v>
      </c>
      <c r="G38" s="506"/>
      <c r="H38" s="506"/>
      <c r="I38" s="506"/>
    </row>
    <row r="39" spans="1:9" ht="9.75" customHeight="1">
      <c r="A39" s="147" t="s">
        <v>457</v>
      </c>
      <c r="B39" s="292"/>
      <c r="C39" s="246"/>
      <c r="D39" s="515"/>
      <c r="E39" s="515"/>
      <c r="F39" s="515"/>
      <c r="G39" s="515"/>
      <c r="H39" s="515"/>
      <c r="I39" s="515"/>
    </row>
    <row r="40" spans="1:9" ht="9.75" customHeight="1">
      <c r="A40" s="22"/>
      <c r="B40" s="247" t="s">
        <v>120</v>
      </c>
      <c r="C40" s="248" t="s">
        <v>139</v>
      </c>
      <c r="D40" s="516">
        <f>'120-Day Rule Pre-Purchases'!D25+'120-Day Rule Pre-Purchases'!D37+'120-Day Rule Pre-Purchases'!D23</f>
        <v>26858903.89921713</v>
      </c>
      <c r="E40" s="516">
        <f>'120-Day Rule Pre-Purchases'!E25+'120-Day Rule Pre-Purchases'!E37+'120-Day Rule Pre-Purchases'!E23</f>
        <v>23222187.46223808</v>
      </c>
      <c r="F40" s="516">
        <f>'120-Day Rule Pre-Purchases'!F25+'120-Day Rule Pre-Purchases'!F37+'120-Day Rule Pre-Purchases'!F23</f>
        <v>24950331.46223808</v>
      </c>
      <c r="G40" s="516"/>
      <c r="H40" s="516"/>
      <c r="I40" s="516"/>
    </row>
    <row r="41" spans="1:9" ht="9.75" customHeight="1">
      <c r="A41" s="152"/>
      <c r="B41" s="249" t="s">
        <v>121</v>
      </c>
      <c r="C41" s="250" t="s">
        <v>139</v>
      </c>
      <c r="D41" s="516">
        <f>'120-Day Rule Pre-Purchases'!D26+'120-Day Rule Pre-Purchases'!D38+'120-Day Rule Pre-Purchases'!D24</f>
        <v>18303704.975201298</v>
      </c>
      <c r="E41" s="516">
        <f>'120-Day Rule Pre-Purchases'!E26+'120-Day Rule Pre-Purchases'!E38+'120-Day Rule Pre-Purchases'!E24</f>
        <v>17407347.409790464</v>
      </c>
      <c r="F41" s="516">
        <f>'120-Day Rule Pre-Purchases'!F26+'120-Day Rule Pre-Purchases'!F38+'120-Day Rule Pre-Purchases'!F24</f>
        <v>20189917.50552475</v>
      </c>
      <c r="G41" s="516"/>
      <c r="H41" s="516"/>
      <c r="I41" s="516"/>
    </row>
    <row r="42" spans="1:9" ht="9.75" customHeight="1">
      <c r="A42" s="147" t="s">
        <v>458</v>
      </c>
      <c r="B42" s="292"/>
      <c r="C42" s="246"/>
      <c r="D42" s="316"/>
      <c r="E42" s="316"/>
      <c r="F42" s="316"/>
      <c r="G42" s="316"/>
      <c r="H42" s="316"/>
      <c r="I42" s="316"/>
    </row>
    <row r="43" spans="1:9" ht="9.75" customHeight="1">
      <c r="A43" s="22"/>
      <c r="B43" s="247" t="s">
        <v>120</v>
      </c>
      <c r="C43" s="248" t="s">
        <v>139</v>
      </c>
      <c r="D43" s="517">
        <f>'120-Day Rule Pre-Purchases'!D46+'120-Day Rule Pre-Purchases'!D53+'120-Day Rule Pre-Purchases'!D60+'120-Day Rule Pre-Purchases'!D67+'120-Day Rule Pre-Purchases'!D74</f>
        <v>1507360.32</v>
      </c>
      <c r="E43" s="517">
        <f>'120-Day Rule Pre-Purchases'!E46+'120-Day Rule Pre-Purchases'!E53+'120-Day Rule Pre-Purchases'!E60+'120-Day Rule Pre-Purchases'!E67+'120-Day Rule Pre-Purchases'!E74</f>
        <v>1475704</v>
      </c>
      <c r="F43" s="517">
        <f>'120-Day Rule Pre-Purchases'!F46+'120-Day Rule Pre-Purchases'!F53+'120-Day Rule Pre-Purchases'!F60+'120-Day Rule Pre-Purchases'!F67+'120-Day Rule Pre-Purchases'!F74</f>
        <v>1371704</v>
      </c>
      <c r="G43" s="517"/>
      <c r="H43" s="517"/>
      <c r="I43" s="517"/>
    </row>
    <row r="44" spans="1:9" ht="9.75" customHeight="1">
      <c r="A44" s="152"/>
      <c r="B44" s="249" t="s">
        <v>121</v>
      </c>
      <c r="C44" s="250" t="s">
        <v>139</v>
      </c>
      <c r="D44" s="517">
        <f>'120-Day Rule Pre-Purchases'!D47+'120-Day Rule Pre-Purchases'!D54+'120-Day Rule Pre-Purchases'!D61+'120-Day Rule Pre-Purchases'!D68+'120-Day Rule Pre-Purchases'!D75</f>
        <v>1385106.38</v>
      </c>
      <c r="E44" s="517">
        <f>'120-Day Rule Pre-Purchases'!E47+'120-Day Rule Pre-Purchases'!E54+'120-Day Rule Pre-Purchases'!E61+'120-Day Rule Pre-Purchases'!E68+'120-Day Rule Pre-Purchases'!E75</f>
        <v>1480083.2</v>
      </c>
      <c r="F44" s="517">
        <f>'120-Day Rule Pre-Purchases'!F47+'120-Day Rule Pre-Purchases'!F54+'120-Day Rule Pre-Purchases'!F61+'120-Day Rule Pre-Purchases'!F68+'120-Day Rule Pre-Purchases'!F75</f>
        <v>1501649.44</v>
      </c>
      <c r="G44" s="517"/>
      <c r="H44" s="517"/>
      <c r="I44" s="517"/>
    </row>
    <row r="45" spans="1:9" ht="9.75" customHeight="1">
      <c r="A45" s="147" t="s">
        <v>459</v>
      </c>
      <c r="B45" s="292"/>
      <c r="C45" s="246"/>
      <c r="D45" s="316"/>
      <c r="E45" s="316"/>
      <c r="F45" s="316"/>
      <c r="G45" s="316"/>
      <c r="H45" s="316"/>
      <c r="I45" s="316"/>
    </row>
    <row r="46" spans="1:9" ht="9.75" customHeight="1">
      <c r="A46" s="22"/>
      <c r="B46" s="247" t="s">
        <v>120</v>
      </c>
      <c r="C46" s="248" t="s">
        <v>139</v>
      </c>
      <c r="D46" s="288">
        <f aca="true" t="shared" si="1" ref="D46:F47">D40+D43</f>
        <v>28366264.21921713</v>
      </c>
      <c r="E46" s="288">
        <f t="shared" si="1"/>
        <v>24697891.46223808</v>
      </c>
      <c r="F46" s="288">
        <f t="shared" si="1"/>
        <v>26322035.46223808</v>
      </c>
      <c r="G46" s="288"/>
      <c r="H46" s="288"/>
      <c r="I46" s="288"/>
    </row>
    <row r="47" spans="1:9" ht="9.75" customHeight="1">
      <c r="A47" s="152"/>
      <c r="B47" s="249" t="s">
        <v>121</v>
      </c>
      <c r="C47" s="250" t="s">
        <v>139</v>
      </c>
      <c r="D47" s="518">
        <f t="shared" si="1"/>
        <v>19688811.355201297</v>
      </c>
      <c r="E47" s="518">
        <f t="shared" si="1"/>
        <v>18887430.609790463</v>
      </c>
      <c r="F47" s="518">
        <f t="shared" si="1"/>
        <v>21691566.945524752</v>
      </c>
      <c r="G47" s="518"/>
      <c r="H47" s="518"/>
      <c r="I47" s="518"/>
    </row>
    <row r="48" spans="1:9" ht="9.75" customHeight="1">
      <c r="A48" s="147" t="s">
        <v>382</v>
      </c>
      <c r="B48" s="292"/>
      <c r="C48" s="246"/>
      <c r="D48" s="316"/>
      <c r="E48" s="316"/>
      <c r="F48" s="316"/>
      <c r="G48" s="316"/>
      <c r="H48" s="316"/>
      <c r="I48" s="316"/>
    </row>
    <row r="49" spans="1:9" ht="9.75" customHeight="1">
      <c r="A49" s="22"/>
      <c r="B49" s="247" t="s">
        <v>120</v>
      </c>
      <c r="C49" s="248" t="s">
        <v>139</v>
      </c>
      <c r="D49" s="288">
        <f>'Analysis Parameters'!D65</f>
        <v>1954794.114574463</v>
      </c>
      <c r="E49" s="288">
        <f>'Analysis Parameters'!E65</f>
        <v>2300355.467236246</v>
      </c>
      <c r="F49" s="288">
        <f>'Analysis Parameters'!F65</f>
        <v>2175530.5578858363</v>
      </c>
      <c r="G49" s="288"/>
      <c r="H49" s="288"/>
      <c r="I49" s="288"/>
    </row>
    <row r="50" spans="1:9" ht="9.75" customHeight="1">
      <c r="A50" s="152"/>
      <c r="B50" s="249" t="s">
        <v>121</v>
      </c>
      <c r="C50" s="250" t="s">
        <v>139</v>
      </c>
      <c r="D50" s="518">
        <f>'Analysis Parameters'!D66</f>
        <v>1606382.9373992626</v>
      </c>
      <c r="E50" s="518">
        <f>'Analysis Parameters'!E66</f>
        <v>2240083.939304832</v>
      </c>
      <c r="F50" s="518">
        <f>'Analysis Parameters'!F66</f>
        <v>2262710.9966700813</v>
      </c>
      <c r="G50" s="518"/>
      <c r="H50" s="518"/>
      <c r="I50" s="518"/>
    </row>
    <row r="51" spans="1:9" ht="9.75" customHeight="1">
      <c r="A51" s="147" t="s">
        <v>383</v>
      </c>
      <c r="B51" s="292"/>
      <c r="C51" s="246"/>
      <c r="D51" s="288"/>
      <c r="E51" s="288"/>
      <c r="F51" s="288"/>
      <c r="G51" s="288"/>
      <c r="H51" s="288"/>
      <c r="I51" s="288"/>
    </row>
    <row r="52" spans="1:9" ht="9.75" customHeight="1">
      <c r="A52" s="22"/>
      <c r="B52" s="247" t="s">
        <v>120</v>
      </c>
      <c r="C52" s="248" t="s">
        <v>139</v>
      </c>
      <c r="D52" s="288">
        <f aca="true" t="shared" si="2" ref="D52:F53">D46+D49</f>
        <v>30321058.33379159</v>
      </c>
      <c r="E52" s="288">
        <f t="shared" si="2"/>
        <v>26998246.929474328</v>
      </c>
      <c r="F52" s="288">
        <f t="shared" si="2"/>
        <v>28497566.020123918</v>
      </c>
      <c r="G52" s="288"/>
      <c r="H52" s="288"/>
      <c r="I52" s="288"/>
    </row>
    <row r="53" spans="1:9" ht="9.75" customHeight="1">
      <c r="A53" s="152"/>
      <c r="B53" s="249" t="s">
        <v>121</v>
      </c>
      <c r="C53" s="250" t="s">
        <v>139</v>
      </c>
      <c r="D53" s="518">
        <f t="shared" si="2"/>
        <v>21295194.292600557</v>
      </c>
      <c r="E53" s="518">
        <f t="shared" si="2"/>
        <v>21127514.549095295</v>
      </c>
      <c r="F53" s="518">
        <f t="shared" si="2"/>
        <v>23954277.942194834</v>
      </c>
      <c r="G53" s="518"/>
      <c r="H53" s="518"/>
      <c r="I53" s="518"/>
    </row>
    <row r="54" spans="1:9" s="10" customFormat="1" ht="4.5" customHeight="1">
      <c r="A54" s="94"/>
      <c r="B54" s="94"/>
      <c r="C54" s="93"/>
      <c r="D54" s="95"/>
      <c r="E54" s="95"/>
      <c r="F54" s="95"/>
      <c r="G54" s="95"/>
      <c r="H54" s="95"/>
      <c r="I54" s="95"/>
    </row>
    <row r="55" spans="1:9" s="10" customFormat="1" ht="9.75" customHeight="1">
      <c r="A55" s="8" t="s">
        <v>486</v>
      </c>
      <c r="B55" s="8"/>
      <c r="C55" s="9"/>
      <c r="D55" s="290"/>
      <c r="E55" s="290"/>
      <c r="F55" s="290"/>
      <c r="G55" s="290"/>
      <c r="H55" s="290"/>
      <c r="I55" s="290"/>
    </row>
    <row r="56" spans="1:9" s="10" customFormat="1" ht="4.5" customHeight="1">
      <c r="A56" s="6"/>
      <c r="B56" s="6"/>
      <c r="C56" s="4"/>
      <c r="D56" s="319"/>
      <c r="E56" s="319"/>
      <c r="F56" s="319"/>
      <c r="G56" s="319"/>
      <c r="H56" s="319"/>
      <c r="I56" s="319"/>
    </row>
    <row r="57" spans="1:21" ht="9.75" customHeight="1">
      <c r="A57" s="135" t="s">
        <v>384</v>
      </c>
      <c r="B57" s="383"/>
      <c r="C57" s="433"/>
      <c r="D57" s="509"/>
      <c r="E57" s="509"/>
      <c r="F57" s="509"/>
      <c r="G57" s="510"/>
      <c r="H57" s="510"/>
      <c r="I57" s="510"/>
      <c r="J57" s="320"/>
      <c r="K57" s="320"/>
      <c r="L57" s="320"/>
      <c r="M57" s="320"/>
      <c r="N57" s="320"/>
      <c r="O57" s="320"/>
      <c r="P57" s="320"/>
      <c r="Q57" s="320"/>
      <c r="R57" s="320"/>
      <c r="S57" s="320"/>
      <c r="T57" s="320"/>
      <c r="U57" s="320"/>
    </row>
    <row r="58" spans="1:21" ht="9.75" customHeight="1">
      <c r="A58" s="34"/>
      <c r="B58" s="351" t="s">
        <v>120</v>
      </c>
      <c r="C58" s="435" t="s">
        <v>138</v>
      </c>
      <c r="D58" s="511">
        <f>('0-Day Rule Pre-Purchases'!D16+'0-Day Rule Pre-Purchases'!D17+'0-Day Rule Pre-Purchases'!D30+'0-Day Rule Pre-Purchases'!D31)/'0-Day Rule Pre-Purchases'!D7</f>
        <v>1346.1319444444443</v>
      </c>
      <c r="E58" s="511">
        <f>('0-Day Rule Pre-Purchases'!E16+'0-Day Rule Pre-Purchases'!E17+'0-Day Rule Pre-Purchases'!E30+'0-Day Rule Pre-Purchases'!E31)/'0-Day Rule Pre-Purchases'!E7</f>
        <v>1363.5697115384614</v>
      </c>
      <c r="F58" s="511">
        <f>('0-Day Rule Pre-Purchases'!F16+'0-Day Rule Pre-Purchases'!F17+'0-Day Rule Pre-Purchases'!F30+'0-Day Rule Pre-Purchases'!F31)/'0-Day Rule Pre-Purchases'!F7</f>
        <v>1365.4927884615386</v>
      </c>
      <c r="G58" s="511"/>
      <c r="H58" s="511"/>
      <c r="I58" s="511"/>
      <c r="J58" s="320"/>
      <c r="K58" s="320"/>
      <c r="L58" s="320"/>
      <c r="M58" s="320"/>
      <c r="N58" s="320"/>
      <c r="O58" s="320"/>
      <c r="P58" s="320"/>
      <c r="Q58" s="320"/>
      <c r="R58" s="320"/>
      <c r="S58" s="320"/>
      <c r="T58" s="320"/>
      <c r="U58" s="320"/>
    </row>
    <row r="59" spans="1:21" ht="9.75" customHeight="1">
      <c r="A59" s="352"/>
      <c r="B59" s="353" t="s">
        <v>121</v>
      </c>
      <c r="C59" s="438" t="s">
        <v>138</v>
      </c>
      <c r="D59" s="511">
        <f>('0-Day Rule Pre-Purchases'!D19+'0-Day Rule Pre-Purchases'!D20+'0-Day Rule Pre-Purchases'!D33+'0-Day Rule Pre-Purchases'!D34)/'0-Day Rule Pre-Purchases'!D8</f>
        <v>1327.1424920127795</v>
      </c>
      <c r="E59" s="511">
        <f>('0-Day Rule Pre-Purchases'!E19+'0-Day Rule Pre-Purchases'!E20+'0-Day Rule Pre-Purchases'!E33+'0-Day Rule Pre-Purchases'!E34)/'0-Day Rule Pre-Purchases'!E8</f>
        <v>1464.733552631579</v>
      </c>
      <c r="F59" s="511">
        <f>('0-Day Rule Pre-Purchases'!F19+'0-Day Rule Pre-Purchases'!F20+'0-Day Rule Pre-Purchases'!F33+'0-Day Rule Pre-Purchases'!F34)/'0-Day Rule Pre-Purchases'!F8</f>
        <v>1453.035975609756</v>
      </c>
      <c r="G59" s="511"/>
      <c r="H59" s="511"/>
      <c r="I59" s="511"/>
      <c r="J59" s="320"/>
      <c r="K59" s="320"/>
      <c r="L59" s="320"/>
      <c r="M59" s="320"/>
      <c r="N59" s="320"/>
      <c r="O59" s="320"/>
      <c r="P59" s="320"/>
      <c r="Q59" s="320"/>
      <c r="R59" s="320"/>
      <c r="S59" s="320"/>
      <c r="T59" s="320"/>
      <c r="U59" s="320"/>
    </row>
    <row r="60" spans="1:21" ht="9.75" customHeight="1">
      <c r="A60" s="135" t="s">
        <v>385</v>
      </c>
      <c r="B60" s="383"/>
      <c r="C60" s="433"/>
      <c r="D60" s="504"/>
      <c r="E60" s="504"/>
      <c r="F60" s="504"/>
      <c r="G60" s="512"/>
      <c r="H60" s="512"/>
      <c r="I60" s="512"/>
      <c r="J60" s="320"/>
      <c r="K60" s="320"/>
      <c r="L60" s="320"/>
      <c r="M60" s="320"/>
      <c r="N60" s="320"/>
      <c r="O60" s="320"/>
      <c r="P60" s="320"/>
      <c r="Q60" s="320"/>
      <c r="R60" s="320"/>
      <c r="S60" s="320"/>
      <c r="T60" s="320"/>
      <c r="U60" s="320"/>
    </row>
    <row r="61" spans="1:21" ht="9.75" customHeight="1">
      <c r="A61" s="34"/>
      <c r="B61" s="351" t="s">
        <v>120</v>
      </c>
      <c r="C61" s="435" t="s">
        <v>138</v>
      </c>
      <c r="D61" s="511">
        <f>('0-Day Rule Pre-Purchases'!D42+'0-Day Rule Pre-Purchases'!D49+'0-Day Rule Pre-Purchases'!D56+'0-Day Rule Pre-Purchases'!D63+'0-Day Rule Pre-Purchases'!D70)/'0-Day Rule Pre-Purchases'!D7</f>
        <v>159</v>
      </c>
      <c r="E61" s="511">
        <f>('0-Day Rule Pre-Purchases'!E42+'0-Day Rule Pre-Purchases'!E49+'0-Day Rule Pre-Purchases'!E56+'0-Day Rule Pre-Purchases'!E63+'0-Day Rule Pre-Purchases'!E70)/'0-Day Rule Pre-Purchases'!E7</f>
        <v>162.5</v>
      </c>
      <c r="F61" s="511">
        <f>('0-Day Rule Pre-Purchases'!F42+'0-Day Rule Pre-Purchases'!F49+'0-Day Rule Pre-Purchases'!F56+'0-Day Rule Pre-Purchases'!F63+'0-Day Rule Pre-Purchases'!F70)/'0-Day Rule Pre-Purchases'!F7</f>
        <v>150</v>
      </c>
      <c r="G61" s="513"/>
      <c r="H61" s="513"/>
      <c r="I61" s="513"/>
      <c r="J61" s="320"/>
      <c r="K61" s="320"/>
      <c r="L61" s="320"/>
      <c r="M61" s="320"/>
      <c r="N61" s="320"/>
      <c r="O61" s="320"/>
      <c r="P61" s="320"/>
      <c r="Q61" s="320"/>
      <c r="R61" s="320"/>
      <c r="S61" s="320"/>
      <c r="T61" s="320"/>
      <c r="U61" s="320"/>
    </row>
    <row r="62" spans="1:9" ht="9.75" customHeight="1">
      <c r="A62" s="352"/>
      <c r="B62" s="353" t="s">
        <v>121</v>
      </c>
      <c r="C62" s="438" t="s">
        <v>138</v>
      </c>
      <c r="D62" s="514">
        <f>('0-Day Rule Pre-Purchases'!D43+'0-Day Rule Pre-Purchases'!D50+'0-Day Rule Pre-Purchases'!D57+'0-Day Rule Pre-Purchases'!D64+'0-Day Rule Pre-Purchases'!D71)/'0-Day Rule Pre-Purchases'!D8</f>
        <v>237</v>
      </c>
      <c r="E62" s="514">
        <f>('0-Day Rule Pre-Purchases'!E43+'0-Day Rule Pre-Purchases'!E50+'0-Day Rule Pre-Purchases'!E57+'0-Day Rule Pre-Purchases'!E64+'0-Day Rule Pre-Purchases'!E71)/'0-Day Rule Pre-Purchases'!E8</f>
        <v>260</v>
      </c>
      <c r="F62" s="514">
        <f>('0-Day Rule Pre-Purchases'!F43+'0-Day Rule Pre-Purchases'!F50+'0-Day Rule Pre-Purchases'!F57+'0-Day Rule Pre-Purchases'!F64+'0-Day Rule Pre-Purchases'!F71)/'0-Day Rule Pre-Purchases'!F8</f>
        <v>245.41463414634146</v>
      </c>
      <c r="G62" s="519"/>
      <c r="H62" s="519"/>
      <c r="I62" s="519"/>
    </row>
    <row r="63" spans="1:9" ht="9.75" customHeight="1">
      <c r="A63" s="135" t="s">
        <v>157</v>
      </c>
      <c r="B63" s="383"/>
      <c r="C63" s="433"/>
      <c r="D63" s="506"/>
      <c r="E63" s="506"/>
      <c r="F63" s="506"/>
      <c r="G63" s="506"/>
      <c r="H63" s="506"/>
      <c r="I63" s="506"/>
    </row>
    <row r="64" spans="1:9" ht="9.75" customHeight="1">
      <c r="A64" s="34"/>
      <c r="B64" s="351" t="s">
        <v>120</v>
      </c>
      <c r="C64" s="435" t="s">
        <v>138</v>
      </c>
      <c r="D64" s="506">
        <f aca="true" t="shared" si="3" ref="D64:F65">D58+D61</f>
        <v>1505.1319444444443</v>
      </c>
      <c r="E64" s="506">
        <f t="shared" si="3"/>
        <v>1526.0697115384614</v>
      </c>
      <c r="F64" s="506">
        <f t="shared" si="3"/>
        <v>1515.4927884615386</v>
      </c>
      <c r="G64" s="506"/>
      <c r="H64" s="506"/>
      <c r="I64" s="506"/>
    </row>
    <row r="65" spans="1:9" ht="9.75" customHeight="1">
      <c r="A65" s="34"/>
      <c r="B65" s="353" t="s">
        <v>121</v>
      </c>
      <c r="C65" s="438" t="s">
        <v>138</v>
      </c>
      <c r="D65" s="506">
        <f t="shared" si="3"/>
        <v>1564.1424920127795</v>
      </c>
      <c r="E65" s="506">
        <f t="shared" si="3"/>
        <v>1724.733552631579</v>
      </c>
      <c r="F65" s="506">
        <f t="shared" si="3"/>
        <v>1698.4506097560975</v>
      </c>
      <c r="G65" s="506"/>
      <c r="H65" s="506"/>
      <c r="I65" s="506"/>
    </row>
    <row r="66" spans="1:9" ht="9.75" customHeight="1">
      <c r="A66" s="147" t="s">
        <v>457</v>
      </c>
      <c r="B66" s="292"/>
      <c r="C66" s="246"/>
      <c r="D66" s="515"/>
      <c r="E66" s="515"/>
      <c r="F66" s="515"/>
      <c r="G66" s="515"/>
      <c r="H66" s="515"/>
      <c r="I66" s="515"/>
    </row>
    <row r="67" spans="1:9" ht="9.75" customHeight="1">
      <c r="A67" s="22"/>
      <c r="B67" s="247" t="s">
        <v>120</v>
      </c>
      <c r="C67" s="248" t="s">
        <v>139</v>
      </c>
      <c r="D67" s="516">
        <f>'0-Day Rule Pre-Purchases'!D22+'0-Day Rule Pre-Purchases'!D24+'0-Day Rule Pre-Purchases'!D36</f>
        <v>27731130.89921713</v>
      </c>
      <c r="E67" s="516">
        <f>'0-Day Rule Pre-Purchases'!E22+'0-Day Rule Pre-Purchases'!E24+'0-Day Rule Pre-Purchases'!E36</f>
        <v>25093510.46223808</v>
      </c>
      <c r="F67" s="516">
        <f>'0-Day Rule Pre-Purchases'!F22+'0-Day Rule Pre-Purchases'!F24+'0-Day Rule Pre-Purchases'!F36</f>
        <v>26821654.46223808</v>
      </c>
      <c r="G67" s="516"/>
      <c r="H67" s="516"/>
      <c r="I67" s="516"/>
    </row>
    <row r="68" spans="1:9" ht="9.75" customHeight="1">
      <c r="A68" s="152"/>
      <c r="B68" s="249" t="s">
        <v>121</v>
      </c>
      <c r="C68" s="250" t="s">
        <v>139</v>
      </c>
      <c r="D68" s="516">
        <f>'0-Day Rule Pre-Purchases'!D23+'0-Day Rule Pre-Purchases'!D25+'0-Day Rule Pre-Purchases'!D37</f>
        <v>18957177.975201298</v>
      </c>
      <c r="E68" s="516">
        <f>'0-Day Rule Pre-Purchases'!E23+'0-Day Rule Pre-Purchases'!E25+'0-Day Rule Pre-Purchases'!E37</f>
        <v>18809344.409790464</v>
      </c>
      <c r="F68" s="516">
        <f>'0-Day Rule Pre-Purchases'!F23+'0-Day Rule Pre-Purchases'!F25+'0-Day Rule Pre-Purchases'!F37</f>
        <v>21591914.50552475</v>
      </c>
      <c r="G68" s="516"/>
      <c r="H68" s="516"/>
      <c r="I68" s="516"/>
    </row>
    <row r="69" spans="1:9" ht="9.75" customHeight="1">
      <c r="A69" s="147" t="s">
        <v>458</v>
      </c>
      <c r="B69" s="292"/>
      <c r="C69" s="246"/>
      <c r="D69" s="316"/>
      <c r="E69" s="316"/>
      <c r="F69" s="316"/>
      <c r="G69" s="316"/>
      <c r="H69" s="316"/>
      <c r="I69" s="316"/>
    </row>
    <row r="70" spans="1:9" ht="9.75" customHeight="1">
      <c r="A70" s="22"/>
      <c r="B70" s="247" t="s">
        <v>120</v>
      </c>
      <c r="C70" s="248" t="s">
        <v>139</v>
      </c>
      <c r="D70" s="517">
        <f>'0-Day Rule Pre-Purchases'!D45+'0-Day Rule Pre-Purchases'!D52+'0-Day Rule Pre-Purchases'!D59+'0-Day Rule Pre-Purchases'!D66+'0-Day Rule Pre-Purchases'!D73</f>
        <v>1507360.32</v>
      </c>
      <c r="E70" s="517">
        <f>'0-Day Rule Pre-Purchases'!E45+'0-Day Rule Pre-Purchases'!E52+'0-Day Rule Pre-Purchases'!E59+'0-Day Rule Pre-Purchases'!E66+'0-Day Rule Pre-Purchases'!E73</f>
        <v>1475704</v>
      </c>
      <c r="F70" s="517">
        <f>'0-Day Rule Pre-Purchases'!F45+'0-Day Rule Pre-Purchases'!F52+'0-Day Rule Pre-Purchases'!F59+'0-Day Rule Pre-Purchases'!F66+'0-Day Rule Pre-Purchases'!F73</f>
        <v>1371704</v>
      </c>
      <c r="G70" s="517"/>
      <c r="H70" s="517"/>
      <c r="I70" s="517"/>
    </row>
    <row r="71" spans="1:9" ht="9.75" customHeight="1">
      <c r="A71" s="152"/>
      <c r="B71" s="249" t="s">
        <v>121</v>
      </c>
      <c r="C71" s="250" t="s">
        <v>139</v>
      </c>
      <c r="D71" s="517">
        <f>'0-Day Rule Pre-Purchases'!D46+'0-Day Rule Pre-Purchases'!D53+'0-Day Rule Pre-Purchases'!D60+'0-Day Rule Pre-Purchases'!D67+'0-Day Rule Pre-Purchases'!D74</f>
        <v>1385106.38</v>
      </c>
      <c r="E71" s="517">
        <f>'0-Day Rule Pre-Purchases'!E46+'0-Day Rule Pre-Purchases'!E53+'0-Day Rule Pre-Purchases'!E60+'0-Day Rule Pre-Purchases'!E67+'0-Day Rule Pre-Purchases'!E74</f>
        <v>1480083.2</v>
      </c>
      <c r="F71" s="517">
        <f>'0-Day Rule Pre-Purchases'!F46+'0-Day Rule Pre-Purchases'!F53+'0-Day Rule Pre-Purchases'!F60+'0-Day Rule Pre-Purchases'!F67+'0-Day Rule Pre-Purchases'!F74</f>
        <v>1501649.44</v>
      </c>
      <c r="G71" s="517"/>
      <c r="H71" s="517"/>
      <c r="I71" s="517"/>
    </row>
    <row r="72" spans="1:9" ht="9.75" customHeight="1">
      <c r="A72" s="147" t="s">
        <v>459</v>
      </c>
      <c r="B72" s="292"/>
      <c r="C72" s="246"/>
      <c r="D72" s="316"/>
      <c r="E72" s="316"/>
      <c r="F72" s="316"/>
      <c r="G72" s="316"/>
      <c r="H72" s="316"/>
      <c r="I72" s="316"/>
    </row>
    <row r="73" spans="1:9" ht="9.75" customHeight="1">
      <c r="A73" s="22"/>
      <c r="B73" s="247" t="s">
        <v>120</v>
      </c>
      <c r="C73" s="248" t="s">
        <v>139</v>
      </c>
      <c r="D73" s="288">
        <f aca="true" t="shared" si="4" ref="D73:F74">D67+D70</f>
        <v>29238491.21921713</v>
      </c>
      <c r="E73" s="288">
        <f t="shared" si="4"/>
        <v>26569214.46223808</v>
      </c>
      <c r="F73" s="288">
        <f t="shared" si="4"/>
        <v>28193358.46223808</v>
      </c>
      <c r="G73" s="288"/>
      <c r="H73" s="288"/>
      <c r="I73" s="288"/>
    </row>
    <row r="74" spans="1:9" ht="9.75" customHeight="1">
      <c r="A74" s="152"/>
      <c r="B74" s="249" t="s">
        <v>121</v>
      </c>
      <c r="C74" s="250" t="s">
        <v>139</v>
      </c>
      <c r="D74" s="518">
        <f t="shared" si="4"/>
        <v>20342284.355201297</v>
      </c>
      <c r="E74" s="518">
        <f t="shared" si="4"/>
        <v>20289427.609790463</v>
      </c>
      <c r="F74" s="518">
        <f t="shared" si="4"/>
        <v>23093563.945524752</v>
      </c>
      <c r="G74" s="518"/>
      <c r="H74" s="518"/>
      <c r="I74" s="518"/>
    </row>
    <row r="75" spans="1:9" ht="9.75" customHeight="1">
      <c r="A75" s="147" t="s">
        <v>382</v>
      </c>
      <c r="B75" s="292"/>
      <c r="C75" s="246"/>
      <c r="D75" s="316"/>
      <c r="E75" s="316"/>
      <c r="F75" s="316"/>
      <c r="G75" s="316"/>
      <c r="H75" s="316"/>
      <c r="I75" s="316"/>
    </row>
    <row r="76" spans="1:9" ht="9.75" customHeight="1">
      <c r="A76" s="22"/>
      <c r="B76" s="247" t="s">
        <v>120</v>
      </c>
      <c r="C76" s="248" t="s">
        <v>139</v>
      </c>
      <c r="D76" s="288">
        <f>'Analysis Parameters'!D65</f>
        <v>1954794.114574463</v>
      </c>
      <c r="E76" s="288">
        <f>'Analysis Parameters'!E65</f>
        <v>2300355.467236246</v>
      </c>
      <c r="F76" s="288">
        <f>'Analysis Parameters'!F65</f>
        <v>2175530.5578858363</v>
      </c>
      <c r="G76" s="288"/>
      <c r="H76" s="288"/>
      <c r="I76" s="288"/>
    </row>
    <row r="77" spans="1:9" ht="9.75" customHeight="1">
      <c r="A77" s="152"/>
      <c r="B77" s="249" t="s">
        <v>121</v>
      </c>
      <c r="C77" s="250" t="s">
        <v>139</v>
      </c>
      <c r="D77" s="288">
        <f>'Analysis Parameters'!D66</f>
        <v>1606382.9373992626</v>
      </c>
      <c r="E77" s="288">
        <f>'Analysis Parameters'!E66</f>
        <v>2240083.939304832</v>
      </c>
      <c r="F77" s="288">
        <f>'Analysis Parameters'!F66</f>
        <v>2262710.9966700813</v>
      </c>
      <c r="G77" s="288"/>
      <c r="H77" s="288"/>
      <c r="I77" s="288"/>
    </row>
    <row r="78" spans="1:9" ht="9.75" customHeight="1">
      <c r="A78" s="147" t="s">
        <v>460</v>
      </c>
      <c r="B78" s="292"/>
      <c r="C78" s="246"/>
      <c r="D78" s="316"/>
      <c r="E78" s="316"/>
      <c r="F78" s="316"/>
      <c r="G78" s="316"/>
      <c r="H78" s="316"/>
      <c r="I78" s="316"/>
    </row>
    <row r="79" spans="1:9" ht="9.75" customHeight="1">
      <c r="A79" s="22"/>
      <c r="B79" s="247" t="s">
        <v>120</v>
      </c>
      <c r="C79" s="248" t="s">
        <v>139</v>
      </c>
      <c r="D79" s="288">
        <f aca="true" t="shared" si="5" ref="D79:F80">D73+D76</f>
        <v>31193285.33379159</v>
      </c>
      <c r="E79" s="288">
        <f t="shared" si="5"/>
        <v>28869569.929474328</v>
      </c>
      <c r="F79" s="288">
        <f t="shared" si="5"/>
        <v>30368889.020123918</v>
      </c>
      <c r="G79" s="288"/>
      <c r="H79" s="288"/>
      <c r="I79" s="288"/>
    </row>
    <row r="80" spans="1:9" ht="9.75" customHeight="1">
      <c r="A80" s="152"/>
      <c r="B80" s="249" t="s">
        <v>121</v>
      </c>
      <c r="C80" s="250" t="s">
        <v>139</v>
      </c>
      <c r="D80" s="518">
        <f t="shared" si="5"/>
        <v>21948667.292600557</v>
      </c>
      <c r="E80" s="518">
        <f t="shared" si="5"/>
        <v>22529511.549095295</v>
      </c>
      <c r="F80" s="518">
        <f t="shared" si="5"/>
        <v>25356274.942194834</v>
      </c>
      <c r="G80" s="518"/>
      <c r="H80" s="518"/>
      <c r="I80" s="518"/>
    </row>
    <row r="81" spans="1:9" s="10" customFormat="1" ht="4.5" customHeight="1">
      <c r="A81" s="540"/>
      <c r="B81" s="94"/>
      <c r="C81" s="93"/>
      <c r="D81" s="95"/>
      <c r="E81" s="95"/>
      <c r="F81" s="95"/>
      <c r="G81" s="95"/>
      <c r="H81" s="95"/>
      <c r="I81" s="95"/>
    </row>
    <row r="82" spans="1:9" s="10" customFormat="1" ht="9.75" customHeight="1">
      <c r="A82" s="236" t="s">
        <v>438</v>
      </c>
      <c r="B82" s="94"/>
      <c r="C82" s="93"/>
      <c r="D82" s="95"/>
      <c r="E82" s="95"/>
      <c r="F82" s="95"/>
      <c r="G82" s="95"/>
      <c r="H82" s="95"/>
      <c r="I82" s="95"/>
    </row>
    <row r="83" spans="1:9" s="10" customFormat="1" ht="4.5" customHeight="1">
      <c r="A83" s="254"/>
      <c r="B83" s="94"/>
      <c r="C83" s="93"/>
      <c r="D83" s="95"/>
      <c r="E83" s="95"/>
      <c r="F83" s="95"/>
      <c r="G83" s="95"/>
      <c r="H83" s="95"/>
      <c r="I83" s="95"/>
    </row>
    <row r="84" spans="1:9" ht="9.75" customHeight="1">
      <c r="A84" s="147" t="s">
        <v>372</v>
      </c>
      <c r="B84" s="245"/>
      <c r="C84" s="246" t="s">
        <v>139</v>
      </c>
      <c r="D84" s="413">
        <v>6324</v>
      </c>
      <c r="E84" s="413">
        <v>6256</v>
      </c>
      <c r="F84" s="537">
        <v>6460</v>
      </c>
      <c r="G84" s="2"/>
      <c r="H84" s="2"/>
      <c r="I84" s="2"/>
    </row>
    <row r="85" spans="1:9" ht="9.75" customHeight="1">
      <c r="A85" s="147" t="s">
        <v>439</v>
      </c>
      <c r="B85" s="256"/>
      <c r="C85" s="257" t="s">
        <v>139</v>
      </c>
      <c r="D85" s="538">
        <f>D84-('Load Inputs'!D50*'Analysis Parameters'!D69)</f>
        <v>3705.12</v>
      </c>
      <c r="E85" s="538">
        <f>E84-('Load Inputs'!E50*'Analysis Parameters'!E69)</f>
        <v>6256</v>
      </c>
      <c r="F85" s="539">
        <f>F84-('Load Inputs'!F50*'Analysis Parameters'!F69)</f>
        <v>6460</v>
      </c>
      <c r="G85" s="2"/>
      <c r="H85" s="2"/>
      <c r="I85" s="2"/>
    </row>
    <row r="86" ht="4.5" customHeight="1">
      <c r="A86" s="628"/>
    </row>
    <row r="87" spans="1:9" ht="9.75" customHeight="1">
      <c r="A87" s="6" t="s">
        <v>485</v>
      </c>
      <c r="C87" s="2"/>
      <c r="G87" s="2"/>
      <c r="H87" s="2"/>
      <c r="I87" s="2"/>
    </row>
    <row r="88" spans="1:9" s="10" customFormat="1" ht="4.5" customHeight="1">
      <c r="A88" s="362"/>
      <c r="B88" s="2"/>
      <c r="C88" s="4"/>
      <c r="D88" s="4"/>
      <c r="E88" s="4"/>
      <c r="F88" s="4"/>
      <c r="G88" s="4"/>
      <c r="H88" s="4"/>
      <c r="I88" s="4"/>
    </row>
    <row r="89" spans="1:11" ht="9.75" customHeight="1">
      <c r="A89" s="212" t="s">
        <v>212</v>
      </c>
      <c r="B89" s="396"/>
      <c r="C89" s="397"/>
      <c r="D89" s="398"/>
      <c r="E89" s="398"/>
      <c r="F89" s="398"/>
      <c r="G89" s="398"/>
      <c r="H89" s="398"/>
      <c r="I89" s="398"/>
      <c r="J89" s="79"/>
      <c r="K89" s="79"/>
    </row>
    <row r="90" spans="1:10" ht="9.75" customHeight="1">
      <c r="A90" s="214" t="s">
        <v>168</v>
      </c>
      <c r="B90" s="399" t="s">
        <v>120</v>
      </c>
      <c r="C90" s="219" t="s">
        <v>139</v>
      </c>
      <c r="D90" s="477">
        <f>'Fixed Costs &amp; Rates'!D34+'Fixed Costs &amp; Rates'!D40+'Fixed Costs &amp; Rates'!D46+'Fixed Costs &amp; Rates'!D49</f>
        <v>19079697</v>
      </c>
      <c r="E90" s="477">
        <f>'Fixed Costs &amp; Rates'!E34+'Fixed Costs &amp; Rates'!E40+'Fixed Costs &amp; Rates'!E46+'Fixed Costs &amp; Rates'!E49</f>
        <v>18915640</v>
      </c>
      <c r="F90" s="477">
        <f>'Fixed Costs &amp; Rates'!F34+'Fixed Costs &amp; Rates'!F40+'Fixed Costs &amp; Rates'!F46+'Fixed Costs &amp; Rates'!F49</f>
        <v>18571916</v>
      </c>
      <c r="G90" s="477"/>
      <c r="H90" s="477"/>
      <c r="I90" s="477"/>
      <c r="J90" s="79"/>
    </row>
    <row r="91" spans="1:9" ht="9.75" customHeight="1">
      <c r="A91" s="402"/>
      <c r="B91" s="403" t="s">
        <v>121</v>
      </c>
      <c r="C91" s="221" t="s">
        <v>139</v>
      </c>
      <c r="D91" s="406">
        <f>'Fixed Costs &amp; Rates'!D35+'Fixed Costs &amp; Rates'!D41+'Fixed Costs &amp; Rates'!D47+'Fixed Costs &amp; Rates'!D50</f>
        <v>13832831</v>
      </c>
      <c r="E91" s="406">
        <f>'Fixed Costs &amp; Rates'!E35+'Fixed Costs &amp; Rates'!E41+'Fixed Costs &amp; Rates'!E47+'Fixed Costs &amp; Rates'!E50</f>
        <v>13845208</v>
      </c>
      <c r="F91" s="406">
        <f>'Fixed Costs &amp; Rates'!F35+'Fixed Costs &amp; Rates'!F41+'Fixed Costs &amp; Rates'!F47+'Fixed Costs &amp; Rates'!F50</f>
        <v>14641891</v>
      </c>
      <c r="G91" s="406"/>
      <c r="H91" s="406"/>
      <c r="I91" s="406"/>
    </row>
    <row r="94" spans="1:9" s="94" customFormat="1" ht="9.75" customHeight="1">
      <c r="A94" s="92"/>
      <c r="B94" s="92"/>
      <c r="C94" s="91"/>
      <c r="D94" s="91"/>
      <c r="E94" s="93"/>
      <c r="F94" s="91"/>
      <c r="G94" s="92"/>
      <c r="H94" s="185"/>
      <c r="I94" s="92"/>
    </row>
  </sheetData>
  <printOptions horizontalCentered="1"/>
  <pageMargins left="0.5" right="0.5" top="0.75" bottom="0.75" header="0.5" footer="0.5"/>
  <pageSetup fitToHeight="1" fitToWidth="1" horizontalDpi="600" verticalDpi="600" orientation="portrait" scale="84" r:id="rId1"/>
  <headerFooter alignWithMargins="0">
    <oddHeader>&amp;C&amp;"Arial,Bold"&amp;12Values Calculated within the Model</oddHeader>
    <oddFooter>&amp;LPage 12&amp;CBonneville Power Administration, Power Business Line&amp;R2/14/02</oddFooter>
  </headerFooter>
</worksheet>
</file>

<file path=xl/worksheets/sheet13.xml><?xml version="1.0" encoding="utf-8"?>
<worksheet xmlns="http://schemas.openxmlformats.org/spreadsheetml/2006/main" xmlns:r="http://schemas.openxmlformats.org/officeDocument/2006/relationships">
  <sheetPr codeName="Sheet14">
    <pageSetUpPr fitToPage="1"/>
  </sheetPr>
  <dimension ref="A1:M42"/>
  <sheetViews>
    <sheetView view="pageBreakPreview" zoomScale="60" workbookViewId="0" topLeftCell="A1">
      <selection activeCell="A1" sqref="A1"/>
    </sheetView>
  </sheetViews>
  <sheetFormatPr defaultColWidth="9.140625" defaultRowHeight="9.75" customHeight="1"/>
  <cols>
    <col min="1" max="1" width="14.421875" style="12" customWidth="1"/>
    <col min="2" max="2" width="21.421875" style="12" customWidth="1"/>
    <col min="3" max="3" width="14.421875" style="12" customWidth="1"/>
    <col min="4" max="4" width="70.140625" style="12" bestFit="1" customWidth="1"/>
    <col min="5" max="5" width="21.28125" style="12" customWidth="1"/>
    <col min="6" max="6" width="10.00390625" style="14" customWidth="1"/>
    <col min="7" max="7" width="9.8515625" style="14" customWidth="1"/>
    <col min="8" max="8" width="9.421875" style="14" customWidth="1"/>
    <col min="9" max="11" width="8.7109375" style="14" customWidth="1"/>
    <col min="12" max="16384" width="14.421875" style="12" customWidth="1"/>
  </cols>
  <sheetData>
    <row r="1" ht="13.5" customHeight="1">
      <c r="G1" s="1" t="s">
        <v>451</v>
      </c>
    </row>
    <row r="2" ht="9.75" customHeight="1">
      <c r="G2" s="1"/>
    </row>
    <row r="3" spans="1:12" ht="12.75">
      <c r="A3" s="7" t="s">
        <v>96</v>
      </c>
      <c r="B3" s="7" t="s">
        <v>97</v>
      </c>
      <c r="C3" s="7" t="s">
        <v>98</v>
      </c>
      <c r="D3" s="7" t="s">
        <v>99</v>
      </c>
      <c r="E3" s="620" t="s">
        <v>118</v>
      </c>
      <c r="F3" s="522" t="str">
        <f>'Analysis Parameters'!D6</f>
        <v>Oct</v>
      </c>
      <c r="G3" s="523" t="str">
        <f>'Analysis Parameters'!E6</f>
        <v>Nov</v>
      </c>
      <c r="H3" s="524" t="str">
        <f>'Analysis Parameters'!F6</f>
        <v>Dec</v>
      </c>
      <c r="I3" s="523" t="str">
        <f>'Analysis Parameters'!G6</f>
        <v>none</v>
      </c>
      <c r="J3" s="523" t="str">
        <f>'Analysis Parameters'!H6</f>
        <v>none</v>
      </c>
      <c r="K3" s="524" t="str">
        <f>'Analysis Parameters'!I6</f>
        <v>none</v>
      </c>
      <c r="L3" s="6"/>
    </row>
    <row r="4" spans="1:12" ht="9.75" customHeight="1">
      <c r="A4" s="53" t="s">
        <v>108</v>
      </c>
      <c r="B4" s="53" t="s">
        <v>95</v>
      </c>
      <c r="C4" s="53" t="s">
        <v>0</v>
      </c>
      <c r="D4" s="56" t="s">
        <v>428</v>
      </c>
      <c r="E4" s="59" t="s">
        <v>0</v>
      </c>
      <c r="F4" s="19">
        <f>('Load Inputs'!D47-'Fixed Costs &amp; Rates'!D5)*(1+'Fixed Costs &amp; Rates'!$D$107)</f>
        <v>653.556</v>
      </c>
      <c r="G4" s="19">
        <f>('Load Inputs'!E47-'Fixed Costs &amp; Rates'!E5)*(1+'Fixed Costs &amp; Rates'!$D$107)</f>
        <v>802.184</v>
      </c>
      <c r="H4" s="126">
        <f>('Load Inputs'!F47-'Fixed Costs &amp; Rates'!F5)*(1+'Fixed Costs &amp; Rates'!$D$107)</f>
        <v>604.692</v>
      </c>
      <c r="I4" s="19"/>
      <c r="J4" s="19"/>
      <c r="K4" s="126"/>
      <c r="L4" s="13"/>
    </row>
    <row r="5" spans="1:12" ht="9.75" customHeight="1">
      <c r="A5" s="53" t="s">
        <v>109</v>
      </c>
      <c r="B5" s="53" t="s">
        <v>400</v>
      </c>
      <c r="C5" s="53" t="s">
        <v>263</v>
      </c>
      <c r="D5" s="56" t="s">
        <v>397</v>
      </c>
      <c r="E5" s="20" t="s">
        <v>120</v>
      </c>
      <c r="F5" s="77"/>
      <c r="G5" s="21"/>
      <c r="H5" s="127"/>
      <c r="I5" s="21"/>
      <c r="J5" s="21"/>
      <c r="K5" s="127"/>
      <c r="L5" s="13"/>
    </row>
    <row r="6" spans="1:12" ht="9.75" customHeight="1">
      <c r="A6" s="53"/>
      <c r="B6" s="53" t="s">
        <v>401</v>
      </c>
      <c r="C6" s="53" t="s">
        <v>263</v>
      </c>
      <c r="D6" s="56" t="s">
        <v>398</v>
      </c>
      <c r="E6" s="22" t="s">
        <v>129</v>
      </c>
      <c r="F6" s="23">
        <f>'Analysis Parameters'!D9</f>
        <v>432</v>
      </c>
      <c r="G6" s="23">
        <f>'Analysis Parameters'!E9</f>
        <v>416</v>
      </c>
      <c r="H6" s="49">
        <f>'Analysis Parameters'!F9</f>
        <v>416</v>
      </c>
      <c r="I6" s="23"/>
      <c r="J6" s="23"/>
      <c r="K6" s="49"/>
      <c r="L6" s="13"/>
    </row>
    <row r="7" spans="1:12" ht="9.75" customHeight="1">
      <c r="A7" s="53"/>
      <c r="B7" s="53" t="s">
        <v>402</v>
      </c>
      <c r="C7" s="53" t="s">
        <v>263</v>
      </c>
      <c r="D7" s="56" t="s">
        <v>399</v>
      </c>
      <c r="E7" s="24" t="s">
        <v>263</v>
      </c>
      <c r="F7" s="25">
        <f>IF('Calculated Inputs'!D37&gt;F4,(F4/'Calculated Inputs'!D37)*'Calculated Inputs'!D52,IF('Calculated Inputs'!D37=F4,'Calculated Inputs'!D52,IF('Calculated Inputs'!D37&lt;F4,'Calculated Inputs'!D52+((F4-'Calculated Inputs'!D37)*'Fixed Costs &amp; Rates'!D76*F6))))</f>
        <v>13647733.884572659</v>
      </c>
      <c r="G7" s="25">
        <f>IF('Calculated Inputs'!E37&gt;G4,(G4/'Calculated Inputs'!E37)*'Calculated Inputs'!E52,IF('Calculated Inputs'!E37=G4,'Calculated Inputs'!E52,IF('Calculated Inputs'!E37&lt;G4,'Calculated Inputs'!E52+((G4-'Calculated Inputs'!E37)*'Fixed Costs &amp; Rates'!E76*G6))))</f>
        <v>15385153.130784407</v>
      </c>
      <c r="H7" s="124">
        <f>IF('Calculated Inputs'!F37&gt;H4,(H4/'Calculated Inputs'!F37)*'Calculated Inputs'!F52,IF('Calculated Inputs'!F37=H4,'Calculated Inputs'!F52,IF('Calculated Inputs'!F37&lt;H4,'Calculated Inputs'!F52+((H4-'Calculated Inputs'!F37)*'Fixed Costs &amp; Rates'!F76*H6))))</f>
        <v>12334163.936348522</v>
      </c>
      <c r="I7" s="25"/>
      <c r="J7" s="25"/>
      <c r="K7" s="124"/>
      <c r="L7" s="13"/>
    </row>
    <row r="8" spans="1:12" ht="9.75" customHeight="1">
      <c r="A8" s="53"/>
      <c r="B8" s="53"/>
      <c r="C8" s="53"/>
      <c r="D8" s="56"/>
      <c r="E8" s="26" t="s">
        <v>221</v>
      </c>
      <c r="F8" s="60">
        <f>MAX(0,((F4-'Calculated Inputs'!D37)*F6*'Fixed Costs &amp; Rates'!D76))</f>
        <v>0</v>
      </c>
      <c r="G8" s="60">
        <f>MAX(0,((G4-'Calculated Inputs'!E37)*G6*'Fixed Costs &amp; Rates'!E76))</f>
        <v>0</v>
      </c>
      <c r="H8" s="128">
        <f>MAX(0,((H4-'Calculated Inputs'!F37)*H6*'Fixed Costs &amp; Rates'!F76))</f>
        <v>0</v>
      </c>
      <c r="I8" s="60"/>
      <c r="J8" s="60"/>
      <c r="K8" s="128"/>
      <c r="L8" s="13"/>
    </row>
    <row r="9" spans="1:12" ht="9.75" customHeight="1">
      <c r="A9" s="53"/>
      <c r="B9" s="53"/>
      <c r="C9" s="53"/>
      <c r="D9" s="56"/>
      <c r="E9" s="26" t="s">
        <v>213</v>
      </c>
      <c r="F9" s="60">
        <f>F8+'Calculated Inputs'!D52</f>
        <v>30321058.33379159</v>
      </c>
      <c r="G9" s="60">
        <f>G8+'Calculated Inputs'!E52</f>
        <v>26998246.929474328</v>
      </c>
      <c r="H9" s="128">
        <f>H8+'Calculated Inputs'!F52</f>
        <v>28497566.020123918</v>
      </c>
      <c r="I9" s="60"/>
      <c r="J9" s="60"/>
      <c r="K9" s="128"/>
      <c r="L9" s="13"/>
    </row>
    <row r="10" spans="1:12" ht="9.75" customHeight="1">
      <c r="A10" s="53"/>
      <c r="B10" s="53"/>
      <c r="C10" s="53"/>
      <c r="D10" s="56"/>
      <c r="E10" s="27" t="s">
        <v>121</v>
      </c>
      <c r="F10" s="23"/>
      <c r="G10" s="23"/>
      <c r="H10" s="49"/>
      <c r="I10" s="23"/>
      <c r="J10" s="23"/>
      <c r="K10" s="49"/>
      <c r="L10" s="13"/>
    </row>
    <row r="11" spans="1:12" ht="9.75" customHeight="1">
      <c r="A11" s="53"/>
      <c r="B11" s="53"/>
      <c r="C11" s="53"/>
      <c r="D11" s="56"/>
      <c r="E11" s="24" t="s">
        <v>129</v>
      </c>
      <c r="F11" s="23">
        <f>'Analysis Parameters'!D10</f>
        <v>313</v>
      </c>
      <c r="G11" s="23">
        <f>'Analysis Parameters'!E10</f>
        <v>304</v>
      </c>
      <c r="H11" s="49">
        <f>'Analysis Parameters'!F10</f>
        <v>328</v>
      </c>
      <c r="I11" s="23"/>
      <c r="J11" s="23"/>
      <c r="K11" s="49"/>
      <c r="L11" s="13"/>
    </row>
    <row r="12" spans="1:12" ht="9.75" customHeight="1">
      <c r="A12" s="53"/>
      <c r="B12" s="53"/>
      <c r="C12" s="53"/>
      <c r="D12" s="56"/>
      <c r="E12" s="24" t="s">
        <v>263</v>
      </c>
      <c r="F12" s="25">
        <f>IF('Calculated Inputs'!D38&gt;F4,(F4/'Calculated Inputs'!D38)*'Calculated Inputs'!D53,IF('Calculated Inputs'!D38=F4,'Calculated Inputs'!D53,IF('Calculated Inputs'!D38&lt;F4,'Calculated Inputs'!D53+((F4-'Calculated Inputs'!D38)*'Fixed Costs &amp; Rates'!D77*F11))))</f>
        <v>9221840.71103555</v>
      </c>
      <c r="G12" s="25">
        <f>IF('Calculated Inputs'!E38&gt;G4,(G4/'Calculated Inputs'!E38)*'Calculated Inputs'!E53,IF('Calculated Inputs'!E38=G4,'Calculated Inputs'!E53,IF('Calculated Inputs'!E38&lt;G4,'Calculated Inputs'!E53+((G4-'Calculated Inputs'!E38)*'Fixed Costs &amp; Rates'!E77*G11))))</f>
        <v>10570342.978268702</v>
      </c>
      <c r="H12" s="124">
        <f>IF('Calculated Inputs'!F38&gt;H4,(H4/'Calculated Inputs'!F38)*'Calculated Inputs'!F53,IF('Calculated Inputs'!F38=H4,'Calculated Inputs'!F53,IF('Calculated Inputs'!F38&lt;H4,'Calculated Inputs'!F53+((H4-'Calculated Inputs'!F38)*'Fixed Costs &amp; Rates'!F77*H11))))</f>
        <v>9133210.657724751</v>
      </c>
      <c r="I12" s="25"/>
      <c r="J12" s="25"/>
      <c r="K12" s="124"/>
      <c r="L12" s="13"/>
    </row>
    <row r="13" spans="1:12" ht="9.75" customHeight="1">
      <c r="A13" s="53"/>
      <c r="B13" s="53"/>
      <c r="C13" s="53"/>
      <c r="D13" s="56"/>
      <c r="E13" s="26" t="s">
        <v>221</v>
      </c>
      <c r="F13" s="60">
        <f>MAX(0,((F4-'Calculated Inputs'!D38)*F11*'Fixed Costs &amp; Rates'!D77))</f>
        <v>0</v>
      </c>
      <c r="G13" s="60">
        <f>MAX(0,((G4-'Calculated Inputs'!E38)*G11*'Fixed Costs &amp; Rates'!E77))</f>
        <v>0</v>
      </c>
      <c r="H13" s="128">
        <f>MAX(0,((H4-'Calculated Inputs'!F38)*H11*'Fixed Costs &amp; Rates'!F77))</f>
        <v>0</v>
      </c>
      <c r="I13" s="60"/>
      <c r="J13" s="60"/>
      <c r="K13" s="128"/>
      <c r="L13" s="13"/>
    </row>
    <row r="14" spans="1:12" ht="9.75" customHeight="1">
      <c r="A14" s="53"/>
      <c r="B14" s="53"/>
      <c r="C14" s="53"/>
      <c r="D14" s="56"/>
      <c r="E14" s="26" t="s">
        <v>213</v>
      </c>
      <c r="F14" s="60">
        <f>F13+'Calculated Inputs'!D53</f>
        <v>21295194.292600557</v>
      </c>
      <c r="G14" s="60">
        <f>G13+'Calculated Inputs'!E53</f>
        <v>21127514.549095295</v>
      </c>
      <c r="H14" s="128">
        <f>H13+'Calculated Inputs'!F53</f>
        <v>23954277.942194834</v>
      </c>
      <c r="I14" s="60"/>
      <c r="J14" s="60"/>
      <c r="K14" s="128"/>
      <c r="L14" s="13"/>
    </row>
    <row r="15" spans="1:13" ht="9.75" customHeight="1">
      <c r="A15" s="53" t="s">
        <v>114</v>
      </c>
      <c r="B15" s="56"/>
      <c r="C15" s="53" t="s">
        <v>264</v>
      </c>
      <c r="D15" s="56" t="s">
        <v>429</v>
      </c>
      <c r="E15" s="28" t="s">
        <v>264</v>
      </c>
      <c r="F15" s="70">
        <f>SUM(F7:K7)+SUM(F12:K12)+SUM('Calculated Inputs'!D90:'Calculated Inputs'!I91)-SUM('Calculated Inputs'!D85:I85)</f>
        <v>169163207.1787346</v>
      </c>
      <c r="G15" s="29"/>
      <c r="H15" s="39"/>
      <c r="I15" s="29"/>
      <c r="J15" s="29"/>
      <c r="K15" s="39"/>
      <c r="L15" s="13"/>
      <c r="M15" s="41"/>
    </row>
    <row r="16" spans="1:12" ht="9.75" customHeight="1">
      <c r="A16" s="53"/>
      <c r="B16" s="56"/>
      <c r="C16" s="53" t="s">
        <v>430</v>
      </c>
      <c r="D16" s="56" t="s">
        <v>403</v>
      </c>
      <c r="E16" s="30" t="s">
        <v>265</v>
      </c>
      <c r="F16" s="31">
        <f>MIN(F$4,1745-(('Load Inputs'!D38)/1486)*450)</f>
        <v>653.556</v>
      </c>
      <c r="G16" s="31">
        <f>MIN(G$4,1745-(('Load Inputs'!E38)/1486)*450)</f>
        <v>802.184</v>
      </c>
      <c r="H16" s="129">
        <f>MIN(H$4,1745-(('Load Inputs'!F38)/1486)*450)</f>
        <v>604.692</v>
      </c>
      <c r="I16" s="31"/>
      <c r="J16" s="31"/>
      <c r="K16" s="129"/>
      <c r="L16" s="40"/>
    </row>
    <row r="17" spans="1:12" ht="9.75" customHeight="1">
      <c r="A17" s="53"/>
      <c r="B17" s="56"/>
      <c r="C17" s="53"/>
      <c r="D17" s="56"/>
      <c r="E17" s="32" t="s">
        <v>266</v>
      </c>
      <c r="F17" s="33">
        <f>MIN(F$4,1745-(('Load Inputs'!D38)/1486)*450)</f>
        <v>653.556</v>
      </c>
      <c r="G17" s="33">
        <f>MIN(G$4,1745-(('Load Inputs'!E38)/1486)*450)</f>
        <v>802.184</v>
      </c>
      <c r="H17" s="130">
        <f>MIN(H$4,1745-(('Load Inputs'!F38)/1486)*450)</f>
        <v>604.692</v>
      </c>
      <c r="I17" s="33"/>
      <c r="J17" s="33"/>
      <c r="K17" s="130"/>
      <c r="L17" s="82"/>
    </row>
    <row r="18" spans="1:12" ht="9.75" customHeight="1">
      <c r="A18" s="53"/>
      <c r="B18" s="56"/>
      <c r="C18" s="53" t="s">
        <v>405</v>
      </c>
      <c r="D18" s="56" t="s">
        <v>404</v>
      </c>
      <c r="E18" s="32" t="s">
        <v>267</v>
      </c>
      <c r="F18" s="33">
        <f aca="true" t="shared" si="0" ref="F18:H19">MAX(0,F$4-F16)</f>
        <v>0</v>
      </c>
      <c r="G18" s="33">
        <f t="shared" si="0"/>
        <v>0</v>
      </c>
      <c r="H18" s="130">
        <f t="shared" si="0"/>
        <v>0</v>
      </c>
      <c r="I18" s="33"/>
      <c r="J18" s="33"/>
      <c r="K18" s="130"/>
      <c r="L18" s="82"/>
    </row>
    <row r="19" spans="1:12" ht="9.75" customHeight="1">
      <c r="A19" s="53"/>
      <c r="B19" s="56"/>
      <c r="C19" s="53"/>
      <c r="D19" s="56"/>
      <c r="E19" s="32" t="s">
        <v>268</v>
      </c>
      <c r="F19" s="33">
        <f t="shared" si="0"/>
        <v>0</v>
      </c>
      <c r="G19" s="33">
        <f t="shared" si="0"/>
        <v>0</v>
      </c>
      <c r="H19" s="130">
        <f t="shared" si="0"/>
        <v>0</v>
      </c>
      <c r="I19" s="33"/>
      <c r="J19" s="33"/>
      <c r="K19" s="130"/>
      <c r="L19" s="13"/>
    </row>
    <row r="20" spans="1:12" ht="9.75" customHeight="1">
      <c r="A20" s="53" t="s">
        <v>110</v>
      </c>
      <c r="B20" s="53" t="s">
        <v>94</v>
      </c>
      <c r="C20" s="53" t="s">
        <v>406</v>
      </c>
      <c r="D20" s="56" t="s">
        <v>407</v>
      </c>
      <c r="E20" s="34" t="s">
        <v>269</v>
      </c>
      <c r="F20" s="33">
        <f>((F16*28.1)+(F18*19.26))*F6</f>
        <v>7933646.995200001</v>
      </c>
      <c r="G20" s="33">
        <f>((G16*28.1)+(G18*19.26))*G6</f>
        <v>9377210.0864</v>
      </c>
      <c r="H20" s="130">
        <f>((H16*28.1)+(H18*19.26))*H6</f>
        <v>7068607.6032</v>
      </c>
      <c r="I20" s="33"/>
      <c r="J20" s="33"/>
      <c r="K20" s="130"/>
      <c r="L20" s="13"/>
    </row>
    <row r="21" spans="1:12" ht="9.75" customHeight="1">
      <c r="A21" s="53"/>
      <c r="B21" s="53"/>
      <c r="C21" s="53"/>
      <c r="D21" s="56"/>
      <c r="E21" s="32" t="s">
        <v>273</v>
      </c>
      <c r="F21" s="33">
        <f>((F17*28.1)+(F19*19.26))*F11</f>
        <v>5748221.086800001</v>
      </c>
      <c r="G21" s="33">
        <f>((G17*28.1)+(G19*19.26))*G11</f>
        <v>6852576.6016</v>
      </c>
      <c r="H21" s="130">
        <f>((H17*28.1)+(H19*19.26))*H11</f>
        <v>5573325.2256</v>
      </c>
      <c r="I21" s="33"/>
      <c r="J21" s="33"/>
      <c r="K21" s="130"/>
      <c r="L21" s="13"/>
    </row>
    <row r="22" spans="1:12" ht="9.75" customHeight="1">
      <c r="A22" s="53"/>
      <c r="B22" s="53" t="s">
        <v>95</v>
      </c>
      <c r="C22" s="53" t="s">
        <v>271</v>
      </c>
      <c r="D22" s="56" t="s">
        <v>408</v>
      </c>
      <c r="E22" s="35" t="s">
        <v>271</v>
      </c>
      <c r="F22" s="36">
        <f>SUM(F20:K21)</f>
        <v>42553587.5988</v>
      </c>
      <c r="G22" s="71"/>
      <c r="H22" s="131"/>
      <c r="I22" s="71"/>
      <c r="J22" s="71"/>
      <c r="K22" s="131"/>
      <c r="L22" s="13"/>
    </row>
    <row r="23" spans="1:12" ht="9.75" customHeight="1">
      <c r="A23" s="53" t="s">
        <v>111</v>
      </c>
      <c r="B23" s="56"/>
      <c r="C23" s="53" t="s">
        <v>272</v>
      </c>
      <c r="D23" s="56" t="s">
        <v>409</v>
      </c>
      <c r="E23" s="520" t="s">
        <v>272</v>
      </c>
      <c r="F23" s="521">
        <f>F15-F22</f>
        <v>126609619.5799346</v>
      </c>
      <c r="H23" s="622"/>
      <c r="L23" s="13"/>
    </row>
    <row r="24" spans="1:12" ht="9.75" customHeight="1">
      <c r="A24" s="53" t="s">
        <v>113</v>
      </c>
      <c r="B24" s="53" t="s">
        <v>418</v>
      </c>
      <c r="C24" s="53"/>
      <c r="D24" s="56"/>
      <c r="E24" s="52" t="s">
        <v>298</v>
      </c>
      <c r="F24" s="61">
        <f>'Fixed Costs &amp; Rates'!D83*('Calculated Inputs'!D8/7070)*100-'Fixed Costs &amp; Rates'!D11-'Fixed Costs &amp; Rates'!D31</f>
        <v>45997107.53583616</v>
      </c>
      <c r="G24" s="61">
        <f>'Fixed Costs &amp; Rates'!E83*('Calculated Inputs'!E8/7070)*100-'Fixed Costs &amp; Rates'!E11-'Fixed Costs &amp; Rates'!E31</f>
        <v>45997107.53583616</v>
      </c>
      <c r="H24" s="132">
        <f>'Fixed Costs &amp; Rates'!F83*'Calculated Inputs'!F8/7070*100-'Fixed Costs &amp; Rates'!F11-'Fixed Costs &amp; Rates'!F31</f>
        <v>45997107.53583616</v>
      </c>
      <c r="I24" s="61"/>
      <c r="J24" s="61"/>
      <c r="K24" s="132"/>
      <c r="L24" s="78"/>
    </row>
    <row r="25" spans="1:12" ht="9.75" customHeight="1">
      <c r="A25" s="56"/>
      <c r="B25" s="53" t="s">
        <v>413</v>
      </c>
      <c r="C25" s="53" t="s">
        <v>298</v>
      </c>
      <c r="D25" s="56" t="s">
        <v>426</v>
      </c>
      <c r="E25" s="62" t="s">
        <v>299</v>
      </c>
      <c r="F25" s="63">
        <f>'Fixed Costs &amp; Rates'!D85*('Calculated Inputs'!D10+'Calculated Inputs'!D19)+'Fixed Costs &amp; Rates'!D86*('Calculated Inputs'!D11+'Calculated Inputs'!D20)+('Fixed Costs &amp; Rates'!D87*1000)*('Calculated Inputs'!D12+'Calculated Inputs'!D21+'Calculated Inputs'!D25)+'Fixed Costs &amp; Rates'!D88*('Calculated Inputs'!D13+'Calculated Inputs'!D26)+('Fixed Costs &amp; Rates'!D90*'Calculated Inputs'!D15)+('Fixed Costs &amp; Rates'!D91*'Calculated Inputs'!D16)+('Fixed Costs &amp; Rates'!D92*'Calculated Inputs'!D17*1000)+('Fixed Costs &amp; Rates'!D98*'Calculated Inputs'!D23)+('Fixed Costs &amp; Rates'!D99*'Calculated Inputs'!D24)-'Fixed Costs &amp; Rates'!D12-'Fixed Costs &amp; Rates'!D30</f>
        <v>73420815.40377031</v>
      </c>
      <c r="G25" s="63">
        <f>'Fixed Costs &amp; Rates'!E85*('Calculated Inputs'!E10+'Calculated Inputs'!E19)+'Fixed Costs &amp; Rates'!E86*('Calculated Inputs'!E11+'Calculated Inputs'!E20)+('Fixed Costs &amp; Rates'!E87*1000)*('Calculated Inputs'!E12+'Calculated Inputs'!E21+'Calculated Inputs'!E25)+'Fixed Costs &amp; Rates'!E88*('Calculated Inputs'!E13+'Calculated Inputs'!E26)+('Fixed Costs &amp; Rates'!E90*'Calculated Inputs'!E15)+('Fixed Costs &amp; Rates'!E91*'Calculated Inputs'!E16)+('Fixed Costs &amp; Rates'!E92*'Calculated Inputs'!E17*1000)+('Fixed Costs &amp; Rates'!E98*'Calculated Inputs'!E23)+('Fixed Costs &amp; Rates'!E99*'Calculated Inputs'!E24)-'Fixed Costs &amp; Rates'!E12-'Fixed Costs &amp; Rates'!E30</f>
        <v>110449757.58958359</v>
      </c>
      <c r="H25" s="133">
        <f>'Fixed Costs &amp; Rates'!F85*('Calculated Inputs'!F10+'Calculated Inputs'!F19)+'Fixed Costs &amp; Rates'!F86*('Calculated Inputs'!F11+'Calculated Inputs'!F20)+('Fixed Costs &amp; Rates'!F87*1000)*('Calculated Inputs'!F12+'Calculated Inputs'!F21+'Calculated Inputs'!F25)+'Fixed Costs &amp; Rates'!F88*('Calculated Inputs'!F13+'Calculated Inputs'!F26)+('Fixed Costs &amp; Rates'!F90*'Calculated Inputs'!F15)+('Fixed Costs &amp; Rates'!F91*'Calculated Inputs'!F16)+('Fixed Costs &amp; Rates'!F92*'Calculated Inputs'!F17*1000)+('Fixed Costs &amp; Rates'!F98*'Calculated Inputs'!F23)+('Fixed Costs &amp; Rates'!F99*'Calculated Inputs'!F24)-'Fixed Costs &amp; Rates'!F12-'Fixed Costs &amp; Rates'!F30</f>
        <v>116748888.14131415</v>
      </c>
      <c r="I25" s="63"/>
      <c r="J25" s="63"/>
      <c r="K25" s="133"/>
      <c r="L25" s="78"/>
    </row>
    <row r="26" spans="1:12" ht="9.75" customHeight="1">
      <c r="A26" s="53"/>
      <c r="B26" s="53" t="s">
        <v>414</v>
      </c>
      <c r="C26" s="53" t="s">
        <v>299</v>
      </c>
      <c r="D26" s="56" t="s">
        <v>427</v>
      </c>
      <c r="E26" s="64" t="s">
        <v>235</v>
      </c>
      <c r="F26" s="65">
        <f>SUM(F24:K24)</f>
        <v>137991322.60750848</v>
      </c>
      <c r="L26" s="13"/>
    </row>
    <row r="27" spans="1:8" ht="9.75" customHeight="1">
      <c r="A27" s="56"/>
      <c r="B27" s="53" t="s">
        <v>410</v>
      </c>
      <c r="C27" s="53" t="s">
        <v>235</v>
      </c>
      <c r="D27" s="56" t="s">
        <v>415</v>
      </c>
      <c r="E27" s="66" t="s">
        <v>236</v>
      </c>
      <c r="F27" s="67">
        <f>SUM(F25:K25)</f>
        <v>300619461.13466805</v>
      </c>
      <c r="H27" s="81"/>
    </row>
    <row r="28" spans="1:12" ht="9.75" customHeight="1">
      <c r="A28" s="53"/>
      <c r="B28" s="53" t="s">
        <v>411</v>
      </c>
      <c r="C28" s="53" t="s">
        <v>236</v>
      </c>
      <c r="D28" s="56" t="s">
        <v>416</v>
      </c>
      <c r="E28" s="68" t="s">
        <v>237</v>
      </c>
      <c r="F28" s="69">
        <f>F26+F27</f>
        <v>438610783.74217653</v>
      </c>
      <c r="H28" s="80"/>
      <c r="I28" s="13"/>
      <c r="L28" s="369"/>
    </row>
    <row r="29" spans="1:9" ht="9.75" customHeight="1">
      <c r="A29" s="53"/>
      <c r="B29" s="53" t="s">
        <v>412</v>
      </c>
      <c r="C29" s="53" t="s">
        <v>237</v>
      </c>
      <c r="D29" s="56" t="s">
        <v>417</v>
      </c>
      <c r="H29" s="80"/>
      <c r="I29" s="13"/>
    </row>
    <row r="30" spans="1:9" s="94" customFormat="1" ht="9.75" customHeight="1">
      <c r="A30" s="92"/>
      <c r="B30" s="92"/>
      <c r="C30" s="91"/>
      <c r="D30" s="91"/>
      <c r="F30" s="92"/>
      <c r="G30" s="92"/>
      <c r="I30" s="92"/>
    </row>
    <row r="31" spans="5:12" ht="9.75" customHeight="1">
      <c r="E31" s="92"/>
      <c r="H31" s="80"/>
      <c r="I31" s="13"/>
      <c r="K31" s="185"/>
      <c r="L31" s="369"/>
    </row>
    <row r="32" ht="9.75" customHeight="1">
      <c r="I32" s="13"/>
    </row>
    <row r="33" spans="8:12" ht="9.75" customHeight="1">
      <c r="H33" s="80"/>
      <c r="I33" s="13"/>
      <c r="L33" s="369"/>
    </row>
    <row r="35" ht="9.75" customHeight="1">
      <c r="I35" s="80"/>
    </row>
    <row r="39" spans="6:8" ht="9.75" customHeight="1">
      <c r="F39" s="13"/>
      <c r="G39" s="13"/>
      <c r="H39" s="13"/>
    </row>
    <row r="40" spans="6:8" ht="9.75" customHeight="1">
      <c r="F40" s="13"/>
      <c r="G40" s="13"/>
      <c r="H40" s="13"/>
    </row>
    <row r="42" ht="9.75" customHeight="1">
      <c r="I42" s="80"/>
    </row>
  </sheetData>
  <printOptions horizontalCentered="1"/>
  <pageMargins left="0.5" right="0.5" top="0.75" bottom="0.75" header="0.5" footer="0.5"/>
  <pageSetup fitToHeight="1" fitToWidth="1" horizontalDpi="600" verticalDpi="600" orientation="landscape" scale="76" r:id="rId1"/>
  <headerFooter alignWithMargins="0">
    <oddHeader>&amp;C&amp;"Arial,Bold"&amp;12 120-Day Rule Calculations</oddHeader>
    <oddFooter>&amp;LPage 13&amp;CBonneville Power Administration, Power Business Line&amp;R2/14/02</oddFooter>
  </headerFooter>
</worksheet>
</file>

<file path=xl/worksheets/sheet14.xml><?xml version="1.0" encoding="utf-8"?>
<worksheet xmlns="http://schemas.openxmlformats.org/spreadsheetml/2006/main" xmlns:r="http://schemas.openxmlformats.org/officeDocument/2006/relationships">
  <sheetPr codeName="Sheet15">
    <pageSetUpPr fitToPage="1"/>
  </sheetPr>
  <dimension ref="A1:N24"/>
  <sheetViews>
    <sheetView view="pageBreakPreview" zoomScale="60" workbookViewId="0" topLeftCell="A1">
      <selection activeCell="D79" sqref="D78:D79"/>
    </sheetView>
  </sheetViews>
  <sheetFormatPr defaultColWidth="9.140625" defaultRowHeight="9.75" customHeight="1"/>
  <cols>
    <col min="1" max="1" width="22.140625" style="12" customWidth="1"/>
    <col min="2" max="2" width="9.57421875" style="14" customWidth="1"/>
    <col min="3" max="7" width="8.7109375" style="14" customWidth="1"/>
    <col min="8" max="8" width="9.7109375" style="12" customWidth="1"/>
    <col min="9" max="16384" width="8.7109375" style="12" customWidth="1"/>
  </cols>
  <sheetData>
    <row r="1" spans="1:7" ht="12.75">
      <c r="A1" s="345" t="s">
        <v>118</v>
      </c>
      <c r="B1" s="522" t="str">
        <f>'Analysis Parameters'!D6</f>
        <v>Oct</v>
      </c>
      <c r="C1" s="523" t="str">
        <f>'Analysis Parameters'!E6</f>
        <v>Nov</v>
      </c>
      <c r="D1" s="524" t="str">
        <f>'Analysis Parameters'!F6</f>
        <v>Dec</v>
      </c>
      <c r="E1" s="523" t="str">
        <f>'Analysis Parameters'!G6</f>
        <v>none</v>
      </c>
      <c r="F1" s="523" t="str">
        <f>'Analysis Parameters'!H6</f>
        <v>none</v>
      </c>
      <c r="G1" s="524" t="str">
        <f>'Analysis Parameters'!I6</f>
        <v>none</v>
      </c>
    </row>
    <row r="2" spans="1:8" ht="11.25">
      <c r="A2" s="18" t="s">
        <v>0</v>
      </c>
      <c r="B2" s="19">
        <f>('Load Inputs'!D47-'Fixed Costs &amp; Rates'!D5)*(1+'Fixed Costs &amp; Rates'!$D$107)</f>
        <v>653.556</v>
      </c>
      <c r="C2" s="19">
        <f>('Load Inputs'!E47-'Fixed Costs &amp; Rates'!E5)*(1+'Fixed Costs &amp; Rates'!$D$107)</f>
        <v>802.184</v>
      </c>
      <c r="D2" s="126">
        <f>('Load Inputs'!F47-'Fixed Costs &amp; Rates'!F5)*(1+'Fixed Costs &amp; Rates'!$D$107)</f>
        <v>604.692</v>
      </c>
      <c r="E2" s="19"/>
      <c r="F2" s="19"/>
      <c r="G2" s="126"/>
      <c r="H2" s="41"/>
    </row>
    <row r="3" spans="1:7" ht="11.25">
      <c r="A3" s="20" t="s">
        <v>120</v>
      </c>
      <c r="B3" s="76"/>
      <c r="C3" s="21"/>
      <c r="D3" s="127"/>
      <c r="E3" s="21"/>
      <c r="F3" s="21"/>
      <c r="G3" s="127"/>
    </row>
    <row r="4" spans="1:7" ht="11.25">
      <c r="A4" s="22" t="s">
        <v>129</v>
      </c>
      <c r="B4" s="23">
        <f>'Analysis Parameters'!D9</f>
        <v>432</v>
      </c>
      <c r="C4" s="23">
        <f>'Analysis Parameters'!E9</f>
        <v>416</v>
      </c>
      <c r="D4" s="49">
        <f>'Analysis Parameters'!F9</f>
        <v>416</v>
      </c>
      <c r="E4" s="23"/>
      <c r="F4" s="23"/>
      <c r="G4" s="49"/>
    </row>
    <row r="5" spans="1:7" ht="11.25">
      <c r="A5" s="24" t="s">
        <v>263</v>
      </c>
      <c r="B5" s="25">
        <f>IF('Calculated Inputs'!D64&gt;B2,(B2/'Calculated Inputs'!D64)*'Calculated Inputs'!D79,IF('Calculated Inputs'!D64=B2,'Calculated Inputs'!D79,IF('Calculated Inputs'!D64&lt;B2,'Calculated Inputs'!D52+((B2-'Calculated Inputs'!D64)*'Fixed Costs &amp; Rates'!D79*B4))))</f>
        <v>13544698.765353978</v>
      </c>
      <c r="C5" s="25">
        <f>IF('Calculated Inputs'!E64&gt;C2,(C2/'Calculated Inputs'!E64)*'Calculated Inputs'!E79,IF('Calculated Inputs'!E64=C2,'Calculated Inputs'!E79,IF('Calculated Inputs'!E64&lt;C2,'Calculated Inputs'!E52+((C2-'Calculated Inputs'!E64)*'Fixed Costs &amp; Rates'!E79*C4))))</f>
        <v>15175392.650286386</v>
      </c>
      <c r="D5" s="124">
        <f>IF('Calculated Inputs'!F64&gt;D2,(D2/'Calculated Inputs'!F64)*'Calculated Inputs'!F79,IF('Calculated Inputs'!F64=D2,'Calculated Inputs'!F79,IF('Calculated Inputs'!F64&lt;D2,'Calculated Inputs'!F79+((D2-'Calculated Inputs'!F64)*'Fixed Costs &amp; Rates'!F79*D4))))</f>
        <v>12117394.67133916</v>
      </c>
      <c r="E5" s="25"/>
      <c r="F5" s="25"/>
      <c r="G5" s="124"/>
    </row>
    <row r="6" spans="1:8" ht="11.25">
      <c r="A6" s="26" t="s">
        <v>205</v>
      </c>
      <c r="B6" s="25">
        <f>MAX(0,((B2-'Calculated Inputs'!D64)*B4*'Fixed Costs &amp; Rates'!D79))</f>
        <v>0</v>
      </c>
      <c r="C6" s="25">
        <f>MAX(0,((C2-'Calculated Inputs'!E64)*C4*'Fixed Costs &amp; Rates'!E79))</f>
        <v>0</v>
      </c>
      <c r="D6" s="124">
        <f>MAX(0,((D2-'Calculated Inputs'!F64)*D4*'Fixed Costs &amp; Rates'!F79))</f>
        <v>0</v>
      </c>
      <c r="E6" s="25"/>
      <c r="F6" s="25"/>
      <c r="G6" s="124"/>
      <c r="H6" s="41"/>
    </row>
    <row r="7" spans="1:8" ht="11.25">
      <c r="A7" s="26" t="s">
        <v>213</v>
      </c>
      <c r="B7" s="25">
        <f>B6+'Calculated Inputs'!D79</f>
        <v>31193285.33379159</v>
      </c>
      <c r="C7" s="25">
        <f>C6+'Calculated Inputs'!E79</f>
        <v>28869569.929474328</v>
      </c>
      <c r="D7" s="124">
        <f>D6+'Calculated Inputs'!F79</f>
        <v>30368889.020123918</v>
      </c>
      <c r="E7" s="25"/>
      <c r="F7" s="25"/>
      <c r="G7" s="124"/>
      <c r="H7" s="41"/>
    </row>
    <row r="8" spans="1:7" ht="11.25">
      <c r="A8" s="27" t="s">
        <v>121</v>
      </c>
      <c r="B8" s="25"/>
      <c r="C8" s="25"/>
      <c r="D8" s="124"/>
      <c r="E8" s="25"/>
      <c r="F8" s="25"/>
      <c r="G8" s="124"/>
    </row>
    <row r="9" spans="1:7" ht="11.25">
      <c r="A9" s="24" t="s">
        <v>129</v>
      </c>
      <c r="B9" s="23">
        <f>'Analysis Parameters'!D10</f>
        <v>313</v>
      </c>
      <c r="C9" s="23">
        <f>'Analysis Parameters'!E10</f>
        <v>304</v>
      </c>
      <c r="D9" s="49">
        <f>'Analysis Parameters'!F10</f>
        <v>328</v>
      </c>
      <c r="E9" s="23"/>
      <c r="F9" s="23"/>
      <c r="G9" s="49"/>
    </row>
    <row r="10" spans="1:7" ht="11.25">
      <c r="A10" s="24" t="s">
        <v>263</v>
      </c>
      <c r="B10" s="25">
        <f>IF('Calculated Inputs'!D65&gt;B2,(B2/'Calculated Inputs'!D65)*'Calculated Inputs'!D80,IF('Calculated Inputs'!D65=B2,'Calculated Inputs'!D80,IF('Calculated Inputs'!D65&lt;B2,'Calculated Inputs'!D80+((B2-'Calculated Inputs'!D65)*'Fixed Costs &amp; Rates'!D80*B9))))</f>
        <v>9170956.785800083</v>
      </c>
      <c r="C10" s="25">
        <f>IF('Calculated Inputs'!E65&gt;C2,(C2/'Calculated Inputs'!E65)*'Calculated Inputs'!E80,IF('Calculated Inputs'!E65=C2,'Calculated Inputs'!E80,IF('Calculated Inputs'!E65&lt;C2,'Calculated Inputs'!E80+((C2-'Calculated Inputs'!E65)*'Fixed Costs &amp; Rates'!E80*C9))))</f>
        <v>10478611.994834892</v>
      </c>
      <c r="D10" s="124">
        <f>IF('Calculated Inputs'!F65&gt;D2,(D2/'Calculated Inputs'!F65)*'Calculated Inputs'!F80,IF('Calculated Inputs'!F65=D2,'Calculated Inputs'!F80,IF('Calculated Inputs'!F65&lt;D2,'Calculated Inputs'!F80+((D2-'Calculated Inputs'!F65)*'Fixed Costs &amp; Rates'!F80*D9))))</f>
        <v>9027484.531650588</v>
      </c>
      <c r="E10" s="25"/>
      <c r="F10" s="25"/>
      <c r="G10" s="124"/>
    </row>
    <row r="11" spans="1:8" ht="11.25">
      <c r="A11" s="24" t="s">
        <v>205</v>
      </c>
      <c r="B11" s="25">
        <f>MAX(0,((B2-'Calculated Inputs'!D65)*B9*'Fixed Costs &amp; Rates'!D80))</f>
        <v>0</v>
      </c>
      <c r="C11" s="25">
        <f>MAX(0,((C2-'Calculated Inputs'!E65)*C9*'Fixed Costs &amp; Rates'!E80))</f>
        <v>0</v>
      </c>
      <c r="D11" s="124">
        <f>MAX(0,((D2-'Calculated Inputs'!F65)*D9*'Fixed Costs &amp; Rates'!F80))</f>
        <v>0</v>
      </c>
      <c r="E11" s="25"/>
      <c r="F11" s="25"/>
      <c r="G11" s="124"/>
      <c r="H11" s="41"/>
    </row>
    <row r="12" spans="1:9" ht="11.25">
      <c r="A12" s="26" t="s">
        <v>213</v>
      </c>
      <c r="B12" s="25">
        <f>B11+'Calculated Inputs'!D80</f>
        <v>21948667.292600557</v>
      </c>
      <c r="C12" s="25">
        <f>C11+'Calculated Inputs'!E80</f>
        <v>22529511.549095295</v>
      </c>
      <c r="D12" s="124">
        <f>D11+'Calculated Inputs'!F80</f>
        <v>25356274.942194834</v>
      </c>
      <c r="E12" s="25"/>
      <c r="F12" s="25"/>
      <c r="G12" s="124"/>
      <c r="H12" s="41"/>
      <c r="I12" s="41"/>
    </row>
    <row r="13" spans="1:9" ht="11.25">
      <c r="A13" s="28" t="s">
        <v>264</v>
      </c>
      <c r="B13" s="70">
        <f>SUM(B5:G5)+SUM(B10:G10)+SUM('Calculated Inputs'!D90:I91)-SUM('Calculated Inputs'!D85:I85)</f>
        <v>168385301.27926508</v>
      </c>
      <c r="C13" s="55"/>
      <c r="D13" s="39"/>
      <c r="E13" s="29"/>
      <c r="F13" s="29"/>
      <c r="G13" s="39"/>
      <c r="H13" s="41"/>
      <c r="I13" s="41"/>
    </row>
    <row r="14" spans="1:7" ht="11.25">
      <c r="A14" s="30" t="s">
        <v>265</v>
      </c>
      <c r="B14" s="31">
        <f>MIN(B$2,1745-(('Load Inputs'!D38)/1486)*450)</f>
        <v>653.556</v>
      </c>
      <c r="C14" s="31">
        <f>MIN(C$2,1745-(('Load Inputs'!E38)/1486)*450)</f>
        <v>802.184</v>
      </c>
      <c r="D14" s="129">
        <f>MIN(D$2,1745-(('Load Inputs'!F38)/1486)*450)</f>
        <v>604.692</v>
      </c>
      <c r="E14" s="31"/>
      <c r="F14" s="31"/>
      <c r="G14" s="129"/>
    </row>
    <row r="15" spans="1:7" ht="11.25">
      <c r="A15" s="32" t="s">
        <v>266</v>
      </c>
      <c r="B15" s="33">
        <f>MIN(B$2,1745-(('Load Inputs'!D38)/1486)*450)</f>
        <v>653.556</v>
      </c>
      <c r="C15" s="33">
        <f>MIN(C$2,1745-(('Load Inputs'!E38)/1486)*450)</f>
        <v>802.184</v>
      </c>
      <c r="D15" s="130">
        <f>MIN(D$2,1745-(('Load Inputs'!F38)/1486)*450)</f>
        <v>604.692</v>
      </c>
      <c r="E15" s="33"/>
      <c r="F15" s="33"/>
      <c r="G15" s="130"/>
    </row>
    <row r="16" spans="1:7" ht="11.25">
      <c r="A16" s="32" t="s">
        <v>267</v>
      </c>
      <c r="B16" s="33">
        <f aca="true" t="shared" si="0" ref="B16:D17">MAX(0,B$2-B14)</f>
        <v>0</v>
      </c>
      <c r="C16" s="33">
        <f t="shared" si="0"/>
        <v>0</v>
      </c>
      <c r="D16" s="130">
        <f t="shared" si="0"/>
        <v>0</v>
      </c>
      <c r="E16" s="33"/>
      <c r="F16" s="33"/>
      <c r="G16" s="130"/>
    </row>
    <row r="17" spans="1:7" ht="11.25">
      <c r="A17" s="32" t="s">
        <v>268</v>
      </c>
      <c r="B17" s="33">
        <f t="shared" si="0"/>
        <v>0</v>
      </c>
      <c r="C17" s="33">
        <f t="shared" si="0"/>
        <v>0</v>
      </c>
      <c r="D17" s="130">
        <f t="shared" si="0"/>
        <v>0</v>
      </c>
      <c r="E17" s="33"/>
      <c r="F17" s="33"/>
      <c r="G17" s="130"/>
    </row>
    <row r="18" spans="1:7" ht="11.25">
      <c r="A18" s="34" t="s">
        <v>269</v>
      </c>
      <c r="B18" s="33">
        <f>((B14*28.1)+(B16*19.26))*B4</f>
        <v>7933646.995200001</v>
      </c>
      <c r="C18" s="33">
        <f>((C14*28.1)+(C16*19.26))*C4</f>
        <v>9377210.0864</v>
      </c>
      <c r="D18" s="130">
        <f>((D14*28.1)+(D16*19.26))*D4</f>
        <v>7068607.6032</v>
      </c>
      <c r="E18" s="33"/>
      <c r="F18" s="33"/>
      <c r="G18" s="130"/>
    </row>
    <row r="19" spans="1:14" ht="11.25">
      <c r="A19" s="35" t="s">
        <v>270</v>
      </c>
      <c r="B19" s="36">
        <f>((B15*28.1)+(B17*19.26))*B9</f>
        <v>5748221.086800001</v>
      </c>
      <c r="C19" s="36">
        <f>((C15*28.1)+(C17*19.26))*C9</f>
        <v>6852576.6016</v>
      </c>
      <c r="D19" s="134">
        <f>((D15*28.1)+(D17*19.26))*D9</f>
        <v>5573325.2256</v>
      </c>
      <c r="E19" s="36"/>
      <c r="F19" s="36"/>
      <c r="G19" s="134"/>
      <c r="H19" s="41"/>
      <c r="I19" s="41"/>
      <c r="J19" s="41"/>
      <c r="K19" s="41"/>
      <c r="L19" s="41"/>
      <c r="M19" s="41"/>
      <c r="N19" s="41"/>
    </row>
    <row r="20" spans="1:9" ht="11.25">
      <c r="A20" s="72" t="s">
        <v>271</v>
      </c>
      <c r="B20" s="73">
        <f>SUM(B18:G19)</f>
        <v>42553587.5988</v>
      </c>
      <c r="C20" s="54"/>
      <c r="D20" s="37"/>
      <c r="E20" s="37"/>
      <c r="F20" s="37"/>
      <c r="G20" s="37"/>
      <c r="I20" s="50"/>
    </row>
    <row r="21" spans="1:9" ht="11.25">
      <c r="A21" s="525" t="s">
        <v>272</v>
      </c>
      <c r="B21" s="526">
        <f>B13-B20</f>
        <v>125831713.68046507</v>
      </c>
      <c r="C21" s="75"/>
      <c r="I21" s="50"/>
    </row>
    <row r="24" spans="1:8" ht="9.75" customHeight="1">
      <c r="A24" s="92"/>
      <c r="D24" s="80"/>
      <c r="E24" s="13"/>
      <c r="G24" s="185"/>
      <c r="H24" s="369"/>
    </row>
  </sheetData>
  <printOptions horizontalCentered="1"/>
  <pageMargins left="0.5" right="0.5" top="0.75" bottom="0.75" header="0.5" footer="0.5"/>
  <pageSetup fitToHeight="0" fitToWidth="1" horizontalDpi="600" verticalDpi="600" orientation="portrait" r:id="rId1"/>
  <headerFooter alignWithMargins="0">
    <oddHeader>&amp;C&amp;"Arial,Bold"&amp;12 0-Day Rule Calculations</oddHeader>
    <oddFooter>&amp;LPage 14&amp;CBonneville Power Administration, Power Business Line&amp;R2/14/02</oddFooter>
  </headerFooter>
</worksheet>
</file>

<file path=xl/worksheets/sheet15.xml><?xml version="1.0" encoding="utf-8"?>
<worksheet xmlns="http://schemas.openxmlformats.org/spreadsheetml/2006/main" xmlns:r="http://schemas.openxmlformats.org/officeDocument/2006/relationships">
  <sheetPr codeName="Sheet9">
    <pageSetUpPr fitToPage="1"/>
  </sheetPr>
  <dimension ref="A1:L25"/>
  <sheetViews>
    <sheetView tabSelected="1" view="pageBreakPreview" zoomScale="60" workbookViewId="0" topLeftCell="A1">
      <selection activeCell="A1" sqref="A1"/>
    </sheetView>
  </sheetViews>
  <sheetFormatPr defaultColWidth="9.140625" defaultRowHeight="9.75" customHeight="1"/>
  <cols>
    <col min="1" max="1" width="9.7109375" style="2" customWidth="1"/>
    <col min="2" max="2" width="20.421875" style="2" customWidth="1"/>
    <col min="3" max="3" width="19.140625" style="2" customWidth="1"/>
    <col min="4" max="4" width="41.7109375" style="2" bestFit="1" customWidth="1"/>
    <col min="5" max="5" width="19.28125" style="2" customWidth="1"/>
    <col min="6" max="6" width="11.7109375" style="2" customWidth="1"/>
    <col min="7" max="16384" width="9.7109375" style="2" customWidth="1"/>
  </cols>
  <sheetData>
    <row r="1" spans="1:11" ht="9.75" customHeight="1">
      <c r="A1" s="2" t="s">
        <v>112</v>
      </c>
      <c r="B1" s="2" t="s">
        <v>456</v>
      </c>
      <c r="E1" s="321"/>
      <c r="F1" s="322" t="str">
        <f>'Analysis Parameters'!D6</f>
        <v>Oct</v>
      </c>
      <c r="G1" s="322" t="str">
        <f>'Analysis Parameters'!E6</f>
        <v>Nov</v>
      </c>
      <c r="H1" s="323" t="str">
        <f>'Analysis Parameters'!F6</f>
        <v>Dec</v>
      </c>
      <c r="I1" s="322" t="str">
        <f>'Analysis Parameters'!G6</f>
        <v>none</v>
      </c>
      <c r="J1" s="322" t="str">
        <f>'Analysis Parameters'!H6</f>
        <v>none</v>
      </c>
      <c r="K1" s="323" t="str">
        <f>'Analysis Parameters'!I6</f>
        <v>none</v>
      </c>
    </row>
    <row r="2" spans="2:12" ht="9.75" customHeight="1">
      <c r="B2" s="2" t="s">
        <v>419</v>
      </c>
      <c r="C2" s="2" t="s">
        <v>100</v>
      </c>
      <c r="D2" s="51" t="s">
        <v>424</v>
      </c>
      <c r="E2" s="57" t="s">
        <v>100</v>
      </c>
      <c r="F2" s="324">
        <f>('Fixed Costs &amp; Rates'!D56*('Calculated Inputs'!D8/7070)*100)-('Fixed Costs &amp; Rates'!D31+'Fixed Costs &amp; Rates'!D19)</f>
        <v>31304763.84362028</v>
      </c>
      <c r="G2" s="148">
        <f>('Fixed Costs &amp; Rates'!E56*('Calculated Inputs'!E8/7070)*100)-('Fixed Costs &amp; Rates'!E31+'Fixed Costs &amp; Rates'!E19)</f>
        <v>31304763.84362028</v>
      </c>
      <c r="H2" s="149">
        <f>('Fixed Costs &amp; Rates'!F56*('Calculated Inputs'!F8/7070)*100)-('Fixed Costs &amp; Rates'!F31+'Fixed Costs &amp; Rates'!F19)</f>
        <v>31304763.84362028</v>
      </c>
      <c r="I2" s="148"/>
      <c r="J2" s="148"/>
      <c r="K2" s="149"/>
      <c r="L2" s="78"/>
    </row>
    <row r="3" spans="2:12" ht="9.75" customHeight="1">
      <c r="B3" s="2" t="s">
        <v>420</v>
      </c>
      <c r="C3" s="2" t="s">
        <v>101</v>
      </c>
      <c r="D3" s="51" t="s">
        <v>425</v>
      </c>
      <c r="E3" s="58" t="s">
        <v>153</v>
      </c>
      <c r="F3" s="325">
        <f>('Calculated Inputs'!D10+'Calculated Inputs'!D19)*'Fixed Costs &amp; Rates'!D58+('Calculated Inputs'!D11+'Calculated Inputs'!D20)*'Fixed Costs &amp; Rates'!D59+('Calculated Inputs'!D13+'Calculated Inputs'!D26)*'Fixed Costs &amp; Rates'!D61+('Fixed Costs &amp; Rates'!D60*1000)*('Calculated Inputs'!D12+'Calculated Inputs'!D21+'Calculated Inputs'!D25)+('Calculated Inputs'!D17*'Fixed Costs &amp; Rates'!D65*1000)+('Calculated Inputs'!D15)*('Fixed Costs &amp; Rates'!D63)+('Calculated Inputs'!D16*'Fixed Costs &amp; Rates'!D64)+('Fixed Costs &amp; Rates'!D71*'Calculated Inputs'!D23)+('Fixed Costs &amp; Rates'!D72*'Calculated Inputs'!D24)-'Fixed Costs &amp; Rates'!D30-'Fixed Costs &amp; Rates'!D20</f>
        <v>49607116.128019996</v>
      </c>
      <c r="G3" s="150">
        <f>('Calculated Inputs'!E10+'Calculated Inputs'!E19)*'Fixed Costs &amp; Rates'!E58+('Calculated Inputs'!E11+'Calculated Inputs'!E20)*'Fixed Costs &amp; Rates'!E59+('Calculated Inputs'!E13+'Calculated Inputs'!E26)*'Fixed Costs &amp; Rates'!E61+('Fixed Costs &amp; Rates'!E60*1000)*('Calculated Inputs'!E12+'Calculated Inputs'!E21+'Calculated Inputs'!E25)+('Calculated Inputs'!E17*'Fixed Costs &amp; Rates'!E65*1000)+('Calculated Inputs'!E15)*('Fixed Costs &amp; Rates'!E63)+('Calculated Inputs'!E16*'Fixed Costs &amp; Rates'!E64)+('Fixed Costs &amp; Rates'!E71*'Calculated Inputs'!E23)+('Fixed Costs &amp; Rates'!E72*'Calculated Inputs'!E24)-'Fixed Costs &amp; Rates'!E30-'Fixed Costs &amp; Rates'!E20</f>
        <v>74976858.67945</v>
      </c>
      <c r="H3" s="151">
        <f>('Calculated Inputs'!F10+'Calculated Inputs'!F19)*'Fixed Costs &amp; Rates'!F58+('Calculated Inputs'!F11+'Calculated Inputs'!F20)*'Fixed Costs &amp; Rates'!F59+('Calculated Inputs'!F13+'Calculated Inputs'!F26)*'Fixed Costs &amp; Rates'!F61+('Fixed Costs &amp; Rates'!F60*1000)*('Calculated Inputs'!F12+'Calculated Inputs'!F21+'Calculated Inputs'!F25)+('Calculated Inputs'!F17*'Fixed Costs &amp; Rates'!F65*1000)+('Calculated Inputs'!F15)*('Fixed Costs &amp; Rates'!F63)+('Calculated Inputs'!F16*'Fixed Costs &amp; Rates'!F64)+('Fixed Costs &amp; Rates'!F71*'Calculated Inputs'!F23)+('Fixed Costs &amp; Rates'!F72*'Calculated Inputs'!F24)-'Fixed Costs &amp; Rates'!F30-'Fixed Costs &amp; Rates'!F20</f>
        <v>79313172.72867</v>
      </c>
      <c r="I3" s="150"/>
      <c r="J3" s="150"/>
      <c r="K3" s="151"/>
      <c r="L3" s="78"/>
    </row>
    <row r="4" spans="1:12" ht="9.75" customHeight="1">
      <c r="A4" s="2" t="s">
        <v>113</v>
      </c>
      <c r="B4" s="2" t="s">
        <v>421</v>
      </c>
      <c r="C4" s="2" t="s">
        <v>102</v>
      </c>
      <c r="D4" s="51" t="s">
        <v>105</v>
      </c>
      <c r="E4" s="326" t="s">
        <v>102</v>
      </c>
      <c r="F4" s="327">
        <f>SUM(F2:K2)</f>
        <v>93914291.53086084</v>
      </c>
      <c r="G4" s="248"/>
      <c r="H4" s="287"/>
      <c r="I4" s="248"/>
      <c r="J4" s="248"/>
      <c r="K4" s="287"/>
      <c r="L4" s="164"/>
    </row>
    <row r="5" spans="2:11" ht="9.75" customHeight="1">
      <c r="B5" s="2" t="s">
        <v>422</v>
      </c>
      <c r="C5" s="2" t="s">
        <v>103</v>
      </c>
      <c r="D5" s="51" t="s">
        <v>106</v>
      </c>
      <c r="E5" s="326" t="s">
        <v>103</v>
      </c>
      <c r="F5" s="327">
        <f>SUM(F3:K3)</f>
        <v>203897147.53614</v>
      </c>
      <c r="G5" s="248"/>
      <c r="H5" s="287"/>
      <c r="I5" s="248"/>
      <c r="J5" s="248"/>
      <c r="K5" s="287"/>
    </row>
    <row r="6" spans="2:11" ht="9.75" customHeight="1">
      <c r="B6" s="2" t="s">
        <v>423</v>
      </c>
      <c r="C6" s="2" t="s">
        <v>107</v>
      </c>
      <c r="D6" s="51" t="s">
        <v>104</v>
      </c>
      <c r="E6" s="328" t="s">
        <v>107</v>
      </c>
      <c r="F6" s="329">
        <f>F5+F4</f>
        <v>297811439.06700087</v>
      </c>
      <c r="G6" s="250"/>
      <c r="H6" s="318"/>
      <c r="I6" s="250"/>
      <c r="J6" s="250"/>
      <c r="K6" s="318"/>
    </row>
    <row r="7" spans="4:11" s="10" customFormat="1" ht="9.75" customHeight="1">
      <c r="D7" s="330"/>
      <c r="E7" s="621"/>
      <c r="F7" s="331"/>
      <c r="G7" s="93"/>
      <c r="H7" s="93"/>
      <c r="I7" s="93"/>
      <c r="J7" s="93"/>
      <c r="K7" s="93"/>
    </row>
    <row r="8" spans="1:11" ht="9.75" customHeight="1">
      <c r="A8" s="2" t="s">
        <v>452</v>
      </c>
      <c r="D8" s="51"/>
      <c r="E8" s="332" t="s">
        <v>253</v>
      </c>
      <c r="F8" s="333"/>
      <c r="G8" s="93"/>
      <c r="H8" s="93"/>
      <c r="I8" s="93"/>
      <c r="J8" s="93"/>
      <c r="K8" s="93"/>
    </row>
    <row r="9" spans="3:11" ht="9.75" customHeight="1">
      <c r="C9" s="2" t="s">
        <v>238</v>
      </c>
      <c r="D9" s="334" t="s">
        <v>274</v>
      </c>
      <c r="E9" s="335" t="s">
        <v>238</v>
      </c>
      <c r="F9" s="217">
        <f>'120 - Day Rule Calc''s'!F26-F4</f>
        <v>44077031.07664764</v>
      </c>
      <c r="G9" s="79"/>
      <c r="H9" s="79"/>
      <c r="I9" s="79"/>
      <c r="J9" s="79"/>
      <c r="K9" s="79"/>
    </row>
    <row r="10" spans="3:11" ht="9.75" customHeight="1">
      <c r="C10" s="2" t="s">
        <v>239</v>
      </c>
      <c r="D10" s="334" t="s">
        <v>275</v>
      </c>
      <c r="E10" s="336" t="s">
        <v>239</v>
      </c>
      <c r="F10" s="160">
        <f>'120 - Day Rule Calc''s'!F27-F5</f>
        <v>96722313.59852806</v>
      </c>
      <c r="G10" s="79"/>
      <c r="H10" s="79"/>
      <c r="I10" s="79"/>
      <c r="J10" s="79"/>
      <c r="K10" s="79"/>
    </row>
    <row r="11" spans="1:6" ht="9.75" customHeight="1">
      <c r="A11" s="2" t="s">
        <v>233</v>
      </c>
      <c r="E11" s="59" t="s">
        <v>252</v>
      </c>
      <c r="F11" s="337"/>
    </row>
    <row r="12" spans="3:7" ht="9.75" customHeight="1">
      <c r="C12" s="2" t="s">
        <v>240</v>
      </c>
      <c r="D12" s="51" t="s">
        <v>281</v>
      </c>
      <c r="E12" s="338" t="s">
        <v>240</v>
      </c>
      <c r="F12" s="167">
        <f>'120 - Day Rule Calc''s'!F23*('120 - Day Rule Calc''s'!F26/'120 - Day Rule Calc''s'!F28)</f>
        <v>39832647.77853357</v>
      </c>
      <c r="G12" s="79"/>
    </row>
    <row r="13" spans="3:7" ht="9.75" customHeight="1">
      <c r="C13" s="2" t="s">
        <v>241</v>
      </c>
      <c r="D13" s="51" t="s">
        <v>282</v>
      </c>
      <c r="E13" s="339" t="s">
        <v>241</v>
      </c>
      <c r="F13" s="340">
        <f>'120 - Day Rule Calc''s'!F23*('120 - Day Rule Calc''s'!F27/'120 - Day Rule Calc''s'!F28)</f>
        <v>86776971.80140102</v>
      </c>
      <c r="G13" s="79"/>
    </row>
    <row r="14" spans="1:6" ht="9.75" customHeight="1">
      <c r="A14" s="2" t="s">
        <v>234</v>
      </c>
      <c r="E14" s="270" t="s">
        <v>251</v>
      </c>
      <c r="F14" s="211"/>
    </row>
    <row r="15" spans="3:7" ht="9.75" customHeight="1">
      <c r="C15" s="2" t="s">
        <v>242</v>
      </c>
      <c r="D15" s="2" t="s">
        <v>243</v>
      </c>
      <c r="E15" s="341" t="s">
        <v>242</v>
      </c>
      <c r="F15" s="342">
        <f>F12-F9</f>
        <v>-4244383.298114069</v>
      </c>
      <c r="G15" s="74"/>
    </row>
    <row r="16" spans="3:6" ht="9.75" customHeight="1">
      <c r="C16" s="2" t="s">
        <v>244</v>
      </c>
      <c r="D16" s="2" t="s">
        <v>245</v>
      </c>
      <c r="E16" s="343" t="s">
        <v>244</v>
      </c>
      <c r="F16" s="344">
        <f>F13-F10</f>
        <v>-9945341.797127038</v>
      </c>
    </row>
    <row r="17" spans="1:6" ht="9.75" customHeight="1">
      <c r="A17" s="2" t="s">
        <v>453</v>
      </c>
      <c r="E17" s="345" t="s">
        <v>250</v>
      </c>
      <c r="F17" s="188"/>
    </row>
    <row r="18" spans="3:7" ht="9.75" customHeight="1">
      <c r="C18" s="2" t="s">
        <v>42</v>
      </c>
      <c r="D18" s="51" t="s">
        <v>246</v>
      </c>
      <c r="E18" s="346" t="s">
        <v>42</v>
      </c>
      <c r="F18" s="347">
        <f>'0 - Day Rule Calc''s'!B21-'120 - Day Rule Calc''s'!F23</f>
        <v>-777905.8994695246</v>
      </c>
      <c r="G18" s="74"/>
    </row>
    <row r="19" spans="1:6" ht="9.75" customHeight="1">
      <c r="A19" s="2" t="s">
        <v>454</v>
      </c>
      <c r="E19" s="313" t="s">
        <v>249</v>
      </c>
      <c r="F19" s="314"/>
    </row>
    <row r="20" spans="3:9" ht="9.75" customHeight="1">
      <c r="C20" s="2" t="s">
        <v>247</v>
      </c>
      <c r="D20" s="51" t="s">
        <v>279</v>
      </c>
      <c r="E20" s="335" t="s">
        <v>319</v>
      </c>
      <c r="F20" s="527">
        <f>ROUND(F15/('120 - Day Rule Calc''s'!F26*'Analysis Parameters'!D4),9)</f>
        <v>-0.010252778</v>
      </c>
      <c r="H20" s="79"/>
      <c r="I20" s="83"/>
    </row>
    <row r="21" spans="3:9" ht="9.75" customHeight="1">
      <c r="C21" s="2" t="s">
        <v>248</v>
      </c>
      <c r="D21" s="51" t="s">
        <v>280</v>
      </c>
      <c r="E21" s="336" t="s">
        <v>318</v>
      </c>
      <c r="F21" s="528">
        <f>ROUND((F16+F18)/('120 - Day Rule Calc''s'!F27*'Analysis Parameters'!D4),9)</f>
        <v>-0.011890168</v>
      </c>
      <c r="H21" s="79"/>
      <c r="I21" s="83"/>
    </row>
    <row r="22" spans="1:7" ht="9.75" customHeight="1">
      <c r="A22" s="2" t="s">
        <v>455</v>
      </c>
      <c r="G22" s="74"/>
    </row>
    <row r="24" spans="1:11" s="12" customFormat="1" ht="9.75" customHeight="1">
      <c r="A24" s="92"/>
      <c r="B24" s="14"/>
      <c r="C24" s="14"/>
      <c r="D24" s="80"/>
      <c r="E24" s="92"/>
      <c r="F24" s="14"/>
      <c r="H24" s="369"/>
      <c r="K24" s="185"/>
    </row>
    <row r="25" ht="9.75" customHeight="1">
      <c r="F25" s="79"/>
    </row>
  </sheetData>
  <printOptions horizontalCentered="1"/>
  <pageMargins left="0.5" right="0.5" top="0.75" bottom="0.75" header="0.5" footer="0.5"/>
  <pageSetup fitToHeight="1" fitToWidth="1" horizontalDpi="600" verticalDpi="600" orientation="landscape" scale="92" r:id="rId1"/>
  <headerFooter alignWithMargins="0">
    <oddHeader>&amp;C&amp;"Arial,Bold"&amp;12Lookback Calculations</oddHeader>
    <oddFooter>&amp;LPage 15&amp;CBonneville Power Administration, Power Business Line&amp;R2/14/02</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S25"/>
  <sheetViews>
    <sheetView view="pageBreakPreview" zoomScale="75" zoomScaleNormal="50" zoomScaleSheetLayoutView="75" workbookViewId="0" topLeftCell="A1">
      <selection activeCell="D79" sqref="D78:D79"/>
    </sheetView>
  </sheetViews>
  <sheetFormatPr defaultColWidth="9.140625" defaultRowHeight="9.75" customHeight="1"/>
  <cols>
    <col min="1" max="1" width="26.421875" style="2" customWidth="1"/>
    <col min="2" max="2" width="56.8515625" style="2" customWidth="1"/>
    <col min="3" max="17" width="9.140625" style="2" customWidth="1"/>
    <col min="18" max="18" width="7.28125" style="2" customWidth="1"/>
    <col min="19" max="19" width="12.421875" style="2" hidden="1" customWidth="1"/>
    <col min="20" max="16384" width="9.140625" style="2" customWidth="1"/>
  </cols>
  <sheetData>
    <row r="1" spans="1:19" s="10" customFormat="1" ht="12.75">
      <c r="A1" s="529" t="s">
        <v>491</v>
      </c>
      <c r="B1" s="543"/>
      <c r="C1" s="542"/>
      <c r="D1" s="542"/>
      <c r="E1" s="542"/>
      <c r="F1" s="542"/>
      <c r="G1" s="542"/>
      <c r="H1" s="542"/>
      <c r="I1" s="542"/>
      <c r="J1" s="540"/>
      <c r="K1" s="540"/>
      <c r="L1" s="540"/>
      <c r="M1" s="540"/>
      <c r="N1" s="540"/>
      <c r="O1" s="540"/>
      <c r="P1" s="540"/>
      <c r="Q1" s="540"/>
      <c r="R1" s="541"/>
      <c r="S1" s="541"/>
    </row>
    <row r="2" spans="1:2" s="94" customFormat="1" ht="11.25">
      <c r="A2" s="577" t="s">
        <v>199</v>
      </c>
      <c r="B2" s="349"/>
    </row>
    <row r="3" spans="1:2" s="94" customFormat="1" ht="33.75">
      <c r="A3" s="578" t="s">
        <v>306</v>
      </c>
      <c r="B3" s="566" t="s">
        <v>315</v>
      </c>
    </row>
    <row r="4" spans="1:2" s="94" customFormat="1" ht="11.25">
      <c r="A4" s="579" t="s">
        <v>200</v>
      </c>
      <c r="B4" s="567" t="s">
        <v>207</v>
      </c>
    </row>
    <row r="5" spans="1:2" s="94" customFormat="1" ht="11.25">
      <c r="A5" s="580" t="s">
        <v>219</v>
      </c>
      <c r="B5" s="568"/>
    </row>
    <row r="6" spans="1:2" s="94" customFormat="1" ht="11.25">
      <c r="A6" s="581" t="s">
        <v>170</v>
      </c>
      <c r="B6" s="569" t="s">
        <v>203</v>
      </c>
    </row>
    <row r="7" spans="1:2" s="94" customFormat="1" ht="33.75">
      <c r="A7" s="581" t="s">
        <v>328</v>
      </c>
      <c r="B7" s="569" t="s">
        <v>307</v>
      </c>
    </row>
    <row r="8" spans="1:2" s="94" customFormat="1" ht="33.75">
      <c r="A8" s="581" t="s">
        <v>308</v>
      </c>
      <c r="B8" s="569" t="s">
        <v>309</v>
      </c>
    </row>
    <row r="9" spans="1:2" s="94" customFormat="1" ht="11.25">
      <c r="A9" s="582" t="s">
        <v>171</v>
      </c>
      <c r="B9" s="570" t="s">
        <v>310</v>
      </c>
    </row>
    <row r="10" spans="1:2" s="94" customFormat="1" ht="11.25">
      <c r="A10" s="583" t="s">
        <v>169</v>
      </c>
      <c r="B10" s="571"/>
    </row>
    <row r="11" spans="1:2" s="94" customFormat="1" ht="11.25">
      <c r="A11" s="584" t="s">
        <v>362</v>
      </c>
      <c r="B11" s="572" t="s">
        <v>365</v>
      </c>
    </row>
    <row r="12" spans="1:2" s="94" customFormat="1" ht="22.5">
      <c r="A12" s="584" t="s">
        <v>201</v>
      </c>
      <c r="B12" s="572" t="s">
        <v>363</v>
      </c>
    </row>
    <row r="13" spans="1:2" s="94" customFormat="1" ht="11.25">
      <c r="A13" s="584" t="s">
        <v>366</v>
      </c>
      <c r="B13" s="572" t="s">
        <v>367</v>
      </c>
    </row>
    <row r="14" spans="1:2" s="94" customFormat="1" ht="22.5">
      <c r="A14" s="585" t="s">
        <v>202</v>
      </c>
      <c r="B14" s="573" t="s">
        <v>364</v>
      </c>
    </row>
    <row r="15" spans="1:2" s="94" customFormat="1" ht="11.25">
      <c r="A15" s="586" t="s">
        <v>173</v>
      </c>
      <c r="B15" s="574"/>
    </row>
    <row r="16" spans="1:2" s="94" customFormat="1" ht="22.5">
      <c r="A16" s="587" t="s">
        <v>172</v>
      </c>
      <c r="B16" s="575" t="s">
        <v>316</v>
      </c>
    </row>
    <row r="17" spans="1:2" s="94" customFormat="1" ht="22.5">
      <c r="A17" s="587"/>
      <c r="B17" s="575" t="s">
        <v>208</v>
      </c>
    </row>
    <row r="18" spans="1:2" s="94" customFormat="1" ht="22.5">
      <c r="A18" s="587" t="s">
        <v>462</v>
      </c>
      <c r="B18" s="575" t="s">
        <v>311</v>
      </c>
    </row>
    <row r="19" spans="1:2" s="94" customFormat="1" ht="22.5">
      <c r="A19" s="587" t="s">
        <v>463</v>
      </c>
      <c r="B19" s="575" t="s">
        <v>312</v>
      </c>
    </row>
    <row r="20" spans="1:2" s="94" customFormat="1" ht="22.5">
      <c r="A20" s="588" t="s">
        <v>313</v>
      </c>
      <c r="B20" s="576" t="s">
        <v>314</v>
      </c>
    </row>
    <row r="24" spans="4:6" s="92" customFormat="1" ht="9.75" customHeight="1">
      <c r="D24" s="91"/>
      <c r="E24" s="15"/>
      <c r="F24" s="16"/>
    </row>
    <row r="25" ht="9.75" customHeight="1">
      <c r="B25" s="185"/>
    </row>
  </sheetData>
  <printOptions horizontalCentered="1"/>
  <pageMargins left="0.5" right="0.5" top="1" bottom="0.5" header="0.5" footer="0.5"/>
  <pageSetup fitToHeight="0" fitToWidth="1" horizontalDpi="600" verticalDpi="600" orientation="portrait" r:id="rId1"/>
  <headerFooter alignWithMargins="0">
    <oddFooter>&amp;LPage 2&amp;CBonneville Power Administration, Power Business Line&amp;R2/14/02</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J72"/>
  <sheetViews>
    <sheetView zoomScaleSheetLayoutView="100" workbookViewId="0" topLeftCell="A1">
      <selection activeCell="D79" sqref="D78:D79"/>
    </sheetView>
  </sheetViews>
  <sheetFormatPr defaultColWidth="9.140625" defaultRowHeight="12.75"/>
  <cols>
    <col min="1" max="1" width="15.140625" style="2" customWidth="1"/>
    <col min="2" max="2" width="8.7109375" style="2" customWidth="1"/>
    <col min="3" max="3" width="15.28125" style="2" customWidth="1"/>
    <col min="4" max="16384" width="8.7109375" style="2" customWidth="1"/>
  </cols>
  <sheetData>
    <row r="1" spans="1:9" ht="35.25" customHeight="1">
      <c r="A1" s="631" t="s">
        <v>504</v>
      </c>
      <c r="B1" s="631"/>
      <c r="C1" s="631"/>
      <c r="D1" s="631"/>
      <c r="E1" s="631"/>
      <c r="F1" s="631"/>
      <c r="G1" s="623"/>
      <c r="H1" s="623"/>
      <c r="I1" s="623"/>
    </row>
    <row r="2" spans="1:9" ht="22.5" customHeight="1">
      <c r="A2" s="631" t="s">
        <v>464</v>
      </c>
      <c r="B2" s="631"/>
      <c r="C2" s="631"/>
      <c r="D2" s="631"/>
      <c r="E2" s="631"/>
      <c r="F2" s="631"/>
      <c r="G2" s="623"/>
      <c r="H2" s="623"/>
      <c r="I2" s="623"/>
    </row>
    <row r="3" spans="1:3" ht="11.25">
      <c r="A3" s="6"/>
      <c r="B3" s="6"/>
      <c r="C3" s="6"/>
    </row>
    <row r="4" spans="1:4" ht="11.25">
      <c r="A4" s="624" t="s">
        <v>276</v>
      </c>
      <c r="B4" s="355"/>
      <c r="C4" s="355"/>
      <c r="D4" s="625">
        <v>3</v>
      </c>
    </row>
    <row r="5" spans="1:4" s="94" customFormat="1" ht="11.25">
      <c r="A5" s="356"/>
      <c r="B5" s="356"/>
      <c r="C5" s="356"/>
      <c r="D5" s="357"/>
    </row>
    <row r="6" spans="1:9" ht="11.25">
      <c r="A6" s="313" t="s">
        <v>283</v>
      </c>
      <c r="B6" s="358"/>
      <c r="C6" s="358"/>
      <c r="D6" s="359" t="s">
        <v>254</v>
      </c>
      <c r="E6" s="359" t="s">
        <v>255</v>
      </c>
      <c r="F6" s="360" t="s">
        <v>256</v>
      </c>
      <c r="G6" s="359" t="s">
        <v>329</v>
      </c>
      <c r="H6" s="359" t="s">
        <v>329</v>
      </c>
      <c r="I6" s="360" t="s">
        <v>329</v>
      </c>
    </row>
    <row r="7" spans="1:9" s="10" customFormat="1" ht="11.25">
      <c r="A7" s="236"/>
      <c r="B7" s="236"/>
      <c r="C7" s="236"/>
      <c r="D7" s="94"/>
      <c r="E7" s="94"/>
      <c r="F7" s="94"/>
      <c r="G7" s="94"/>
      <c r="H7" s="94"/>
      <c r="I7" s="94"/>
    </row>
    <row r="8" spans="1:10" ht="11.25">
      <c r="A8" s="254" t="s">
        <v>277</v>
      </c>
      <c r="B8" s="236"/>
      <c r="C8" s="236"/>
      <c r="D8" s="361" t="str">
        <f aca="true" t="shared" si="0" ref="D8:I8">D6</f>
        <v>Oct</v>
      </c>
      <c r="E8" s="361" t="str">
        <f t="shared" si="0"/>
        <v>Nov</v>
      </c>
      <c r="F8" s="361" t="str">
        <f t="shared" si="0"/>
        <v>Dec</v>
      </c>
      <c r="G8" s="361" t="str">
        <f>G6</f>
        <v>none</v>
      </c>
      <c r="H8" s="361" t="str">
        <f t="shared" si="0"/>
        <v>none</v>
      </c>
      <c r="I8" s="361" t="str">
        <f t="shared" si="0"/>
        <v>none</v>
      </c>
      <c r="J8" s="92"/>
    </row>
    <row r="9" spans="1:9" ht="11.25">
      <c r="A9" s="186" t="s">
        <v>120</v>
      </c>
      <c r="B9" s="187"/>
      <c r="C9" s="187"/>
      <c r="D9" s="187">
        <v>432</v>
      </c>
      <c r="E9" s="187">
        <v>416</v>
      </c>
      <c r="F9" s="232">
        <v>416</v>
      </c>
      <c r="G9" s="187"/>
      <c r="H9" s="187"/>
      <c r="I9" s="232"/>
    </row>
    <row r="10" spans="1:9" ht="11.25">
      <c r="A10" s="303" t="s">
        <v>121</v>
      </c>
      <c r="B10" s="304"/>
      <c r="C10" s="304"/>
      <c r="D10" s="304">
        <v>313</v>
      </c>
      <c r="E10" s="304">
        <v>304</v>
      </c>
      <c r="F10" s="348">
        <v>328</v>
      </c>
      <c r="G10" s="304"/>
      <c r="H10" s="304"/>
      <c r="I10" s="348"/>
    </row>
    <row r="11" spans="1:10" s="10" customFormat="1" ht="11.25">
      <c r="A11" s="540"/>
      <c r="B11" s="94"/>
      <c r="C11" s="94"/>
      <c r="D11" s="94"/>
      <c r="E11" s="94"/>
      <c r="F11" s="94"/>
      <c r="G11" s="94"/>
      <c r="H11" s="94"/>
      <c r="I11" s="94"/>
      <c r="J11" s="94"/>
    </row>
    <row r="12" spans="1:10" ht="21.75" customHeight="1">
      <c r="A12" s="629" t="s">
        <v>278</v>
      </c>
      <c r="B12" s="629"/>
      <c r="C12" s="629"/>
      <c r="D12" s="629"/>
      <c r="E12" s="629"/>
      <c r="F12" s="629"/>
      <c r="G12" s="94"/>
      <c r="H12" s="94"/>
      <c r="I12" s="94"/>
      <c r="J12" s="92"/>
    </row>
    <row r="13" spans="1:10" ht="11.25">
      <c r="A13" s="362"/>
      <c r="B13" s="362"/>
      <c r="C13" s="362"/>
      <c r="D13" s="363" t="s">
        <v>254</v>
      </c>
      <c r="E13" s="363" t="s">
        <v>255</v>
      </c>
      <c r="F13" s="363" t="s">
        <v>256</v>
      </c>
      <c r="G13" s="363" t="str">
        <f>G6</f>
        <v>none</v>
      </c>
      <c r="H13" s="363" t="str">
        <f>H6</f>
        <v>none</v>
      </c>
      <c r="I13" s="363" t="str">
        <f>I6</f>
        <v>none</v>
      </c>
      <c r="J13" s="92"/>
    </row>
    <row r="14" spans="1:9" ht="11.25">
      <c r="A14" s="379" t="s">
        <v>138</v>
      </c>
      <c r="B14" s="271"/>
      <c r="C14" s="271"/>
      <c r="D14" s="273">
        <v>4976</v>
      </c>
      <c r="E14" s="273">
        <v>5464</v>
      </c>
      <c r="F14" s="274">
        <v>5886</v>
      </c>
      <c r="G14" s="272"/>
      <c r="H14" s="272"/>
      <c r="I14" s="211"/>
    </row>
    <row r="15" spans="1:9" s="10" customFormat="1" ht="11.25">
      <c r="A15" s="94"/>
      <c r="B15" s="94"/>
      <c r="C15" s="94"/>
      <c r="D15" s="93"/>
      <c r="E15" s="93"/>
      <c r="F15" s="93"/>
      <c r="G15" s="93"/>
      <c r="H15" s="9"/>
      <c r="I15" s="9"/>
    </row>
    <row r="16" spans="1:9" ht="12" thickBot="1">
      <c r="A16" s="310" t="s">
        <v>446</v>
      </c>
      <c r="D16" s="5" t="str">
        <f aca="true" t="shared" si="1" ref="D16:I16">D6</f>
        <v>Oct</v>
      </c>
      <c r="E16" s="5" t="str">
        <f t="shared" si="1"/>
        <v>Nov</v>
      </c>
      <c r="F16" s="5" t="str">
        <f t="shared" si="1"/>
        <v>Dec</v>
      </c>
      <c r="G16" s="5" t="str">
        <f t="shared" si="1"/>
        <v>none</v>
      </c>
      <c r="H16" s="5" t="str">
        <f t="shared" si="1"/>
        <v>none</v>
      </c>
      <c r="I16" s="5" t="str">
        <f t="shared" si="1"/>
        <v>none</v>
      </c>
    </row>
    <row r="17" spans="1:9" ht="11.25">
      <c r="A17" s="364" t="s">
        <v>502</v>
      </c>
      <c r="B17" s="365"/>
      <c r="C17" s="366" t="s">
        <v>135</v>
      </c>
      <c r="D17" s="367">
        <v>1419430</v>
      </c>
      <c r="E17" s="367">
        <v>1419430</v>
      </c>
      <c r="F17" s="367">
        <v>1419430</v>
      </c>
      <c r="G17" s="367"/>
      <c r="H17" s="367"/>
      <c r="I17" s="589"/>
    </row>
    <row r="18" spans="1:9" ht="11.25">
      <c r="A18" s="392" t="s">
        <v>167</v>
      </c>
      <c r="B18" s="383" t="s">
        <v>50</v>
      </c>
      <c r="C18" s="384"/>
      <c r="D18" s="385"/>
      <c r="E18" s="385"/>
      <c r="F18" s="385"/>
      <c r="G18" s="385"/>
      <c r="H18" s="385"/>
      <c r="I18" s="590"/>
    </row>
    <row r="19" spans="1:9" ht="11.25">
      <c r="A19" s="393" t="s">
        <v>120</v>
      </c>
      <c r="B19" s="386"/>
      <c r="C19" s="387" t="s">
        <v>134</v>
      </c>
      <c r="D19" s="388">
        <v>16.27</v>
      </c>
      <c r="E19" s="388">
        <v>22</v>
      </c>
      <c r="F19" s="388">
        <v>22.65</v>
      </c>
      <c r="G19" s="388"/>
      <c r="H19" s="388"/>
      <c r="I19" s="591"/>
    </row>
    <row r="20" spans="1:9" ht="11.25">
      <c r="A20" s="393" t="s">
        <v>121</v>
      </c>
      <c r="B20" s="386"/>
      <c r="C20" s="387" t="s">
        <v>134</v>
      </c>
      <c r="D20" s="388">
        <v>11.76</v>
      </c>
      <c r="E20" s="388">
        <v>17.71</v>
      </c>
      <c r="F20" s="388">
        <v>17.37</v>
      </c>
      <c r="G20" s="388"/>
      <c r="H20" s="388"/>
      <c r="I20" s="591"/>
    </row>
    <row r="21" spans="1:9" ht="11.25">
      <c r="A21" s="393" t="s">
        <v>122</v>
      </c>
      <c r="B21" s="386"/>
      <c r="C21" s="387" t="s">
        <v>136</v>
      </c>
      <c r="D21" s="388">
        <v>1.76</v>
      </c>
      <c r="E21" s="388">
        <v>2.31</v>
      </c>
      <c r="F21" s="388">
        <v>2.31</v>
      </c>
      <c r="G21" s="388"/>
      <c r="H21" s="388"/>
      <c r="I21" s="591"/>
    </row>
    <row r="22" spans="1:9" ht="11.25">
      <c r="A22" s="394" t="s">
        <v>123</v>
      </c>
      <c r="B22" s="389"/>
      <c r="C22" s="390" t="s">
        <v>134</v>
      </c>
      <c r="D22" s="391">
        <v>0.8</v>
      </c>
      <c r="E22" s="391">
        <v>0.8</v>
      </c>
      <c r="F22" s="391">
        <v>0.8</v>
      </c>
      <c r="G22" s="391"/>
      <c r="H22" s="391"/>
      <c r="I22" s="592"/>
    </row>
    <row r="23" spans="1:9" ht="11.25">
      <c r="A23" s="593" t="s">
        <v>229</v>
      </c>
      <c r="B23" s="292"/>
      <c r="C23" s="293"/>
      <c r="D23" s="294"/>
      <c r="E23" s="294"/>
      <c r="F23" s="294"/>
      <c r="G23" s="294"/>
      <c r="H23" s="294"/>
      <c r="I23" s="594"/>
    </row>
    <row r="24" spans="1:9" ht="11.25">
      <c r="A24" s="301" t="s">
        <v>120</v>
      </c>
      <c r="B24" s="286"/>
      <c r="C24" s="295" t="s">
        <v>134</v>
      </c>
      <c r="D24" s="296">
        <v>20.03</v>
      </c>
      <c r="E24" s="296">
        <v>25.76</v>
      </c>
      <c r="F24" s="296">
        <v>26.41</v>
      </c>
      <c r="G24" s="296"/>
      <c r="H24" s="296"/>
      <c r="I24" s="595"/>
    </row>
    <row r="25" spans="1:9" ht="11.25">
      <c r="A25" s="301" t="s">
        <v>121</v>
      </c>
      <c r="B25" s="286"/>
      <c r="C25" s="295" t="s">
        <v>134</v>
      </c>
      <c r="D25" s="296">
        <v>15.52</v>
      </c>
      <c r="E25" s="296">
        <v>21.47</v>
      </c>
      <c r="F25" s="296">
        <v>21.13</v>
      </c>
      <c r="G25" s="296"/>
      <c r="H25" s="296"/>
      <c r="I25" s="595"/>
    </row>
    <row r="26" spans="1:9" ht="11.25">
      <c r="A26" s="596" t="s">
        <v>122</v>
      </c>
      <c r="B26" s="297"/>
      <c r="C26" s="298" t="s">
        <v>136</v>
      </c>
      <c r="D26" s="299">
        <v>1.76</v>
      </c>
      <c r="E26" s="299">
        <v>2.31</v>
      </c>
      <c r="F26" s="299">
        <v>2.31</v>
      </c>
      <c r="G26" s="299"/>
      <c r="H26" s="299"/>
      <c r="I26" s="597"/>
    </row>
    <row r="27" spans="1:9" ht="11.25">
      <c r="A27" s="300" t="s">
        <v>230</v>
      </c>
      <c r="B27" s="286"/>
      <c r="C27" s="295"/>
      <c r="D27" s="296"/>
      <c r="E27" s="296"/>
      <c r="F27" s="296"/>
      <c r="G27" s="296"/>
      <c r="H27" s="296"/>
      <c r="I27" s="598"/>
    </row>
    <row r="28" spans="1:9" ht="11.25">
      <c r="A28" s="301" t="s">
        <v>120</v>
      </c>
      <c r="B28" s="286"/>
      <c r="C28" s="295" t="s">
        <v>134</v>
      </c>
      <c r="D28" s="296">
        <v>21.53</v>
      </c>
      <c r="E28" s="296">
        <v>27.26</v>
      </c>
      <c r="F28" s="296">
        <v>27.91</v>
      </c>
      <c r="G28" s="296"/>
      <c r="H28" s="296"/>
      <c r="I28" s="595"/>
    </row>
    <row r="29" spans="1:9" ht="11.25">
      <c r="A29" s="301" t="s">
        <v>121</v>
      </c>
      <c r="B29" s="286"/>
      <c r="C29" s="295" t="s">
        <v>134</v>
      </c>
      <c r="D29" s="296">
        <v>17.02</v>
      </c>
      <c r="E29" s="296">
        <v>22.98</v>
      </c>
      <c r="F29" s="296">
        <v>22.63</v>
      </c>
      <c r="G29" s="296"/>
      <c r="H29" s="296"/>
      <c r="I29" s="595"/>
    </row>
    <row r="30" spans="1:9" ht="11.25">
      <c r="A30" s="301" t="s">
        <v>122</v>
      </c>
      <c r="B30" s="286"/>
      <c r="C30" s="295" t="s">
        <v>136</v>
      </c>
      <c r="D30" s="296">
        <v>1.76</v>
      </c>
      <c r="E30" s="296">
        <v>2.31</v>
      </c>
      <c r="F30" s="296">
        <v>2.31</v>
      </c>
      <c r="G30" s="296"/>
      <c r="H30" s="296"/>
      <c r="I30" s="595"/>
    </row>
    <row r="31" spans="1:9" ht="11.25">
      <c r="A31" s="392" t="s">
        <v>166</v>
      </c>
      <c r="B31" s="383"/>
      <c r="C31" s="384"/>
      <c r="D31" s="385"/>
      <c r="E31" s="385"/>
      <c r="F31" s="385"/>
      <c r="G31" s="385"/>
      <c r="H31" s="385"/>
      <c r="I31" s="590"/>
    </row>
    <row r="32" spans="1:9" ht="11.25">
      <c r="A32" s="393" t="s">
        <v>120</v>
      </c>
      <c r="B32" s="386"/>
      <c r="C32" s="387" t="s">
        <v>134</v>
      </c>
      <c r="D32" s="388">
        <v>15.67</v>
      </c>
      <c r="E32" s="388">
        <v>21.4</v>
      </c>
      <c r="F32" s="388">
        <v>22.05</v>
      </c>
      <c r="G32" s="388"/>
      <c r="H32" s="388"/>
      <c r="I32" s="591"/>
    </row>
    <row r="33" spans="1:9" ht="11.25">
      <c r="A33" s="393" t="s">
        <v>121</v>
      </c>
      <c r="B33" s="386"/>
      <c r="C33" s="387" t="s">
        <v>134</v>
      </c>
      <c r="D33" s="388">
        <v>11.16</v>
      </c>
      <c r="E33" s="388">
        <v>17.11</v>
      </c>
      <c r="F33" s="388">
        <v>16.77</v>
      </c>
      <c r="G33" s="388"/>
      <c r="H33" s="388"/>
      <c r="I33" s="591"/>
    </row>
    <row r="34" spans="1:9" ht="11.25">
      <c r="A34" s="393" t="s">
        <v>122</v>
      </c>
      <c r="B34" s="386"/>
      <c r="C34" s="387" t="s">
        <v>136</v>
      </c>
      <c r="D34" s="388">
        <v>1.76</v>
      </c>
      <c r="E34" s="388">
        <v>2.31</v>
      </c>
      <c r="F34" s="388">
        <v>2.31</v>
      </c>
      <c r="G34" s="388"/>
      <c r="H34" s="388"/>
      <c r="I34" s="591"/>
    </row>
    <row r="35" spans="1:9" ht="12" thickBot="1">
      <c r="A35" s="599" t="s">
        <v>123</v>
      </c>
      <c r="B35" s="600"/>
      <c r="C35" s="601" t="s">
        <v>134</v>
      </c>
      <c r="D35" s="602">
        <v>0.8</v>
      </c>
      <c r="E35" s="602">
        <v>0.8</v>
      </c>
      <c r="F35" s="602">
        <v>0.8</v>
      </c>
      <c r="G35" s="602"/>
      <c r="H35" s="602"/>
      <c r="I35" s="603"/>
    </row>
    <row r="36" spans="1:9" ht="11.25">
      <c r="A36" s="94"/>
      <c r="B36" s="236"/>
      <c r="C36" s="361"/>
      <c r="D36" s="368"/>
      <c r="E36" s="368"/>
      <c r="F36" s="368"/>
      <c r="G36" s="368"/>
      <c r="H36" s="368"/>
      <c r="I36" s="368"/>
    </row>
    <row r="37" spans="1:9" ht="12" thickBot="1">
      <c r="A37" s="604" t="s">
        <v>492</v>
      </c>
      <c r="C37" s="4"/>
      <c r="D37" s="233" t="str">
        <f aca="true" t="shared" si="2" ref="D37:I37">D6</f>
        <v>Oct</v>
      </c>
      <c r="E37" s="233" t="str">
        <f t="shared" si="2"/>
        <v>Nov</v>
      </c>
      <c r="F37" s="233" t="str">
        <f t="shared" si="2"/>
        <v>Dec</v>
      </c>
      <c r="G37" s="233" t="str">
        <f t="shared" si="2"/>
        <v>none</v>
      </c>
      <c r="H37" s="233" t="str">
        <f t="shared" si="2"/>
        <v>none</v>
      </c>
      <c r="I37" s="233" t="str">
        <f t="shared" si="2"/>
        <v>none</v>
      </c>
    </row>
    <row r="38" spans="1:9" ht="11.25">
      <c r="A38" s="364" t="s">
        <v>503</v>
      </c>
      <c r="B38" s="365"/>
      <c r="C38" s="366" t="s">
        <v>135</v>
      </c>
      <c r="D38" s="367">
        <v>2077598.4425522604</v>
      </c>
      <c r="E38" s="367">
        <v>2077598.4425522604</v>
      </c>
      <c r="F38" s="367">
        <v>2077598.4425522604</v>
      </c>
      <c r="G38" s="367"/>
      <c r="H38" s="367"/>
      <c r="I38" s="589"/>
    </row>
    <row r="39" spans="1:9" ht="11.25">
      <c r="A39" s="392" t="s">
        <v>167</v>
      </c>
      <c r="B39" s="383" t="s">
        <v>50</v>
      </c>
      <c r="C39" s="384"/>
      <c r="D39" s="385"/>
      <c r="E39" s="385"/>
      <c r="F39" s="385"/>
      <c r="G39" s="385"/>
      <c r="H39" s="385"/>
      <c r="I39" s="590"/>
    </row>
    <row r="40" spans="1:9" ht="11.25">
      <c r="A40" s="393" t="s">
        <v>120</v>
      </c>
      <c r="B40" s="386"/>
      <c r="C40" s="387" t="s">
        <v>134</v>
      </c>
      <c r="D40" s="388">
        <v>23.790818432971104</v>
      </c>
      <c r="E40" s="388">
        <v>32.16951478336597</v>
      </c>
      <c r="F40" s="388">
        <v>33.11997772014723</v>
      </c>
      <c r="G40" s="388"/>
      <c r="H40" s="388"/>
      <c r="I40" s="591"/>
    </row>
    <row r="41" spans="1:9" ht="11.25">
      <c r="A41" s="393" t="s">
        <v>121</v>
      </c>
      <c r="B41" s="386"/>
      <c r="C41" s="387" t="s">
        <v>134</v>
      </c>
      <c r="D41" s="388">
        <v>17.19606790238108</v>
      </c>
      <c r="E41" s="388">
        <v>25.896459400609604</v>
      </c>
      <c r="F41" s="388">
        <v>25.399294172139403</v>
      </c>
      <c r="G41" s="388"/>
      <c r="H41" s="388"/>
      <c r="I41" s="591"/>
    </row>
    <row r="42" spans="1:9" ht="11.25">
      <c r="A42" s="393" t="s">
        <v>122</v>
      </c>
      <c r="B42" s="386"/>
      <c r="C42" s="387" t="s">
        <v>136</v>
      </c>
      <c r="D42" s="388">
        <v>2.5735611826692772</v>
      </c>
      <c r="E42" s="388">
        <v>3.3777990522534265</v>
      </c>
      <c r="F42" s="388">
        <v>3.3777990522534265</v>
      </c>
      <c r="G42" s="388"/>
      <c r="H42" s="388"/>
      <c r="I42" s="591"/>
    </row>
    <row r="43" spans="1:9" ht="11.25">
      <c r="A43" s="394" t="s">
        <v>123</v>
      </c>
      <c r="B43" s="389"/>
      <c r="C43" s="390" t="s">
        <v>134</v>
      </c>
      <c r="D43" s="388">
        <v>1.1698005375769442</v>
      </c>
      <c r="E43" s="388">
        <v>1.1698005375769442</v>
      </c>
      <c r="F43" s="391">
        <v>1.1698005375769442</v>
      </c>
      <c r="G43" s="391"/>
      <c r="H43" s="391"/>
      <c r="I43" s="592"/>
    </row>
    <row r="44" spans="1:9" ht="11.25">
      <c r="A44" s="593" t="s">
        <v>229</v>
      </c>
      <c r="B44" s="292"/>
      <c r="C44" s="293"/>
      <c r="D44" s="294"/>
      <c r="E44" s="294"/>
      <c r="F44" s="294"/>
      <c r="G44" s="294"/>
      <c r="H44" s="294"/>
      <c r="I44" s="594"/>
    </row>
    <row r="45" spans="1:9" ht="11.25">
      <c r="A45" s="301" t="s">
        <v>120</v>
      </c>
      <c r="B45" s="286"/>
      <c r="C45" s="295" t="s">
        <v>134</v>
      </c>
      <c r="D45" s="296">
        <v>29.29</v>
      </c>
      <c r="E45" s="296">
        <v>37.67</v>
      </c>
      <c r="F45" s="296">
        <v>38.62</v>
      </c>
      <c r="G45" s="296"/>
      <c r="H45" s="296"/>
      <c r="I45" s="595"/>
    </row>
    <row r="46" spans="1:9" ht="11.25">
      <c r="A46" s="301" t="s">
        <v>121</v>
      </c>
      <c r="B46" s="286"/>
      <c r="C46" s="295" t="s">
        <v>134</v>
      </c>
      <c r="D46" s="296">
        <v>22.69</v>
      </c>
      <c r="E46" s="296">
        <v>31.39</v>
      </c>
      <c r="F46" s="296">
        <v>30.9</v>
      </c>
      <c r="G46" s="296"/>
      <c r="H46" s="296"/>
      <c r="I46" s="595"/>
    </row>
    <row r="47" spans="1:9" ht="11.25">
      <c r="A47" s="596" t="s">
        <v>122</v>
      </c>
      <c r="B47" s="297"/>
      <c r="C47" s="298" t="s">
        <v>136</v>
      </c>
      <c r="D47" s="299">
        <v>2.57</v>
      </c>
      <c r="E47" s="299">
        <v>3.38</v>
      </c>
      <c r="F47" s="299">
        <v>3.38</v>
      </c>
      <c r="G47" s="299"/>
      <c r="H47" s="299"/>
      <c r="I47" s="597"/>
    </row>
    <row r="48" spans="1:9" ht="11.25">
      <c r="A48" s="300" t="s">
        <v>230</v>
      </c>
      <c r="B48" s="286"/>
      <c r="C48" s="295"/>
      <c r="D48" s="296"/>
      <c r="E48" s="296"/>
      <c r="F48" s="296"/>
      <c r="G48" s="296"/>
      <c r="H48" s="296"/>
      <c r="I48" s="598"/>
    </row>
    <row r="49" spans="1:9" ht="11.25">
      <c r="A49" s="301" t="s">
        <v>120</v>
      </c>
      <c r="B49" s="286"/>
      <c r="C49" s="295" t="s">
        <v>134</v>
      </c>
      <c r="D49" s="296">
        <v>21.53</v>
      </c>
      <c r="E49" s="296">
        <v>27.26</v>
      </c>
      <c r="F49" s="296">
        <v>34.92</v>
      </c>
      <c r="G49" s="296"/>
      <c r="H49" s="296"/>
      <c r="I49" s="595"/>
    </row>
    <row r="50" spans="1:9" ht="11.25">
      <c r="A50" s="301" t="s">
        <v>121</v>
      </c>
      <c r="B50" s="286"/>
      <c r="C50" s="295" t="s">
        <v>134</v>
      </c>
      <c r="D50" s="296">
        <v>17.02</v>
      </c>
      <c r="E50" s="296">
        <v>22.98</v>
      </c>
      <c r="F50" s="296">
        <v>26.17</v>
      </c>
      <c r="G50" s="296"/>
      <c r="H50" s="296"/>
      <c r="I50" s="595"/>
    </row>
    <row r="51" spans="1:9" ht="11.25">
      <c r="A51" s="301" t="s">
        <v>122</v>
      </c>
      <c r="B51" s="286"/>
      <c r="C51" s="295" t="s">
        <v>136</v>
      </c>
      <c r="D51" s="296">
        <v>1.76</v>
      </c>
      <c r="E51" s="296">
        <v>2.31</v>
      </c>
      <c r="F51" s="296">
        <v>3.16</v>
      </c>
      <c r="G51" s="296"/>
      <c r="H51" s="296"/>
      <c r="I51" s="595"/>
    </row>
    <row r="52" spans="1:9" ht="11.25">
      <c r="A52" s="392" t="s">
        <v>166</v>
      </c>
      <c r="B52" s="383"/>
      <c r="C52" s="384"/>
      <c r="D52" s="385"/>
      <c r="E52" s="385"/>
      <c r="F52" s="385"/>
      <c r="G52" s="385"/>
      <c r="H52" s="385"/>
      <c r="I52" s="590"/>
    </row>
    <row r="53" spans="1:9" ht="11.25">
      <c r="A53" s="393" t="s">
        <v>120</v>
      </c>
      <c r="B53" s="386"/>
      <c r="C53" s="387" t="s">
        <v>134</v>
      </c>
      <c r="D53" s="388">
        <v>22.913468029788394</v>
      </c>
      <c r="E53" s="388">
        <v>31.292164380183255</v>
      </c>
      <c r="F53" s="388">
        <v>32.24262731696453</v>
      </c>
      <c r="G53" s="388"/>
      <c r="H53" s="388"/>
      <c r="I53" s="591"/>
    </row>
    <row r="54" spans="1:9" ht="11.25">
      <c r="A54" s="393" t="s">
        <v>121</v>
      </c>
      <c r="B54" s="386"/>
      <c r="C54" s="387" t="s">
        <v>134</v>
      </c>
      <c r="D54" s="388">
        <v>16.31871749919837</v>
      </c>
      <c r="E54" s="388">
        <v>25.019108997426894</v>
      </c>
      <c r="F54" s="388">
        <v>24.521943768956692</v>
      </c>
      <c r="G54" s="388"/>
      <c r="H54" s="388"/>
      <c r="I54" s="591"/>
    </row>
    <row r="55" spans="1:9" ht="11.25">
      <c r="A55" s="393" t="s">
        <v>122</v>
      </c>
      <c r="B55" s="386"/>
      <c r="C55" s="387" t="s">
        <v>136</v>
      </c>
      <c r="D55" s="388">
        <v>2.5735611826692772</v>
      </c>
      <c r="E55" s="388">
        <v>3.3777990522534265</v>
      </c>
      <c r="F55" s="388">
        <v>3.3777990522534265</v>
      </c>
      <c r="G55" s="388"/>
      <c r="H55" s="388"/>
      <c r="I55" s="591"/>
    </row>
    <row r="56" spans="1:9" ht="12" thickBot="1">
      <c r="A56" s="599" t="s">
        <v>123</v>
      </c>
      <c r="B56" s="600"/>
      <c r="C56" s="601" t="s">
        <v>134</v>
      </c>
      <c r="D56" s="602">
        <v>1.1698005375769442</v>
      </c>
      <c r="E56" s="602">
        <v>1.1698005375769442</v>
      </c>
      <c r="F56" s="602">
        <v>1.1698005375769442</v>
      </c>
      <c r="G56" s="602"/>
      <c r="H56" s="602"/>
      <c r="I56" s="603"/>
    </row>
    <row r="57" spans="1:9" s="10" customFormat="1" ht="11.25">
      <c r="A57" s="94"/>
      <c r="B57" s="236"/>
      <c r="C57" s="605"/>
      <c r="D57" s="606"/>
      <c r="E57" s="606"/>
      <c r="F57" s="606"/>
      <c r="G57" s="606"/>
      <c r="H57" s="606"/>
      <c r="I57" s="606"/>
    </row>
    <row r="58" spans="1:9" s="10" customFormat="1" ht="11.25">
      <c r="A58" s="370" t="s">
        <v>386</v>
      </c>
      <c r="B58" s="236"/>
      <c r="C58" s="363"/>
      <c r="D58" s="607" t="s">
        <v>254</v>
      </c>
      <c r="E58" s="607" t="s">
        <v>255</v>
      </c>
      <c r="F58" s="607" t="s">
        <v>256</v>
      </c>
      <c r="G58" s="607" t="str">
        <f>G13</f>
        <v>none</v>
      </c>
      <c r="H58" s="607" t="str">
        <f>H13</f>
        <v>none</v>
      </c>
      <c r="I58" s="607" t="str">
        <f>I13</f>
        <v>none</v>
      </c>
    </row>
    <row r="59" spans="1:9" ht="11.25">
      <c r="A59" s="395" t="s">
        <v>387</v>
      </c>
      <c r="B59" s="396"/>
      <c r="C59" s="397"/>
      <c r="D59" s="398"/>
      <c r="E59" s="398"/>
      <c r="F59" s="398"/>
      <c r="G59" s="398"/>
      <c r="H59" s="398"/>
      <c r="I59" s="398"/>
    </row>
    <row r="60" spans="1:9" ht="11.25">
      <c r="A60" s="214"/>
      <c r="B60" s="399" t="s">
        <v>120</v>
      </c>
      <c r="C60" s="400" t="s">
        <v>134</v>
      </c>
      <c r="D60" s="401">
        <v>140.26</v>
      </c>
      <c r="E60" s="401">
        <v>140.26</v>
      </c>
      <c r="F60" s="401">
        <v>140.26</v>
      </c>
      <c r="G60" s="401"/>
      <c r="H60" s="401"/>
      <c r="I60" s="401"/>
    </row>
    <row r="61" spans="1:9" ht="11.25">
      <c r="A61" s="402"/>
      <c r="B61" s="403" t="s">
        <v>121</v>
      </c>
      <c r="C61" s="221"/>
      <c r="D61" s="404">
        <v>95.14</v>
      </c>
      <c r="E61" s="404">
        <v>95.14</v>
      </c>
      <c r="F61" s="404">
        <v>95.14</v>
      </c>
      <c r="G61" s="404"/>
      <c r="H61" s="404"/>
      <c r="I61" s="404"/>
    </row>
    <row r="63" spans="1:3" ht="11.25">
      <c r="A63" s="629" t="s">
        <v>317</v>
      </c>
      <c r="B63" s="629"/>
      <c r="C63" s="629"/>
    </row>
    <row r="64" spans="1:9" ht="11.25">
      <c r="A64" s="630"/>
      <c r="B64" s="630"/>
      <c r="C64" s="630"/>
      <c r="D64" s="5" t="s">
        <v>254</v>
      </c>
      <c r="E64" s="5" t="s">
        <v>255</v>
      </c>
      <c r="F64" s="5" t="s">
        <v>256</v>
      </c>
      <c r="G64" s="5"/>
      <c r="H64" s="5"/>
      <c r="I64" s="5"/>
    </row>
    <row r="65" spans="1:9" ht="11.25">
      <c r="A65" s="212"/>
      <c r="B65" s="405" t="s">
        <v>120</v>
      </c>
      <c r="C65" s="213" t="s">
        <v>139</v>
      </c>
      <c r="D65" s="398">
        <v>1954794.114574463</v>
      </c>
      <c r="E65" s="398">
        <v>2300355.467236246</v>
      </c>
      <c r="F65" s="398">
        <v>2175530.5578858363</v>
      </c>
      <c r="G65" s="398"/>
      <c r="H65" s="398"/>
      <c r="I65" s="398"/>
    </row>
    <row r="66" spans="1:9" ht="11.25">
      <c r="A66" s="402"/>
      <c r="B66" s="403" t="s">
        <v>121</v>
      </c>
      <c r="C66" s="220" t="s">
        <v>139</v>
      </c>
      <c r="D66" s="406">
        <v>1606382.9373992626</v>
      </c>
      <c r="E66" s="406">
        <v>2240083.939304832</v>
      </c>
      <c r="F66" s="406">
        <v>2262710.9966700813</v>
      </c>
      <c r="G66" s="406"/>
      <c r="H66" s="406"/>
      <c r="I66" s="406"/>
    </row>
    <row r="68" ht="11.25">
      <c r="A68" s="608" t="s">
        <v>447</v>
      </c>
    </row>
    <row r="69" spans="1:6" ht="11.25">
      <c r="A69" s="255"/>
      <c r="B69" s="256"/>
      <c r="C69" s="257" t="s">
        <v>134</v>
      </c>
      <c r="D69" s="257">
        <v>28.16</v>
      </c>
      <c r="E69" s="256"/>
      <c r="F69" s="259"/>
    </row>
    <row r="72" spans="4:7" s="92" customFormat="1" ht="11.25">
      <c r="D72" s="91"/>
      <c r="E72" s="15"/>
      <c r="F72" s="16"/>
      <c r="G72" s="185"/>
    </row>
  </sheetData>
  <mergeCells count="4">
    <mergeCell ref="A63:C64"/>
    <mergeCell ref="A1:F1"/>
    <mergeCell ref="A2:F2"/>
    <mergeCell ref="A12:F12"/>
  </mergeCells>
  <printOptions horizontalCentered="1"/>
  <pageMargins left="0.5" right="0.5" top="0.75" bottom="0.75" header="0.5" footer="0.5"/>
  <pageSetup fitToHeight="1" fitToWidth="1" horizontalDpi="600" verticalDpi="600" orientation="portrait" scale="85" r:id="rId1"/>
  <headerFooter alignWithMargins="0">
    <oddHeader>&amp;C&amp;"Arial,Bold"&amp;12Analysis Parameters</oddHeader>
    <oddFooter>&amp;LPage 3&amp;CBonneville Power Administration, Power Business Line&amp;R2/14/02</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G52"/>
  <sheetViews>
    <sheetView view="pageBreakPreview" zoomScale="60" workbookViewId="0" topLeftCell="A16">
      <selection activeCell="D79" sqref="D78:D79"/>
    </sheetView>
  </sheetViews>
  <sheetFormatPr defaultColWidth="9.140625" defaultRowHeight="12.75"/>
  <cols>
    <col min="1" max="1" width="24.28125" style="544" bestFit="1" customWidth="1"/>
    <col min="2" max="2" width="72.57421875" style="544" bestFit="1" customWidth="1"/>
    <col min="3" max="16384" width="9.140625" style="544" customWidth="1"/>
  </cols>
  <sheetData>
    <row r="1" spans="1:2" ht="12.75">
      <c r="A1" s="544" t="s">
        <v>0</v>
      </c>
      <c r="B1" s="544" t="s">
        <v>1</v>
      </c>
    </row>
    <row r="2" spans="1:2" ht="12.75">
      <c r="A2" s="544" t="s">
        <v>3</v>
      </c>
      <c r="B2" s="544" t="s">
        <v>2</v>
      </c>
    </row>
    <row r="3" spans="1:2" ht="12.75">
      <c r="A3" s="544" t="s">
        <v>4</v>
      </c>
      <c r="B3" s="544" t="s">
        <v>5</v>
      </c>
    </row>
    <row r="4" spans="1:2" ht="12.75">
      <c r="A4" s="544" t="s">
        <v>6</v>
      </c>
      <c r="B4" s="544" t="s">
        <v>7</v>
      </c>
    </row>
    <row r="5" spans="1:2" ht="12.75">
      <c r="A5" s="544" t="s">
        <v>8</v>
      </c>
      <c r="B5" s="544" t="s">
        <v>9</v>
      </c>
    </row>
    <row r="6" spans="1:2" ht="12.75">
      <c r="A6" s="544" t="s">
        <v>10</v>
      </c>
      <c r="B6" s="544" t="s">
        <v>11</v>
      </c>
    </row>
    <row r="7" spans="1:2" ht="12.75">
      <c r="A7" s="544" t="s">
        <v>12</v>
      </c>
      <c r="B7" s="544" t="s">
        <v>13</v>
      </c>
    </row>
    <row r="8" spans="1:2" ht="12.75">
      <c r="A8" s="544" t="s">
        <v>14</v>
      </c>
      <c r="B8" s="544" t="s">
        <v>15</v>
      </c>
    </row>
    <row r="9" spans="1:2" ht="12.75">
      <c r="A9" s="544" t="s">
        <v>16</v>
      </c>
      <c r="B9" s="544" t="s">
        <v>448</v>
      </c>
    </row>
    <row r="10" spans="1:2" ht="12.75">
      <c r="A10" s="544" t="s">
        <v>17</v>
      </c>
      <c r="B10" s="544" t="s">
        <v>449</v>
      </c>
    </row>
    <row r="11" spans="1:2" ht="12.75">
      <c r="A11" s="544" t="s">
        <v>18</v>
      </c>
      <c r="B11" s="544" t="s">
        <v>19</v>
      </c>
    </row>
    <row r="12" spans="1:2" ht="12.75">
      <c r="A12" s="544" t="s">
        <v>20</v>
      </c>
      <c r="B12" s="544" t="s">
        <v>21</v>
      </c>
    </row>
    <row r="13" spans="1:2" ht="12.75">
      <c r="A13" s="544" t="s">
        <v>22</v>
      </c>
      <c r="B13" s="544" t="s">
        <v>23</v>
      </c>
    </row>
    <row r="14" spans="1:2" ht="12.75">
      <c r="A14" s="544" t="s">
        <v>120</v>
      </c>
      <c r="B14" s="545" t="s">
        <v>130</v>
      </c>
    </row>
    <row r="15" spans="1:2" ht="12.75">
      <c r="A15" s="544" t="s">
        <v>24</v>
      </c>
      <c r="B15" s="544" t="s">
        <v>25</v>
      </c>
    </row>
    <row r="16" spans="1:2" ht="12.75">
      <c r="A16" s="544" t="s">
        <v>26</v>
      </c>
      <c r="B16" s="544" t="s">
        <v>27</v>
      </c>
    </row>
    <row r="17" spans="1:2" ht="12.75">
      <c r="A17" s="544" t="s">
        <v>28</v>
      </c>
      <c r="B17" s="544" t="s">
        <v>29</v>
      </c>
    </row>
    <row r="18" spans="1:2" ht="12.75">
      <c r="A18" s="544" t="s">
        <v>30</v>
      </c>
      <c r="B18" s="544" t="s">
        <v>31</v>
      </c>
    </row>
    <row r="19" spans="1:2" ht="12.75">
      <c r="A19" s="544" t="s">
        <v>121</v>
      </c>
      <c r="B19" s="544" t="s">
        <v>131</v>
      </c>
    </row>
    <row r="20" spans="1:2" ht="12.75">
      <c r="A20" s="544" t="s">
        <v>32</v>
      </c>
      <c r="B20" s="544" t="s">
        <v>33</v>
      </c>
    </row>
    <row r="21" spans="1:2" ht="12.75">
      <c r="A21" s="544" t="s">
        <v>34</v>
      </c>
      <c r="B21" s="544" t="s">
        <v>35</v>
      </c>
    </row>
    <row r="22" spans="1:2" ht="12.75">
      <c r="A22" s="544" t="s">
        <v>36</v>
      </c>
      <c r="B22" s="544" t="s">
        <v>37</v>
      </c>
    </row>
    <row r="23" spans="1:2" ht="12.75">
      <c r="A23" s="544" t="s">
        <v>38</v>
      </c>
      <c r="B23" s="544" t="s">
        <v>39</v>
      </c>
    </row>
    <row r="24" spans="1:2" ht="12.75">
      <c r="A24" s="544" t="s">
        <v>40</v>
      </c>
      <c r="B24" s="544" t="s">
        <v>41</v>
      </c>
    </row>
    <row r="25" spans="1:2" ht="12.75">
      <c r="A25" s="544" t="s">
        <v>42</v>
      </c>
      <c r="B25" s="544" t="s">
        <v>43</v>
      </c>
    </row>
    <row r="26" spans="1:2" ht="12.75">
      <c r="A26" s="544" t="s">
        <v>44</v>
      </c>
      <c r="B26" s="544" t="s">
        <v>45</v>
      </c>
    </row>
    <row r="27" spans="1:2" ht="12.75">
      <c r="A27" s="544" t="s">
        <v>46</v>
      </c>
      <c r="B27" s="544" t="s">
        <v>47</v>
      </c>
    </row>
    <row r="28" spans="1:2" ht="12.75">
      <c r="A28" s="544" t="s">
        <v>48</v>
      </c>
      <c r="B28" s="544" t="s">
        <v>49</v>
      </c>
    </row>
    <row r="29" spans="1:2" ht="12.75">
      <c r="A29" s="544" t="s">
        <v>50</v>
      </c>
      <c r="B29" s="544" t="s">
        <v>51</v>
      </c>
    </row>
    <row r="30" spans="1:2" ht="12.75">
      <c r="A30" s="544" t="s">
        <v>52</v>
      </c>
      <c r="B30" s="544" t="s">
        <v>53</v>
      </c>
    </row>
    <row r="31" spans="1:2" ht="12.75">
      <c r="A31" s="544" t="s">
        <v>54</v>
      </c>
      <c r="B31" s="544" t="s">
        <v>55</v>
      </c>
    </row>
    <row r="32" spans="1:2" ht="12.75">
      <c r="A32" s="544" t="s">
        <v>56</v>
      </c>
      <c r="B32" s="544" t="s">
        <v>57</v>
      </c>
    </row>
    <row r="33" spans="1:2" ht="12.75">
      <c r="A33" s="544" t="s">
        <v>58</v>
      </c>
      <c r="B33" s="544" t="s">
        <v>59</v>
      </c>
    </row>
    <row r="34" spans="1:2" ht="12.75">
      <c r="A34" s="544" t="s">
        <v>60</v>
      </c>
      <c r="B34" s="544" t="s">
        <v>61</v>
      </c>
    </row>
    <row r="35" spans="1:2" ht="12.75">
      <c r="A35" s="544" t="s">
        <v>62</v>
      </c>
      <c r="B35" s="544" t="s">
        <v>63</v>
      </c>
    </row>
    <row r="36" spans="1:2" ht="12.75">
      <c r="A36" s="544" t="s">
        <v>64</v>
      </c>
      <c r="B36" s="544" t="s">
        <v>65</v>
      </c>
    </row>
    <row r="37" spans="1:2" ht="12.75">
      <c r="A37" s="544" t="s">
        <v>66</v>
      </c>
      <c r="B37" s="544" t="s">
        <v>67</v>
      </c>
    </row>
    <row r="38" spans="1:2" ht="12.75">
      <c r="A38" s="544" t="s">
        <v>68</v>
      </c>
      <c r="B38" s="544" t="s">
        <v>69</v>
      </c>
    </row>
    <row r="39" spans="1:2" ht="12.75">
      <c r="A39" s="544" t="s">
        <v>70</v>
      </c>
      <c r="B39" s="544" t="s">
        <v>71</v>
      </c>
    </row>
    <row r="40" spans="1:2" ht="12.75">
      <c r="A40" s="544" t="s">
        <v>72</v>
      </c>
      <c r="B40" s="544" t="s">
        <v>73</v>
      </c>
    </row>
    <row r="41" spans="1:2" ht="12.75">
      <c r="A41" s="544" t="s">
        <v>74</v>
      </c>
      <c r="B41" s="544" t="s">
        <v>75</v>
      </c>
    </row>
    <row r="42" spans="1:2" ht="12.75">
      <c r="A42" s="544" t="s">
        <v>76</v>
      </c>
      <c r="B42" s="544" t="s">
        <v>77</v>
      </c>
    </row>
    <row r="43" spans="1:2" ht="12.75">
      <c r="A43" s="544" t="s">
        <v>78</v>
      </c>
      <c r="B43" s="544" t="s">
        <v>79</v>
      </c>
    </row>
    <row r="44" spans="1:2" ht="12.75">
      <c r="A44" s="544" t="s">
        <v>80</v>
      </c>
      <c r="B44" s="544" t="s">
        <v>81</v>
      </c>
    </row>
    <row r="45" spans="1:2" ht="12.75">
      <c r="A45" s="544" t="s">
        <v>82</v>
      </c>
      <c r="B45" s="544" t="s">
        <v>83</v>
      </c>
    </row>
    <row r="46" spans="1:2" ht="12.75">
      <c r="A46" s="544" t="s">
        <v>84</v>
      </c>
      <c r="B46" s="544" t="s">
        <v>85</v>
      </c>
    </row>
    <row r="47" spans="1:2" ht="12.75">
      <c r="A47" s="544" t="s">
        <v>86</v>
      </c>
      <c r="B47" s="544" t="s">
        <v>87</v>
      </c>
    </row>
    <row r="48" spans="1:2" ht="12.75">
      <c r="A48" s="544" t="s">
        <v>88</v>
      </c>
      <c r="B48" s="544" t="s">
        <v>89</v>
      </c>
    </row>
    <row r="49" spans="1:2" ht="12.75">
      <c r="A49" s="544" t="s">
        <v>90</v>
      </c>
      <c r="B49" s="544" t="s">
        <v>91</v>
      </c>
    </row>
    <row r="50" spans="1:2" ht="12.75">
      <c r="A50" s="544" t="s">
        <v>92</v>
      </c>
      <c r="B50" s="544" t="s">
        <v>93</v>
      </c>
    </row>
    <row r="52" spans="4:7" s="546" customFormat="1" ht="12.75">
      <c r="D52" s="547"/>
      <c r="E52" s="548"/>
      <c r="F52" s="549"/>
      <c r="G52" s="550"/>
    </row>
  </sheetData>
  <printOptions horizontalCentered="1"/>
  <pageMargins left="0.5" right="0.5" top="1" bottom="0.5" header="0.5" footer="0.5"/>
  <pageSetup fitToHeight="0" fitToWidth="1" horizontalDpi="600" verticalDpi="600" orientation="portrait" r:id="rId1"/>
  <headerFooter alignWithMargins="0">
    <oddHeader>&amp;C&amp;"Arial,Bold"&amp;12Definitions</oddHeader>
    <oddFooter>&amp;LPage 4&amp;CBonneville Power Administration, Power Business Line&amp;R2/14/02</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2:I63"/>
  <sheetViews>
    <sheetView view="pageBreakPreview" zoomScale="75" zoomScaleSheetLayoutView="75" workbookViewId="0" topLeftCell="A22">
      <selection activeCell="D79" sqref="D78:D79"/>
    </sheetView>
  </sheetViews>
  <sheetFormatPr defaultColWidth="9.140625" defaultRowHeight="9.75" customHeight="1"/>
  <cols>
    <col min="1" max="1" width="33.140625" style="2" customWidth="1"/>
    <col min="2" max="3" width="10.7109375" style="4" customWidth="1"/>
    <col min="4" max="4" width="11.421875" style="4" customWidth="1"/>
    <col min="5" max="7" width="10.7109375" style="4" hidden="1" customWidth="1"/>
    <col min="8" max="8" width="8.00390625" style="4" customWidth="1"/>
    <col min="9" max="16384" width="10.7109375" style="2" customWidth="1"/>
  </cols>
  <sheetData>
    <row r="2" spans="3:4" ht="12" customHeight="1">
      <c r="C2" s="1" t="s">
        <v>470</v>
      </c>
      <c r="D2" s="557"/>
    </row>
    <row r="3" spans="1:7" ht="9.75" customHeight="1">
      <c r="A3" s="135" t="s">
        <v>488</v>
      </c>
      <c r="B3" s="136" t="str">
        <f>'Analysis Parameters'!D6</f>
        <v>Oct</v>
      </c>
      <c r="C3" s="136" t="str">
        <f>'Analysis Parameters'!E6</f>
        <v>Nov</v>
      </c>
      <c r="D3" s="137" t="str">
        <f>'Analysis Parameters'!F6</f>
        <v>Dec</v>
      </c>
      <c r="E3" s="136" t="str">
        <f>'Analysis Parameters'!G6</f>
        <v>none</v>
      </c>
      <c r="F3" s="136" t="str">
        <f>'Analysis Parameters'!H6</f>
        <v>none</v>
      </c>
      <c r="G3" s="137" t="str">
        <f>'Analysis Parameters'!I6</f>
        <v>none</v>
      </c>
    </row>
    <row r="4" spans="1:7" ht="9.75" customHeight="1">
      <c r="A4" s="138" t="s">
        <v>197</v>
      </c>
      <c r="B4" s="139">
        <f>'Analysis Parameters'!D60</f>
        <v>140.26</v>
      </c>
      <c r="C4" s="139">
        <f>'Analysis Parameters'!E60</f>
        <v>140.26</v>
      </c>
      <c r="D4" s="140">
        <f>'Analysis Parameters'!F60</f>
        <v>140.26</v>
      </c>
      <c r="E4" s="139"/>
      <c r="F4" s="139"/>
      <c r="G4" s="140"/>
    </row>
    <row r="5" spans="1:7" ht="9.75" customHeight="1">
      <c r="A5" s="141" t="s">
        <v>198</v>
      </c>
      <c r="B5" s="142">
        <f>'Analysis Parameters'!D61</f>
        <v>95.14</v>
      </c>
      <c r="C5" s="142">
        <f>'Analysis Parameters'!E61</f>
        <v>95.14</v>
      </c>
      <c r="D5" s="143">
        <f>'Analysis Parameters'!F61</f>
        <v>95.14</v>
      </c>
      <c r="E5" s="142"/>
      <c r="F5" s="142"/>
      <c r="G5" s="143"/>
    </row>
    <row r="6" spans="1:7" ht="9.75" customHeight="1">
      <c r="A6" s="144" t="s">
        <v>287</v>
      </c>
      <c r="B6" s="145"/>
      <c r="C6" s="145"/>
      <c r="D6" s="146"/>
      <c r="E6" s="145"/>
      <c r="F6" s="145"/>
      <c r="G6" s="146"/>
    </row>
    <row r="7" spans="1:7" ht="9.75" customHeight="1">
      <c r="A7" s="138" t="s">
        <v>197</v>
      </c>
      <c r="B7" s="139">
        <f>'Fixed Costs &amp; Rates'!D104</f>
        <v>24.42</v>
      </c>
      <c r="C7" s="139">
        <f>'Fixed Costs &amp; Rates'!E104</f>
        <v>35.55</v>
      </c>
      <c r="D7" s="140">
        <f>'Fixed Costs &amp; Rates'!F104</f>
        <v>30.08</v>
      </c>
      <c r="E7" s="139"/>
      <c r="F7" s="139"/>
      <c r="G7" s="140"/>
    </row>
    <row r="8" spans="1:7" ht="9.75" customHeight="1">
      <c r="A8" s="141" t="s">
        <v>198</v>
      </c>
      <c r="B8" s="142">
        <f>'Fixed Costs &amp; Rates'!D105</f>
        <v>19.85</v>
      </c>
      <c r="C8" s="142">
        <f>'Fixed Costs &amp; Rates'!E105</f>
        <v>28.51</v>
      </c>
      <c r="D8" s="143">
        <f>'Fixed Costs &amp; Rates'!F105</f>
        <v>25.16</v>
      </c>
      <c r="E8" s="142"/>
      <c r="F8" s="142"/>
      <c r="G8" s="143"/>
    </row>
    <row r="9" spans="1:8" ht="9.75" customHeight="1">
      <c r="A9" s="147" t="s">
        <v>195</v>
      </c>
      <c r="B9" s="148">
        <f>'Load Inputs'!D47</f>
        <v>5618</v>
      </c>
      <c r="C9" s="148">
        <f>'Load Inputs'!E47</f>
        <v>6252</v>
      </c>
      <c r="D9" s="149">
        <f>'Load Inputs'!F47</f>
        <v>6480</v>
      </c>
      <c r="E9" s="148"/>
      <c r="F9" s="148"/>
      <c r="G9" s="149"/>
      <c r="H9" s="407">
        <f>AVERAGE(B9:D9)</f>
        <v>6116.666666666667</v>
      </c>
    </row>
    <row r="10" spans="1:8" ht="9.75" customHeight="1">
      <c r="A10" s="22" t="s">
        <v>160</v>
      </c>
      <c r="B10" s="150">
        <f>'Fixed Costs &amp; Rates'!D5</f>
        <v>4976</v>
      </c>
      <c r="C10" s="150">
        <f>'Fixed Costs &amp; Rates'!E5</f>
        <v>5464</v>
      </c>
      <c r="D10" s="151">
        <f>'Fixed Costs &amp; Rates'!F5</f>
        <v>5886</v>
      </c>
      <c r="E10" s="150"/>
      <c r="F10" s="150"/>
      <c r="G10" s="151"/>
      <c r="H10" s="408">
        <f>AVERAGE(B10:D10)</f>
        <v>5442</v>
      </c>
    </row>
    <row r="11" spans="1:9" ht="9.75" customHeight="1">
      <c r="A11" s="22" t="s">
        <v>196</v>
      </c>
      <c r="B11" s="150">
        <f>(B9-B10)</f>
        <v>642</v>
      </c>
      <c r="C11" s="150">
        <f>(C9-C10)</f>
        <v>788</v>
      </c>
      <c r="D11" s="151">
        <f>(D9-D10)</f>
        <v>594</v>
      </c>
      <c r="E11" s="150"/>
      <c r="F11" s="150"/>
      <c r="G11" s="151"/>
      <c r="H11" s="408">
        <f>AVERAGE(B11:D11)</f>
        <v>674.6666666666666</v>
      </c>
      <c r="I11" s="79"/>
    </row>
    <row r="12" spans="1:8" s="6" customFormat="1" ht="9.75" customHeight="1">
      <c r="A12" s="152" t="s">
        <v>220</v>
      </c>
      <c r="B12" s="153">
        <f>'0 - Day Rule Calc''s'!B2</f>
        <v>653.556</v>
      </c>
      <c r="C12" s="153">
        <f>'0 - Day Rule Calc''s'!C2</f>
        <v>802.184</v>
      </c>
      <c r="D12" s="154">
        <f>'0 - Day Rule Calc''s'!D2</f>
        <v>604.692</v>
      </c>
      <c r="E12" s="153"/>
      <c r="F12" s="153"/>
      <c r="G12" s="154"/>
      <c r="H12" s="409">
        <f>AVERAGE(B12:D12)</f>
        <v>686.8106666666666</v>
      </c>
    </row>
    <row r="13" spans="1:8" s="6" customFormat="1" ht="9.75" customHeight="1">
      <c r="A13" s="114" t="s">
        <v>284</v>
      </c>
      <c r="B13" s="163"/>
      <c r="C13" s="163"/>
      <c r="D13" s="103"/>
      <c r="E13" s="163"/>
      <c r="F13" s="163"/>
      <c r="G13" s="103"/>
      <c r="H13" s="408"/>
    </row>
    <row r="14" spans="1:8" ht="9.75" customHeight="1">
      <c r="A14" s="99" t="s">
        <v>321</v>
      </c>
      <c r="B14" s="166"/>
      <c r="C14" s="166"/>
      <c r="D14" s="167"/>
      <c r="E14" s="166"/>
      <c r="F14" s="166"/>
      <c r="G14" s="166"/>
      <c r="H14" s="408"/>
    </row>
    <row r="15" spans="1:8" ht="9.75" customHeight="1">
      <c r="A15" s="410" t="s">
        <v>120</v>
      </c>
      <c r="B15" s="166">
        <f>('120-Day Rule Pre-Purchases'!D31+'120-Day Rule Pre-Purchases'!D32+'120-Day Rule Pre-Purchases'!D43+'120-Day Rule Pre-Purchases'!D50+'120-Day Rule Pre-Purchases'!D57+'120-Day Rule Pre-Purchases'!D64+'120-Day Rule Pre-Purchases'!D71)/'120-Day Rule Pre-Purchases'!D8</f>
        <v>169</v>
      </c>
      <c r="C15" s="166">
        <f>('120-Day Rule Pre-Purchases'!E31+'120-Day Rule Pre-Purchases'!E32+'120-Day Rule Pre-Purchases'!E43+'120-Day Rule Pre-Purchases'!E50+'120-Day Rule Pre-Purchases'!E57+'120-Day Rule Pre-Purchases'!E64+'120-Day Rule Pre-Purchases'!E71)/'120-Day Rule Pre-Purchases'!E8</f>
        <v>172.1153846153846</v>
      </c>
      <c r="D15" s="167">
        <f>('120-Day Rule Pre-Purchases'!F31+'120-Day Rule Pre-Purchases'!F32+'120-Day Rule Pre-Purchases'!F43+'120-Day Rule Pre-Purchases'!F50+'120-Day Rule Pre-Purchases'!F57+'120-Day Rule Pre-Purchases'!F64+'120-Day Rule Pre-Purchases'!F71)/'120-Day Rule Pre-Purchases'!F8</f>
        <v>159.6153846153846</v>
      </c>
      <c r="E15" s="166"/>
      <c r="F15" s="166"/>
      <c r="G15" s="167"/>
      <c r="H15" s="408">
        <f>AVERAGE(B15:D15)</f>
        <v>166.91025641025644</v>
      </c>
    </row>
    <row r="16" spans="1:8" ht="9.75" customHeight="1">
      <c r="A16" s="410" t="s">
        <v>121</v>
      </c>
      <c r="B16" s="166">
        <f>('120-Day Rule Pre-Purchases'!D34+'120-Day Rule Pre-Purchases'!D35+'120-Day Rule Pre-Purchases'!D44+'120-Day Rule Pre-Purchases'!D51+'120-Day Rule Pre-Purchases'!D58+'120-Day Rule Pre-Purchases'!D65+'120-Day Rule Pre-Purchases'!D72)/'120-Day Rule Pre-Purchases'!D9</f>
        <v>252.20000000000002</v>
      </c>
      <c r="C16" s="166">
        <f>('120-Day Rule Pre-Purchases'!E34+'120-Day Rule Pre-Purchases'!E35+'120-Day Rule Pre-Purchases'!E44+'120-Day Rule Pre-Purchases'!E51+'120-Day Rule Pre-Purchases'!E58+'120-Day Rule Pre-Purchases'!E65+'120-Day Rule Pre-Purchases'!E72)/'120-Day Rule Pre-Purchases'!E9</f>
        <v>276</v>
      </c>
      <c r="D16" s="167">
        <f>('120-Day Rule Pre-Purchases'!F34+'120-Day Rule Pre-Purchases'!F35+'120-Day Rule Pre-Purchases'!F44+'120-Day Rule Pre-Purchases'!F51+'120-Day Rule Pre-Purchases'!F58+'120-Day Rule Pre-Purchases'!F65+'120-Day Rule Pre-Purchases'!F72)/'120-Day Rule Pre-Purchases'!F9</f>
        <v>261.3560975609756</v>
      </c>
      <c r="E16" s="166"/>
      <c r="F16" s="166"/>
      <c r="G16" s="167"/>
      <c r="H16" s="408">
        <f>AVERAGE(B16:D16)</f>
        <v>263.18536585365854</v>
      </c>
    </row>
    <row r="17" spans="1:8" ht="9.75" customHeight="1">
      <c r="A17" s="410"/>
      <c r="B17" s="166"/>
      <c r="C17" s="166"/>
      <c r="D17" s="167"/>
      <c r="E17" s="166"/>
      <c r="F17" s="166"/>
      <c r="G17" s="166"/>
      <c r="H17" s="408"/>
    </row>
    <row r="18" spans="1:8" s="6" customFormat="1" ht="9.75" customHeight="1">
      <c r="A18" s="411" t="s">
        <v>323</v>
      </c>
      <c r="B18" s="166">
        <f>('120-Day Rule Pre-Purchases'!D17+'120-Day Rule Pre-Purchases'!D18)/'120-Day Rule Pre-Purchases'!D8</f>
        <v>1283</v>
      </c>
      <c r="C18" s="166">
        <f>('120-Day Rule Pre-Purchases'!E17+'120-Day Rule Pre-Purchases'!E18)/'120-Day Rule Pre-Purchases'!E8</f>
        <v>1235.576923076923</v>
      </c>
      <c r="D18" s="167">
        <f>('120-Day Rule Pre-Purchases'!F17+'120-Day Rule Pre-Purchases'!F18)/'120-Day Rule Pre-Purchases'!F8</f>
        <v>1237.5</v>
      </c>
      <c r="E18" s="166"/>
      <c r="F18" s="166"/>
      <c r="G18" s="166"/>
      <c r="H18" s="408">
        <f>AVERAGE(B18:D18)</f>
        <v>1252.0256410256409</v>
      </c>
    </row>
    <row r="19" spans="1:8" s="6" customFormat="1" ht="9.75" customHeight="1">
      <c r="A19" s="410" t="s">
        <v>121</v>
      </c>
      <c r="B19" s="166">
        <f>('120-Day Rule Pre-Purchases'!D20+'120-Day Rule Pre-Purchases'!D21)/'120-Day Rule Pre-Purchases'!D9</f>
        <v>1257</v>
      </c>
      <c r="C19" s="166">
        <f>('120-Day Rule Pre-Purchases'!E20+'120-Day Rule Pre-Purchases'!E21)/'120-Day Rule Pre-Purchases'!E9</f>
        <v>1327.3684210526317</v>
      </c>
      <c r="D19" s="167">
        <f>('120-Day Rule Pre-Purchases'!F20+'120-Day Rule Pre-Purchases'!F21)/'120-Day Rule Pre-Purchases'!F9</f>
        <v>1324.6097560975609</v>
      </c>
      <c r="E19" s="166"/>
      <c r="F19" s="166"/>
      <c r="G19" s="166"/>
      <c r="H19" s="408">
        <f>AVERAGE(B19:D19)</f>
        <v>1302.9927257167308</v>
      </c>
    </row>
    <row r="20" spans="1:8" s="6" customFormat="1" ht="9.75" customHeight="1">
      <c r="A20" s="410"/>
      <c r="B20" s="166"/>
      <c r="C20" s="166"/>
      <c r="D20" s="167"/>
      <c r="E20" s="166"/>
      <c r="F20" s="166"/>
      <c r="G20" s="166"/>
      <c r="H20" s="408"/>
    </row>
    <row r="21" spans="1:8" s="6" customFormat="1" ht="9.75" customHeight="1">
      <c r="A21" s="412" t="s">
        <v>388</v>
      </c>
      <c r="B21" s="166">
        <f aca="true" t="shared" si="0" ref="B21:D22">B15+B18</f>
        <v>1452</v>
      </c>
      <c r="C21" s="166">
        <f t="shared" si="0"/>
        <v>1407.6923076923076</v>
      </c>
      <c r="D21" s="167">
        <f t="shared" si="0"/>
        <v>1397.1153846153845</v>
      </c>
      <c r="E21" s="166"/>
      <c r="F21" s="166"/>
      <c r="G21" s="166"/>
      <c r="H21" s="408"/>
    </row>
    <row r="22" spans="1:8" s="6" customFormat="1" ht="9.75" customHeight="1">
      <c r="A22" s="410" t="s">
        <v>121</v>
      </c>
      <c r="B22" s="166">
        <f t="shared" si="0"/>
        <v>1509.2</v>
      </c>
      <c r="C22" s="166">
        <f t="shared" si="0"/>
        <v>1603.3684210526317</v>
      </c>
      <c r="D22" s="167">
        <f t="shared" si="0"/>
        <v>1585.9658536585366</v>
      </c>
      <c r="E22" s="166"/>
      <c r="F22" s="166"/>
      <c r="G22" s="166"/>
      <c r="H22" s="408"/>
    </row>
    <row r="23" spans="1:8" s="6" customFormat="1" ht="9.75" customHeight="1">
      <c r="A23" s="111" t="s">
        <v>285</v>
      </c>
      <c r="B23" s="166"/>
      <c r="C23" s="166"/>
      <c r="D23" s="167"/>
      <c r="E23" s="166"/>
      <c r="F23" s="166"/>
      <c r="G23" s="167"/>
      <c r="H23" s="408"/>
    </row>
    <row r="24" spans="1:8" ht="9.75" customHeight="1">
      <c r="A24" s="99" t="s">
        <v>322</v>
      </c>
      <c r="B24" s="166"/>
      <c r="C24" s="166"/>
      <c r="D24" s="167"/>
      <c r="E24" s="166"/>
      <c r="F24" s="166"/>
      <c r="G24" s="166"/>
      <c r="H24" s="408"/>
    </row>
    <row r="25" spans="1:8" ht="9.75" customHeight="1">
      <c r="A25" s="410" t="s">
        <v>120</v>
      </c>
      <c r="B25" s="166">
        <f>('0-Day Rule Pre-Purchases'!D30+'0-Day Rule Pre-Purchases'!D31+'0-Day Rule Pre-Purchases'!D42+'0-Day Rule Pre-Purchases'!D49+'0-Day Rule Pre-Purchases'!D56+'0-Day Rule Pre-Purchases'!D63+'0-Day Rule Pre-Purchases'!D70)/'0-Day Rule Pre-Purchases'!D7</f>
        <v>222.13194444444446</v>
      </c>
      <c r="C25" s="166">
        <f>('0-Day Rule Pre-Purchases'!E30+'0-Day Rule Pre-Purchases'!E31+'0-Day Rule Pre-Purchases'!E42+'0-Day Rule Pre-Purchases'!E49+'0-Day Rule Pre-Purchases'!E56+'0-Day Rule Pre-Purchases'!E63+'0-Day Rule Pre-Purchases'!E70)/'0-Day Rule Pre-Purchases'!E7</f>
        <v>290.49278846153845</v>
      </c>
      <c r="D25" s="167">
        <f>('0-Day Rule Pre-Purchases'!F30+'0-Day Rule Pre-Purchases'!F31+'0-Day Rule Pre-Purchases'!F42+'0-Day Rule Pre-Purchases'!F49+'0-Day Rule Pre-Purchases'!F56+'0-Day Rule Pre-Purchases'!F63+'0-Day Rule Pre-Purchases'!F70)/'0-Day Rule Pre-Purchases'!F7</f>
        <v>277.99278846153845</v>
      </c>
      <c r="E25" s="166"/>
      <c r="F25" s="166"/>
      <c r="G25" s="166"/>
      <c r="H25" s="408">
        <f>AVERAGE(B25:D25)</f>
        <v>263.5391737891738</v>
      </c>
    </row>
    <row r="26" spans="1:8" ht="9.75" customHeight="1">
      <c r="A26" s="410" t="s">
        <v>121</v>
      </c>
      <c r="B26" s="166">
        <f>('0-Day Rule Pre-Purchases'!D33+'0-Day Rule Pre-Purchases'!D34+'0-Day Rule Pre-Purchases'!D43+'0-Day Rule Pre-Purchases'!D50+'0-Day Rule Pre-Purchases'!D57+'0-Day Rule Pre-Purchases'!D64+'0-Day Rule Pre-Purchases'!D71)/'0-Day Rule Pre-Purchases'!D8</f>
        <v>307.1424920127796</v>
      </c>
      <c r="C26" s="166">
        <f>('0-Day Rule Pre-Purchases'!E33+'0-Day Rule Pre-Purchases'!E34+'0-Day Rule Pre-Purchases'!E43+'0-Day Rule Pre-Purchases'!E50+'0-Day Rule Pre-Purchases'!E57+'0-Day Rule Pre-Purchases'!E64+'0-Day Rule Pre-Purchases'!E71)/'0-Day Rule Pre-Purchases'!E8</f>
        <v>397.36513157894734</v>
      </c>
      <c r="D26" s="167">
        <f>('0-Day Rule Pre-Purchases'!F33+'0-Day Rule Pre-Purchases'!F34+'0-Day Rule Pre-Purchases'!F43+'0-Day Rule Pre-Purchases'!F50+'0-Day Rule Pre-Purchases'!F57+'0-Day Rule Pre-Purchases'!F64+'0-Day Rule Pre-Purchases'!F71)/'0-Day Rule Pre-Purchases'!F8</f>
        <v>373.8408536585366</v>
      </c>
      <c r="E26" s="166"/>
      <c r="F26" s="166"/>
      <c r="G26" s="166"/>
      <c r="H26" s="408">
        <f>AVERAGE(B26:D26)</f>
        <v>359.44949241675454</v>
      </c>
    </row>
    <row r="27" spans="1:8" ht="9.75" customHeight="1">
      <c r="A27" s="410"/>
      <c r="B27" s="166"/>
      <c r="C27" s="166"/>
      <c r="D27" s="167"/>
      <c r="E27" s="166"/>
      <c r="F27" s="166"/>
      <c r="G27" s="166"/>
      <c r="H27" s="408"/>
    </row>
    <row r="28" spans="1:8" s="6" customFormat="1" ht="9.75" customHeight="1">
      <c r="A28" s="411" t="s">
        <v>324</v>
      </c>
      <c r="B28" s="166">
        <f>('0-Day Rule Pre-Purchases'!D16+'0-Day Rule Pre-Purchases'!D17)/'0-Day Rule Pre-Purchases'!D7</f>
        <v>1283</v>
      </c>
      <c r="C28" s="166">
        <f>('0-Day Rule Pre-Purchases'!E16+'0-Day Rule Pre-Purchases'!E17)/'0-Day Rule Pre-Purchases'!E7</f>
        <v>1235.576923076923</v>
      </c>
      <c r="D28" s="167">
        <f>('0-Day Rule Pre-Purchases'!F16+'0-Day Rule Pre-Purchases'!F17)/'0-Day Rule Pre-Purchases'!F7</f>
        <v>1237.5</v>
      </c>
      <c r="E28" s="166"/>
      <c r="F28" s="166"/>
      <c r="G28" s="166"/>
      <c r="H28" s="408">
        <f>AVERAGE(B28:D28)</f>
        <v>1252.0256410256409</v>
      </c>
    </row>
    <row r="29" spans="1:8" s="6" customFormat="1" ht="9.75" customHeight="1">
      <c r="A29" s="410" t="s">
        <v>121</v>
      </c>
      <c r="B29" s="166">
        <f>('0-Day Rule Pre-Purchases'!D19+'0-Day Rule Pre-Purchases'!D20)/'0-Day Rule Pre-Purchases'!D8</f>
        <v>1257</v>
      </c>
      <c r="C29" s="166">
        <f>('0-Day Rule Pre-Purchases'!E19+'0-Day Rule Pre-Purchases'!E20)/'0-Day Rule Pre-Purchases'!E8</f>
        <v>1327.3684210526317</v>
      </c>
      <c r="D29" s="167">
        <f>('0-Day Rule Pre-Purchases'!F19+'0-Day Rule Pre-Purchases'!F20)/'0-Day Rule Pre-Purchases'!F8</f>
        <v>1324.6097560975609</v>
      </c>
      <c r="E29" s="166"/>
      <c r="F29" s="166"/>
      <c r="G29" s="166"/>
      <c r="H29" s="408">
        <f>AVERAGE(B29:D29)</f>
        <v>1302.9927257167308</v>
      </c>
    </row>
    <row r="30" spans="1:8" s="6" customFormat="1" ht="9.75" customHeight="1">
      <c r="A30" s="410"/>
      <c r="B30" s="166"/>
      <c r="C30" s="166"/>
      <c r="D30" s="167"/>
      <c r="E30" s="166"/>
      <c r="F30" s="166"/>
      <c r="G30" s="166"/>
      <c r="H30" s="408"/>
    </row>
    <row r="31" spans="1:8" s="6" customFormat="1" ht="9.75" customHeight="1">
      <c r="A31" s="412" t="s">
        <v>388</v>
      </c>
      <c r="B31" s="166">
        <f aca="true" t="shared" si="1" ref="B31:D32">B25+B28</f>
        <v>1505.1319444444443</v>
      </c>
      <c r="C31" s="166">
        <f t="shared" si="1"/>
        <v>1526.0697115384614</v>
      </c>
      <c r="D31" s="167">
        <f t="shared" si="1"/>
        <v>1515.4927884615386</v>
      </c>
      <c r="E31" s="166"/>
      <c r="F31" s="166"/>
      <c r="G31" s="166"/>
      <c r="H31" s="408"/>
    </row>
    <row r="32" spans="1:8" s="6" customFormat="1" ht="9.75" customHeight="1">
      <c r="A32" s="410" t="s">
        <v>121</v>
      </c>
      <c r="B32" s="166">
        <f t="shared" si="1"/>
        <v>1564.1424920127797</v>
      </c>
      <c r="C32" s="166">
        <f t="shared" si="1"/>
        <v>1724.733552631579</v>
      </c>
      <c r="D32" s="167">
        <f t="shared" si="1"/>
        <v>1698.4506097560975</v>
      </c>
      <c r="E32" s="166"/>
      <c r="F32" s="166"/>
      <c r="G32" s="166"/>
      <c r="H32" s="408"/>
    </row>
    <row r="33" spans="1:8" s="6" customFormat="1" ht="9.75" customHeight="1">
      <c r="A33" s="155" t="s">
        <v>320</v>
      </c>
      <c r="B33" s="156">
        <f>MAX(0,'0 - Day Rule Calc''s'!B$2-'Calculated Inputs'!D37)</f>
        <v>0</v>
      </c>
      <c r="C33" s="156">
        <f>MAX(0,'0 - Day Rule Calc''s'!C$2-'Calculated Inputs'!E37)</f>
        <v>0</v>
      </c>
      <c r="D33" s="157">
        <f>MAX(0,'0 - Day Rule Calc''s'!D$2-'Calculated Inputs'!F37)</f>
        <v>0</v>
      </c>
      <c r="E33" s="156"/>
      <c r="F33" s="156"/>
      <c r="G33" s="157"/>
      <c r="H33" s="407">
        <f>AVERAGE(B33:D33)</f>
        <v>0</v>
      </c>
    </row>
    <row r="34" spans="1:9" s="6" customFormat="1" ht="9.75" customHeight="1">
      <c r="A34" s="158" t="s">
        <v>121</v>
      </c>
      <c r="B34" s="159">
        <f>MAX(0,'0 - Day Rule Calc''s'!B$2-'Calculated Inputs'!D38)</f>
        <v>0</v>
      </c>
      <c r="C34" s="159">
        <f>MAX(0,'0 - Day Rule Calc''s'!C$2-'Calculated Inputs'!E38)</f>
        <v>0</v>
      </c>
      <c r="D34" s="160">
        <f>MAX(0,'0 - Day Rule Calc''s'!D$2-'Calculated Inputs'!F38)</f>
        <v>0</v>
      </c>
      <c r="E34" s="159"/>
      <c r="F34" s="159"/>
      <c r="G34" s="160"/>
      <c r="H34" s="409">
        <f>AVERAGE(B34:D34)</f>
        <v>0</v>
      </c>
      <c r="I34" s="161"/>
    </row>
    <row r="35" spans="1:8" ht="9.75" customHeight="1">
      <c r="A35" s="114" t="s">
        <v>286</v>
      </c>
      <c r="B35" s="162"/>
      <c r="C35" s="162"/>
      <c r="D35" s="103"/>
      <c r="E35" s="163"/>
      <c r="F35" s="163"/>
      <c r="G35" s="103"/>
      <c r="H35" s="164"/>
    </row>
    <row r="36" spans="1:8" ht="9.75" customHeight="1">
      <c r="A36" s="87" t="s">
        <v>120</v>
      </c>
      <c r="B36" s="165">
        <f>'120 - Day Rule Calc''s'!F7</f>
        <v>13647733.884572659</v>
      </c>
      <c r="C36" s="165">
        <f>'120 - Day Rule Calc''s'!G7</f>
        <v>15385153.130784407</v>
      </c>
      <c r="D36" s="97">
        <f>'120 - Day Rule Calc''s'!H7</f>
        <v>12334163.936348522</v>
      </c>
      <c r="E36" s="166"/>
      <c r="F36" s="166"/>
      <c r="G36" s="167"/>
      <c r="H36" s="164"/>
    </row>
    <row r="37" spans="1:7" ht="9.75" customHeight="1">
      <c r="A37" s="87" t="s">
        <v>121</v>
      </c>
      <c r="B37" s="165">
        <f>'120 - Day Rule Calc''s'!F12</f>
        <v>9221840.71103555</v>
      </c>
      <c r="C37" s="165">
        <f>'120 - Day Rule Calc''s'!G12</f>
        <v>10570342.978268702</v>
      </c>
      <c r="D37" s="97">
        <f>'120 - Day Rule Calc''s'!H12</f>
        <v>9133210.657724751</v>
      </c>
      <c r="E37" s="166"/>
      <c r="F37" s="166"/>
      <c r="G37" s="167"/>
    </row>
    <row r="38" spans="1:7" ht="9.75" customHeight="1">
      <c r="A38" s="87" t="s">
        <v>115</v>
      </c>
      <c r="B38" s="165">
        <f>B36+B37</f>
        <v>22869574.59560821</v>
      </c>
      <c r="C38" s="165">
        <f>C36+C37</f>
        <v>25955496.10905311</v>
      </c>
      <c r="D38" s="97">
        <f>D36+D37</f>
        <v>21467374.594073273</v>
      </c>
      <c r="E38" s="166"/>
      <c r="F38" s="166"/>
      <c r="G38" s="167"/>
    </row>
    <row r="39" spans="1:7" ht="9.75" customHeight="1">
      <c r="A39" s="99" t="s">
        <v>290</v>
      </c>
      <c r="B39" s="165">
        <f>'120 - Day Rule Calc''s'!F15</f>
        <v>169163207.1787346</v>
      </c>
      <c r="C39" s="165"/>
      <c r="D39" s="97"/>
      <c r="E39" s="105"/>
      <c r="F39" s="105"/>
      <c r="G39" s="168"/>
    </row>
    <row r="40" spans="1:7" ht="9.75" customHeight="1">
      <c r="A40" s="111" t="s">
        <v>288</v>
      </c>
      <c r="B40" s="105"/>
      <c r="C40" s="105"/>
      <c r="D40" s="167"/>
      <c r="E40" s="166"/>
      <c r="F40" s="166"/>
      <c r="G40" s="167"/>
    </row>
    <row r="41" spans="1:7" ht="9.75" customHeight="1">
      <c r="A41" s="87" t="s">
        <v>120</v>
      </c>
      <c r="B41" s="165">
        <f>'0 - Day Rule Calc''s'!B5</f>
        <v>13544698.765353978</v>
      </c>
      <c r="C41" s="165">
        <f>'0 - Day Rule Calc''s'!C5</f>
        <v>15175392.650286386</v>
      </c>
      <c r="D41" s="97">
        <f>'0 - Day Rule Calc''s'!D5</f>
        <v>12117394.67133916</v>
      </c>
      <c r="E41" s="166"/>
      <c r="F41" s="166"/>
      <c r="G41" s="167"/>
    </row>
    <row r="42" spans="1:7" ht="9.75" customHeight="1">
      <c r="A42" s="87" t="s">
        <v>121</v>
      </c>
      <c r="B42" s="165">
        <f>'0 - Day Rule Calc''s'!B10</f>
        <v>9170956.785800083</v>
      </c>
      <c r="C42" s="165">
        <f>'0 - Day Rule Calc''s'!C10</f>
        <v>10478611.994834892</v>
      </c>
      <c r="D42" s="97">
        <f>'0 - Day Rule Calc''s'!D10</f>
        <v>9027484.531650588</v>
      </c>
      <c r="E42" s="166"/>
      <c r="F42" s="166"/>
      <c r="G42" s="167"/>
    </row>
    <row r="43" spans="1:7" ht="9.75" customHeight="1">
      <c r="A43" s="87" t="s">
        <v>115</v>
      </c>
      <c r="B43" s="165">
        <f>B41+B42</f>
        <v>22715655.551154062</v>
      </c>
      <c r="C43" s="165">
        <f>C41+C42</f>
        <v>25654004.645121276</v>
      </c>
      <c r="D43" s="97">
        <f>D41+D42</f>
        <v>21144879.20298975</v>
      </c>
      <c r="E43" s="166"/>
      <c r="F43" s="166"/>
      <c r="G43" s="167"/>
    </row>
    <row r="44" spans="1:7" ht="9.75" customHeight="1">
      <c r="A44" s="99" t="s">
        <v>289</v>
      </c>
      <c r="B44" s="165">
        <f>'0 - Day Rule Calc''s'!B13</f>
        <v>168385301.27926508</v>
      </c>
      <c r="C44" s="165"/>
      <c r="D44" s="97"/>
      <c r="E44" s="105"/>
      <c r="F44" s="105"/>
      <c r="G44" s="168"/>
    </row>
    <row r="45" spans="1:7" ht="11.25">
      <c r="A45" s="635" t="s">
        <v>465</v>
      </c>
      <c r="B45" s="636"/>
      <c r="C45" s="636"/>
      <c r="D45" s="637"/>
      <c r="E45" s="110"/>
      <c r="F45" s="110"/>
      <c r="G45" s="170"/>
    </row>
    <row r="46" spans="1:7" ht="9.75" customHeight="1">
      <c r="A46" s="171" t="s">
        <v>222</v>
      </c>
      <c r="B46" s="172"/>
      <c r="C46" s="172"/>
      <c r="D46" s="173"/>
      <c r="E46" s="172"/>
      <c r="F46" s="172"/>
      <c r="G46" s="173"/>
    </row>
    <row r="47" spans="1:7" ht="9.75" customHeight="1">
      <c r="A47" s="174" t="s">
        <v>120</v>
      </c>
      <c r="B47" s="175">
        <f>'120 - Day Rule Calc''s'!F20</f>
        <v>7933646.995200001</v>
      </c>
      <c r="C47" s="175">
        <f>'120 - Day Rule Calc''s'!G20</f>
        <v>9377210.0864</v>
      </c>
      <c r="D47" s="551">
        <f>'120 - Day Rule Calc''s'!H20</f>
        <v>7068607.6032</v>
      </c>
      <c r="E47" s="176"/>
      <c r="F47" s="176"/>
      <c r="G47" s="177"/>
    </row>
    <row r="48" spans="1:7" ht="9.75" customHeight="1">
      <c r="A48" s="174" t="s">
        <v>121</v>
      </c>
      <c r="B48" s="175">
        <f>'120 - Day Rule Calc''s'!F21</f>
        <v>5748221.086800001</v>
      </c>
      <c r="C48" s="175">
        <f>'120 - Day Rule Calc''s'!G21</f>
        <v>6852576.6016</v>
      </c>
      <c r="D48" s="551">
        <f>'120 - Day Rule Calc''s'!H21</f>
        <v>5573325.2256</v>
      </c>
      <c r="E48" s="176"/>
      <c r="F48" s="176"/>
      <c r="G48" s="177"/>
    </row>
    <row r="49" spans="1:7" ht="9.75" customHeight="1">
      <c r="A49" s="178" t="s">
        <v>389</v>
      </c>
      <c r="B49" s="179">
        <f>SUM(B47:G48)</f>
        <v>42553587.5988</v>
      </c>
      <c r="C49" s="179"/>
      <c r="D49" s="552"/>
      <c r="E49" s="180"/>
      <c r="F49" s="180"/>
      <c r="G49" s="181"/>
    </row>
    <row r="50" spans="1:4" ht="9.75" customHeight="1">
      <c r="A50" s="382" t="s">
        <v>466</v>
      </c>
      <c r="B50" s="530">
        <f>'120 - Day Rule Calc''s'!F23</f>
        <v>126609619.5799346</v>
      </c>
      <c r="C50" s="182"/>
      <c r="D50" s="553"/>
    </row>
    <row r="51" spans="1:4" ht="9.75" customHeight="1">
      <c r="A51" s="345" t="s">
        <v>467</v>
      </c>
      <c r="B51" s="531">
        <f>'0 - Day Rule Calc''s'!B21</f>
        <v>125831713.68046507</v>
      </c>
      <c r="C51" s="182"/>
      <c r="D51" s="553"/>
    </row>
    <row r="52" spans="1:4" ht="9.75" customHeight="1">
      <c r="A52" s="345" t="s">
        <v>378</v>
      </c>
      <c r="B52" s="531">
        <f>B51-B50</f>
        <v>-777905.8994695246</v>
      </c>
      <c r="C52" s="182"/>
      <c r="D52" s="553"/>
    </row>
    <row r="53" spans="1:7" ht="11.25">
      <c r="A53" s="632" t="s">
        <v>468</v>
      </c>
      <c r="B53" s="633"/>
      <c r="C53" s="633"/>
      <c r="D53" s="634"/>
      <c r="E53" s="246"/>
      <c r="F53" s="246"/>
      <c r="G53" s="251"/>
    </row>
    <row r="54" spans="1:7" ht="9.75" customHeight="1">
      <c r="A54" s="22" t="s">
        <v>193</v>
      </c>
      <c r="B54" s="414">
        <f>'Lookback Calculation'!F2</f>
        <v>31304763.84362028</v>
      </c>
      <c r="C54" s="414">
        <f>'Lookback Calculation'!G2</f>
        <v>31304763.84362028</v>
      </c>
      <c r="D54" s="554">
        <f>'Lookback Calculation'!H2</f>
        <v>31304763.84362028</v>
      </c>
      <c r="E54" s="150"/>
      <c r="F54" s="150"/>
      <c r="G54" s="151"/>
    </row>
    <row r="55" spans="1:8" ht="9.75" customHeight="1">
      <c r="A55" s="22" t="s">
        <v>194</v>
      </c>
      <c r="B55" s="414">
        <f>'Lookback Calculation'!F3</f>
        <v>49607116.128019996</v>
      </c>
      <c r="C55" s="414">
        <f>'Lookback Calculation'!G3</f>
        <v>74976858.67945</v>
      </c>
      <c r="D55" s="554">
        <f>'Lookback Calculation'!H3</f>
        <v>79313172.72867</v>
      </c>
      <c r="E55" s="150"/>
      <c r="F55" s="150"/>
      <c r="G55" s="151"/>
      <c r="H55" s="164"/>
    </row>
    <row r="56" spans="1:7" ht="9.75" customHeight="1">
      <c r="A56" s="345" t="s">
        <v>390</v>
      </c>
      <c r="B56" s="531">
        <f>SUM(B54:G55)</f>
        <v>297811439.06700087</v>
      </c>
      <c r="C56" s="150"/>
      <c r="D56" s="151"/>
      <c r="E56" s="150"/>
      <c r="F56" s="150"/>
      <c r="G56" s="150"/>
    </row>
    <row r="57" spans="1:7" ht="11.25">
      <c r="A57" s="632" t="s">
        <v>469</v>
      </c>
      <c r="B57" s="633"/>
      <c r="C57" s="633"/>
      <c r="D57" s="634"/>
      <c r="E57" s="246"/>
      <c r="F57" s="246"/>
      <c r="G57" s="251"/>
    </row>
    <row r="58" spans="1:7" ht="9.75" customHeight="1">
      <c r="A58" s="22" t="s">
        <v>291</v>
      </c>
      <c r="B58" s="415">
        <f>'120 - Day Rule Calc''s'!F24</f>
        <v>45997107.53583616</v>
      </c>
      <c r="C58" s="415">
        <f>'120 - Day Rule Calc''s'!G24</f>
        <v>45997107.53583616</v>
      </c>
      <c r="D58" s="555">
        <f>'120 - Day Rule Calc''s'!H24</f>
        <v>45997107.53583616</v>
      </c>
      <c r="E58" s="416"/>
      <c r="F58" s="416"/>
      <c r="G58" s="417"/>
    </row>
    <row r="59" spans="1:7" ht="9.75" customHeight="1">
      <c r="A59" s="22" t="s">
        <v>292</v>
      </c>
      <c r="B59" s="414">
        <f>'120 - Day Rule Calc''s'!F25</f>
        <v>73420815.40377031</v>
      </c>
      <c r="C59" s="414">
        <f>'120 - Day Rule Calc''s'!G25</f>
        <v>110449757.58958359</v>
      </c>
      <c r="D59" s="554">
        <f>'120 - Day Rule Calc''s'!H25</f>
        <v>116748888.14131415</v>
      </c>
      <c r="E59" s="150"/>
      <c r="F59" s="150"/>
      <c r="G59" s="151"/>
    </row>
    <row r="60" spans="1:7" ht="9.75" customHeight="1">
      <c r="A60" s="345" t="s">
        <v>391</v>
      </c>
      <c r="B60" s="531">
        <f>'120 - Day Rule Calc''s'!F28</f>
        <v>438610783.74217653</v>
      </c>
      <c r="C60" s="418"/>
      <c r="D60" s="556"/>
      <c r="E60" s="250"/>
      <c r="F60" s="250"/>
      <c r="G60" s="318"/>
    </row>
    <row r="63" spans="4:7" s="92" customFormat="1" ht="9.75" customHeight="1">
      <c r="D63" s="91"/>
      <c r="E63" s="15"/>
      <c r="F63" s="16"/>
      <c r="G63" s="185"/>
    </row>
  </sheetData>
  <mergeCells count="3">
    <mergeCell ref="A53:D53"/>
    <mergeCell ref="A57:D57"/>
    <mergeCell ref="A45:D45"/>
  </mergeCells>
  <printOptions horizontalCentered="1"/>
  <pageMargins left="0.5" right="0.5" top="0.75" bottom="0.75" header="0.5" footer="0.5"/>
  <pageSetup fitToHeight="0" fitToWidth="1" horizontalDpi="600" verticalDpi="600" orientation="portrait" r:id="rId1"/>
  <headerFooter alignWithMargins="0">
    <oddHeader>&amp;C&amp;"Arial,Bold"&amp;12Table 4 - Monthly Results</oddHeader>
    <oddFooter>&amp;LPage 5&amp;CBonneville Power Administration, Power Business Line&amp;R2/14/02</oddFooter>
  </headerFooter>
</worksheet>
</file>

<file path=xl/worksheets/sheet6.xml><?xml version="1.0" encoding="utf-8"?>
<worksheet xmlns="http://schemas.openxmlformats.org/spreadsheetml/2006/main" xmlns:r="http://schemas.openxmlformats.org/officeDocument/2006/relationships">
  <sheetPr codeName="Sheet8">
    <pageSetUpPr fitToPage="1"/>
  </sheetPr>
  <dimension ref="A1:I47"/>
  <sheetViews>
    <sheetView view="pageBreakPreview" zoomScale="60" workbookViewId="0" topLeftCell="A1">
      <selection activeCell="D79" sqref="D78:D79"/>
    </sheetView>
  </sheetViews>
  <sheetFormatPr defaultColWidth="9.140625" defaultRowHeight="12.75"/>
  <cols>
    <col min="1" max="1" width="29.28125" style="92" customWidth="1"/>
    <col min="2" max="2" width="12.421875" style="92" customWidth="1"/>
    <col min="3" max="3" width="12.140625" style="91" customWidth="1"/>
    <col min="4" max="5" width="10.7109375" style="91" customWidth="1"/>
    <col min="6" max="16384" width="10.7109375" style="92" customWidth="1"/>
  </cols>
  <sheetData>
    <row r="1" spans="2:3" ht="12.75">
      <c r="B1" s="371"/>
      <c r="C1" s="183"/>
    </row>
    <row r="2" spans="2:4" ht="11.25">
      <c r="B2" s="184"/>
      <c r="D2" s="185"/>
    </row>
    <row r="3" spans="1:5" ht="11.25">
      <c r="A3" s="638" t="s">
        <v>471</v>
      </c>
      <c r="B3" s="639"/>
      <c r="C3" s="639"/>
      <c r="D3" s="640"/>
      <c r="E3" s="93"/>
    </row>
    <row r="4" spans="1:5" ht="11.25">
      <c r="A4" s="189"/>
      <c r="B4" s="190"/>
      <c r="C4" s="191" t="str">
        <f>'Selected Results - Monthly'!B3</f>
        <v>Oct</v>
      </c>
      <c r="D4" s="192"/>
      <c r="E4" s="609"/>
    </row>
    <row r="5" spans="1:5" ht="11.25">
      <c r="A5" s="193"/>
      <c r="B5" s="194"/>
      <c r="C5" s="195" t="s">
        <v>228</v>
      </c>
      <c r="D5" s="196"/>
      <c r="E5" s="610"/>
    </row>
    <row r="6" spans="1:5" ht="11.25">
      <c r="A6" s="193"/>
      <c r="B6" s="194"/>
      <c r="C6" s="197" t="str">
        <f>'Selected Results - Monthly'!D3</f>
        <v>Dec</v>
      </c>
      <c r="D6" s="198"/>
      <c r="E6" s="609"/>
    </row>
    <row r="7" spans="1:5" ht="11.25">
      <c r="A7" s="193" t="s">
        <v>431</v>
      </c>
      <c r="B7" s="194" t="s">
        <v>138</v>
      </c>
      <c r="C7" s="199">
        <f>AVERAGE('Load Inputs'!D47:'Load Inputs'!F47)</f>
        <v>6116.666666666667</v>
      </c>
      <c r="D7" s="198"/>
      <c r="E7" s="609"/>
    </row>
    <row r="8" spans="1:5" ht="11.25">
      <c r="A8" s="193" t="s">
        <v>204</v>
      </c>
      <c r="B8" s="194" t="s">
        <v>138</v>
      </c>
      <c r="C8" s="199">
        <f>AVERAGE('Fixed Costs &amp; Rates'!D5:'Fixed Costs &amp; Rates'!F5)</f>
        <v>5442</v>
      </c>
      <c r="D8" s="198"/>
      <c r="E8" s="609"/>
    </row>
    <row r="9" spans="1:7" ht="11.25">
      <c r="A9" s="193" t="s">
        <v>436</v>
      </c>
      <c r="B9" s="194" t="s">
        <v>138</v>
      </c>
      <c r="C9" s="199">
        <f>AVERAGE('0 - Day Rule Calc''s'!B2:D2)</f>
        <v>686.8106666666666</v>
      </c>
      <c r="D9" s="200"/>
      <c r="E9" s="95"/>
      <c r="G9" s="91"/>
    </row>
    <row r="10" spans="1:7" ht="11.25">
      <c r="A10" s="193" t="s">
        <v>437</v>
      </c>
      <c r="B10" s="194" t="s">
        <v>138</v>
      </c>
      <c r="C10" s="199">
        <f>AVERAGE('Selected Results - Monthly'!B33:D34)</f>
        <v>0</v>
      </c>
      <c r="D10" s="200"/>
      <c r="E10" s="95"/>
      <c r="F10" s="201"/>
      <c r="G10" s="91"/>
    </row>
    <row r="11" spans="1:7" ht="11.25">
      <c r="A11" s="202" t="s">
        <v>120</v>
      </c>
      <c r="B11" s="194" t="s">
        <v>138</v>
      </c>
      <c r="C11" s="199">
        <f>AVERAGE('Selected Results - Monthly'!B33:D33)</f>
        <v>0</v>
      </c>
      <c r="D11" s="200"/>
      <c r="E11" s="95"/>
      <c r="F11" s="96"/>
      <c r="G11" s="203"/>
    </row>
    <row r="12" spans="1:7" ht="11.25">
      <c r="A12" s="204" t="s">
        <v>121</v>
      </c>
      <c r="B12" s="205" t="s">
        <v>138</v>
      </c>
      <c r="C12" s="206">
        <f>AVERAGE('Selected Results - Monthly'!B34:D34)</f>
        <v>0</v>
      </c>
      <c r="D12" s="207"/>
      <c r="E12" s="95"/>
      <c r="F12" s="96"/>
      <c r="G12" s="203"/>
    </row>
    <row r="13" spans="1:6" s="94" customFormat="1" ht="11.25">
      <c r="A13" s="15" t="s">
        <v>396</v>
      </c>
      <c r="B13" s="93"/>
      <c r="C13" s="95"/>
      <c r="D13" s="95"/>
      <c r="E13" s="95"/>
      <c r="F13" s="208"/>
    </row>
    <row r="14" spans="1:6" s="94" customFormat="1" ht="11.25">
      <c r="A14" s="15" t="s">
        <v>432</v>
      </c>
      <c r="B14" s="93"/>
      <c r="C14" s="95"/>
      <c r="D14" s="95"/>
      <c r="E14" s="95"/>
      <c r="F14" s="208"/>
    </row>
    <row r="15" spans="1:6" s="94" customFormat="1" ht="11.25">
      <c r="A15" s="15" t="s">
        <v>472</v>
      </c>
      <c r="B15" s="93"/>
      <c r="C15" s="95"/>
      <c r="D15" s="95"/>
      <c r="E15" s="95"/>
      <c r="F15" s="208"/>
    </row>
    <row r="16" spans="1:6" s="94" customFormat="1" ht="11.25">
      <c r="A16" s="15" t="s">
        <v>493</v>
      </c>
      <c r="B16" s="93"/>
      <c r="C16" s="95"/>
      <c r="D16" s="95"/>
      <c r="E16" s="95"/>
      <c r="F16" s="208"/>
    </row>
    <row r="17" spans="1:6" s="94" customFormat="1" ht="11.25">
      <c r="A17" s="15" t="s">
        <v>494</v>
      </c>
      <c r="B17" s="93"/>
      <c r="C17" s="95"/>
      <c r="D17" s="95"/>
      <c r="E17" s="95"/>
      <c r="F17" s="208"/>
    </row>
    <row r="18" spans="1:6" s="94" customFormat="1" ht="11.25">
      <c r="A18" s="15" t="s">
        <v>495</v>
      </c>
      <c r="B18" s="93"/>
      <c r="C18" s="95"/>
      <c r="D18" s="95"/>
      <c r="E18" s="95"/>
      <c r="F18" s="208"/>
    </row>
    <row r="19" spans="1:6" s="94" customFormat="1" ht="11.25">
      <c r="A19" s="15" t="s">
        <v>496</v>
      </c>
      <c r="B19" s="93"/>
      <c r="C19" s="95"/>
      <c r="D19" s="95"/>
      <c r="E19" s="95"/>
      <c r="F19" s="208"/>
    </row>
    <row r="20" ht="11.25">
      <c r="A20" s="16" t="s">
        <v>497</v>
      </c>
    </row>
    <row r="21" spans="1:9" s="94" customFormat="1" ht="11.25">
      <c r="A21" s="92"/>
      <c r="B21" s="92"/>
      <c r="C21" s="91"/>
      <c r="D21" s="91"/>
      <c r="E21" s="185"/>
      <c r="F21" s="92"/>
      <c r="G21" s="92"/>
      <c r="H21" s="92"/>
      <c r="I21" s="92"/>
    </row>
    <row r="22" spans="1:9" s="94" customFormat="1" ht="11.25">
      <c r="A22" s="92"/>
      <c r="B22" s="92"/>
      <c r="C22" s="91"/>
      <c r="D22" s="91"/>
      <c r="E22" s="91"/>
      <c r="F22" s="92"/>
      <c r="G22" s="92"/>
      <c r="H22" s="92"/>
      <c r="I22" s="92"/>
    </row>
    <row r="23" spans="1:9" s="94" customFormat="1" ht="11.25">
      <c r="A23" s="92"/>
      <c r="B23" s="92"/>
      <c r="C23" s="91"/>
      <c r="D23" s="91"/>
      <c r="E23" s="91"/>
      <c r="F23" s="92"/>
      <c r="G23" s="92"/>
      <c r="H23" s="92"/>
      <c r="I23" s="92"/>
    </row>
    <row r="45" spans="1:9" s="16" customFormat="1" ht="11.25">
      <c r="A45" s="92"/>
      <c r="B45" s="92"/>
      <c r="C45" s="91"/>
      <c r="D45" s="91"/>
      <c r="E45" s="91"/>
      <c r="F45" s="92"/>
      <c r="G45" s="92"/>
      <c r="H45" s="92"/>
      <c r="I45" s="92"/>
    </row>
    <row r="46" spans="1:9" s="16" customFormat="1" ht="11.25">
      <c r="A46" s="92"/>
      <c r="B46" s="92"/>
      <c r="C46" s="91"/>
      <c r="D46" s="91"/>
      <c r="E46" s="91"/>
      <c r="F46" s="92"/>
      <c r="G46" s="92"/>
      <c r="H46" s="92"/>
      <c r="I46" s="92"/>
    </row>
    <row r="47" spans="1:9" s="16" customFormat="1" ht="11.25">
      <c r="A47" s="92"/>
      <c r="B47" s="92"/>
      <c r="C47" s="91"/>
      <c r="D47" s="91"/>
      <c r="E47" s="91"/>
      <c r="F47" s="92"/>
      <c r="G47" s="92"/>
      <c r="H47" s="92"/>
      <c r="I47" s="92"/>
    </row>
  </sheetData>
  <mergeCells count="1">
    <mergeCell ref="A3:D3"/>
  </mergeCells>
  <printOptions horizontalCentered="1"/>
  <pageMargins left="0.5" right="0.5" top="1" bottom="0.5" header="0.5" footer="0.5"/>
  <pageSetup fitToHeight="0" fitToWidth="1" horizontalDpi="600" verticalDpi="600" orientation="portrait" r:id="rId1"/>
  <headerFooter alignWithMargins="0">
    <oddHeader>&amp;C&amp;"Arial,Bold"&amp;12Table 5 - Selected Quarterly and Total Results - Look Back</oddHeader>
    <oddFooter>&amp;LPage 6&amp;CBonneville Power Administration, Power Business Line&amp;R2/14/02</oddFooter>
  </headerFooter>
</worksheet>
</file>

<file path=xl/worksheets/sheet7.xml><?xml version="1.0" encoding="utf-8"?>
<worksheet xmlns="http://schemas.openxmlformats.org/spreadsheetml/2006/main" xmlns:r="http://schemas.openxmlformats.org/officeDocument/2006/relationships">
  <sheetPr codeName="Sheet10">
    <pageSetUpPr fitToPage="1"/>
  </sheetPr>
  <dimension ref="A1:I38"/>
  <sheetViews>
    <sheetView view="pageBreakPreview" zoomScaleSheetLayoutView="100" workbookViewId="0" topLeftCell="A16">
      <selection activeCell="D79" sqref="D78:D79"/>
    </sheetView>
  </sheetViews>
  <sheetFormatPr defaultColWidth="9.140625" defaultRowHeight="12.75"/>
  <cols>
    <col min="1" max="1" width="40.7109375" style="2" customWidth="1"/>
    <col min="2" max="2" width="15.57421875" style="4" customWidth="1"/>
    <col min="3" max="3" width="15.421875" style="4" customWidth="1"/>
    <col min="4" max="5" width="10.7109375" style="4" customWidth="1"/>
    <col min="6" max="16384" width="10.7109375" style="2" customWidth="1"/>
  </cols>
  <sheetData>
    <row r="1" spans="1:5" ht="11.25">
      <c r="A1" s="209" t="s">
        <v>473</v>
      </c>
      <c r="B1" s="210" t="s">
        <v>187</v>
      </c>
      <c r="C1" s="611" t="s">
        <v>373</v>
      </c>
      <c r="D1" s="497"/>
      <c r="E1" s="497"/>
    </row>
    <row r="2" spans="1:5" ht="11.25">
      <c r="A2" s="212" t="s">
        <v>188</v>
      </c>
      <c r="B2" s="213" t="s">
        <v>138</v>
      </c>
      <c r="C2" s="157">
        <f>AVERAGE('Calculated Inputs'!D8:F8)</f>
        <v>1600</v>
      </c>
      <c r="D2" s="216"/>
      <c r="E2" s="216"/>
    </row>
    <row r="3" spans="1:5" ht="11.25">
      <c r="A3" s="214" t="s">
        <v>433</v>
      </c>
      <c r="B3" s="215"/>
      <c r="C3" s="217"/>
      <c r="D3" s="216"/>
      <c r="E3" s="216"/>
    </row>
    <row r="4" spans="1:5" ht="11.25">
      <c r="A4" s="218" t="s">
        <v>120</v>
      </c>
      <c r="B4" s="215" t="s">
        <v>138</v>
      </c>
      <c r="C4" s="217">
        <f>(AVERAGE('Calculated Inputs'!D10:F10)+AVERAGE('Calculated Inputs'!D23:F23))/AVERAGE('Analysis Parameters'!D9:F9)</f>
        <v>4082.4636321202534</v>
      </c>
      <c r="D4" s="216"/>
      <c r="E4" s="216"/>
    </row>
    <row r="5" spans="1:5" ht="11.25">
      <c r="A5" s="218" t="s">
        <v>121</v>
      </c>
      <c r="B5" s="215" t="s">
        <v>138</v>
      </c>
      <c r="C5" s="217">
        <f>(AVERAGE('Calculated Inputs'!D11:F11)+AVERAGE('Calculated Inputs'!D24:F24))/AVERAGE('Analysis Parameters'!D10:F10)</f>
        <v>3629.279578835979</v>
      </c>
      <c r="D5" s="216"/>
      <c r="E5" s="216"/>
    </row>
    <row r="6" spans="1:5" ht="11.25">
      <c r="A6" s="214" t="s">
        <v>434</v>
      </c>
      <c r="B6" s="215"/>
      <c r="C6" s="217"/>
      <c r="D6" s="216"/>
      <c r="E6" s="216"/>
    </row>
    <row r="7" spans="1:5" ht="11.25">
      <c r="A7" s="218" t="s">
        <v>120</v>
      </c>
      <c r="B7" s="215" t="s">
        <v>138</v>
      </c>
      <c r="C7" s="217">
        <f>AVERAGE('Calculated Inputs'!D19:F19)/AVERAGE('Analysis Parameters'!D9:F9)</f>
        <v>350</v>
      </c>
      <c r="D7" s="216"/>
      <c r="E7" s="216"/>
    </row>
    <row r="8" spans="1:5" ht="11.25">
      <c r="A8" s="218" t="s">
        <v>121</v>
      </c>
      <c r="B8" s="215" t="s">
        <v>138</v>
      </c>
      <c r="C8" s="217">
        <f>AVERAGE('Calculated Inputs'!D20:F20)/AVERAGE('Analysis Parameters'!D10:F10)</f>
        <v>350</v>
      </c>
      <c r="D8" s="216"/>
      <c r="E8" s="216"/>
    </row>
    <row r="9" spans="1:5" ht="11.25">
      <c r="A9" s="214" t="s">
        <v>435</v>
      </c>
      <c r="B9" s="215"/>
      <c r="C9" s="217"/>
      <c r="D9" s="216"/>
      <c r="E9" s="216"/>
    </row>
    <row r="10" spans="1:5" ht="11.25">
      <c r="A10" s="218" t="s">
        <v>120</v>
      </c>
      <c r="B10" s="215" t="s">
        <v>138</v>
      </c>
      <c r="C10" s="612">
        <f>AVERAGE('Calculated Inputs'!D15:F15)/AVERAGE('Analysis Parameters'!D9:F9)</f>
        <v>64.48892405063292</v>
      </c>
      <c r="D10" s="215"/>
      <c r="E10" s="215"/>
    </row>
    <row r="11" spans="1:5" ht="11.25">
      <c r="A11" s="158" t="s">
        <v>121</v>
      </c>
      <c r="B11" s="220" t="s">
        <v>138</v>
      </c>
      <c r="C11" s="613">
        <f>AVERAGE('Calculated Inputs'!D16:F16)/AVERAGE('Analysis Parameters'!D10:F10)</f>
        <v>63.47407407407407</v>
      </c>
      <c r="D11" s="215"/>
      <c r="E11" s="215"/>
    </row>
    <row r="12" spans="1:6" s="10" customFormat="1" ht="11.25">
      <c r="A12" s="558" t="s">
        <v>393</v>
      </c>
      <c r="B12" s="93"/>
      <c r="C12" s="93"/>
      <c r="D12" s="93"/>
      <c r="E12" s="93"/>
      <c r="F12" s="94"/>
    </row>
    <row r="13" spans="1:6" s="10" customFormat="1" ht="11.25">
      <c r="A13" s="559"/>
      <c r="B13" s="93"/>
      <c r="C13" s="93"/>
      <c r="D13" s="93"/>
      <c r="E13" s="93"/>
      <c r="F13" s="94"/>
    </row>
    <row r="14" spans="1:5" s="10" customFormat="1" ht="11.25">
      <c r="A14" s="420" t="s">
        <v>474</v>
      </c>
      <c r="B14" s="322" t="s">
        <v>187</v>
      </c>
      <c r="C14" s="323" t="s">
        <v>374</v>
      </c>
      <c r="D14" s="248"/>
      <c r="E14" s="248"/>
    </row>
    <row r="15" spans="1:5" ht="11.25">
      <c r="A15" s="222" t="s">
        <v>189</v>
      </c>
      <c r="B15" s="223" t="s">
        <v>139</v>
      </c>
      <c r="C15" s="614">
        <f>AVERAGE('Fixed Costs &amp; Rates'!D11:F11)</f>
        <v>436838</v>
      </c>
      <c r="D15" s="616"/>
      <c r="E15" s="616"/>
    </row>
    <row r="16" spans="1:5" ht="11.25">
      <c r="A16" s="224" t="s">
        <v>190</v>
      </c>
      <c r="B16" s="225" t="s">
        <v>139</v>
      </c>
      <c r="C16" s="227">
        <f>AVERAGE('Fixed Costs &amp; Rates'!D12:F12)</f>
        <v>1154118.6666666667</v>
      </c>
      <c r="D16" s="616"/>
      <c r="E16" s="616"/>
    </row>
    <row r="17" spans="1:5" ht="11.25">
      <c r="A17" s="224" t="s">
        <v>191</v>
      </c>
      <c r="B17" s="225" t="s">
        <v>139</v>
      </c>
      <c r="C17" s="227">
        <f>AVERAGE('Fixed Costs &amp; Rates'!D31:F31)</f>
        <v>583841</v>
      </c>
      <c r="D17" s="226"/>
      <c r="E17" s="226"/>
    </row>
    <row r="18" spans="1:5" ht="11.25">
      <c r="A18" s="228" t="s">
        <v>192</v>
      </c>
      <c r="B18" s="229" t="s">
        <v>139</v>
      </c>
      <c r="C18" s="230">
        <f>AVERAGE('Fixed Costs &amp; Rates'!D30:F30)</f>
        <v>2315097</v>
      </c>
      <c r="D18" s="226"/>
      <c r="E18" s="226"/>
    </row>
    <row r="19" spans="1:5" ht="11.25">
      <c r="A19" s="15" t="s">
        <v>393</v>
      </c>
      <c r="B19" s="91"/>
      <c r="C19" s="91"/>
      <c r="D19" s="91"/>
      <c r="E19" s="91"/>
    </row>
    <row r="20" spans="1:5" ht="11.25">
      <c r="A20" s="92"/>
      <c r="B20" s="91"/>
      <c r="C20" s="91"/>
      <c r="D20" s="91"/>
      <c r="E20" s="91"/>
    </row>
    <row r="21" spans="1:5" ht="11.25">
      <c r="A21" s="231" t="s">
        <v>475</v>
      </c>
      <c r="B21" s="187"/>
      <c r="C21" s="615" t="s">
        <v>374</v>
      </c>
      <c r="D21" s="351"/>
      <c r="E21" s="435"/>
    </row>
    <row r="22" spans="1:5" ht="11.25">
      <c r="A22" s="193" t="s">
        <v>301</v>
      </c>
      <c r="B22" s="194"/>
      <c r="C22" s="200"/>
      <c r="D22" s="199"/>
      <c r="E22" s="199"/>
    </row>
    <row r="23" spans="1:6" ht="11.25">
      <c r="A23" s="202" t="s">
        <v>120</v>
      </c>
      <c r="B23" s="194" t="s">
        <v>138</v>
      </c>
      <c r="C23" s="200">
        <f>AVERAGE('Selected Results - Monthly'!B18:D18)</f>
        <v>1252.0256410256409</v>
      </c>
      <c r="D23" s="199"/>
      <c r="E23" s="199"/>
      <c r="F23" s="79"/>
    </row>
    <row r="24" spans="1:6" ht="11.25">
      <c r="A24" s="202" t="s">
        <v>121</v>
      </c>
      <c r="B24" s="194" t="s">
        <v>138</v>
      </c>
      <c r="C24" s="200">
        <f>AVERAGE('Selected Results - Monthly'!B19:D19)</f>
        <v>1302.9927257167308</v>
      </c>
      <c r="D24" s="199"/>
      <c r="E24" s="199"/>
      <c r="F24" s="79"/>
    </row>
    <row r="25" spans="1:6" ht="11.25">
      <c r="A25" s="193" t="s">
        <v>302</v>
      </c>
      <c r="B25" s="194"/>
      <c r="C25" s="200"/>
      <c r="D25" s="199"/>
      <c r="E25" s="199"/>
      <c r="F25" s="79"/>
    </row>
    <row r="26" spans="1:6" ht="11.25">
      <c r="A26" s="202" t="s">
        <v>120</v>
      </c>
      <c r="B26" s="194" t="s">
        <v>138</v>
      </c>
      <c r="C26" s="200">
        <f>AVERAGE('Selected Results - Monthly'!B28:D28)</f>
        <v>1252.0256410256409</v>
      </c>
      <c r="D26" s="199"/>
      <c r="E26" s="199"/>
      <c r="F26" s="79"/>
    </row>
    <row r="27" spans="1:6" ht="11.25">
      <c r="A27" s="202" t="s">
        <v>121</v>
      </c>
      <c r="B27" s="194" t="s">
        <v>138</v>
      </c>
      <c r="C27" s="200">
        <f>AVERAGE('Selected Results - Monthly'!B29:D29)</f>
        <v>1302.9927257167308</v>
      </c>
      <c r="D27" s="199"/>
      <c r="E27" s="199"/>
      <c r="F27" s="79"/>
    </row>
    <row r="28" spans="1:5" ht="11.25">
      <c r="A28" s="193" t="s">
        <v>303</v>
      </c>
      <c r="B28" s="194" t="s">
        <v>138</v>
      </c>
      <c r="C28" s="200"/>
      <c r="D28" s="199"/>
      <c r="E28" s="199"/>
    </row>
    <row r="29" spans="1:6" ht="11.25">
      <c r="A29" s="202" t="s">
        <v>120</v>
      </c>
      <c r="B29" s="194" t="s">
        <v>138</v>
      </c>
      <c r="C29" s="200">
        <f>AVERAGE('Selected Results - Monthly'!B15:D15)</f>
        <v>166.91025641025644</v>
      </c>
      <c r="D29" s="199"/>
      <c r="E29" s="199"/>
      <c r="F29" s="79"/>
    </row>
    <row r="30" spans="1:6" ht="11.25">
      <c r="A30" s="202" t="s">
        <v>121</v>
      </c>
      <c r="B30" s="194" t="s">
        <v>138</v>
      </c>
      <c r="C30" s="200">
        <f>AVERAGE('Selected Results - Monthly'!B16:D16)</f>
        <v>263.18536585365854</v>
      </c>
      <c r="D30" s="199"/>
      <c r="E30" s="199"/>
      <c r="F30" s="79"/>
    </row>
    <row r="31" spans="1:6" ht="11.25">
      <c r="A31" s="193" t="s">
        <v>304</v>
      </c>
      <c r="B31" s="194" t="s">
        <v>138</v>
      </c>
      <c r="C31" s="200"/>
      <c r="D31" s="199"/>
      <c r="E31" s="199"/>
      <c r="F31" s="79"/>
    </row>
    <row r="32" spans="1:6" ht="11.25">
      <c r="A32" s="202" t="s">
        <v>120</v>
      </c>
      <c r="B32" s="194" t="s">
        <v>138</v>
      </c>
      <c r="C32" s="200">
        <f>AVERAGE('Selected Results - Monthly'!B25:D25)</f>
        <v>263.5391737891738</v>
      </c>
      <c r="D32" s="199"/>
      <c r="E32" s="199"/>
      <c r="F32" s="79"/>
    </row>
    <row r="33" spans="1:6" ht="11.25">
      <c r="A33" s="204" t="s">
        <v>121</v>
      </c>
      <c r="B33" s="205" t="s">
        <v>138</v>
      </c>
      <c r="C33" s="207">
        <f>AVERAGE('Selected Results - Monthly'!B26:D26)</f>
        <v>359.44949241675454</v>
      </c>
      <c r="D33" s="199"/>
      <c r="E33" s="199"/>
      <c r="F33" s="79"/>
    </row>
    <row r="34" spans="1:6" ht="11.25">
      <c r="A34" s="15" t="s">
        <v>392</v>
      </c>
      <c r="B34" s="93"/>
      <c r="C34" s="95"/>
      <c r="D34" s="95"/>
      <c r="E34" s="95"/>
      <c r="F34" s="79"/>
    </row>
    <row r="35" spans="1:2" ht="11.25">
      <c r="A35" s="17" t="s">
        <v>305</v>
      </c>
      <c r="B35" s="2"/>
    </row>
    <row r="36" spans="1:2" ht="11.25">
      <c r="A36" s="17" t="s">
        <v>476</v>
      </c>
      <c r="B36" s="2"/>
    </row>
    <row r="37" ht="11.25">
      <c r="A37" s="17"/>
    </row>
    <row r="38" spans="1:9" s="94" customFormat="1" ht="11.25">
      <c r="A38" s="92"/>
      <c r="B38" s="92"/>
      <c r="C38" s="91"/>
      <c r="D38" s="91"/>
      <c r="E38" s="185"/>
      <c r="F38" s="92"/>
      <c r="G38" s="92"/>
      <c r="H38" s="92"/>
      <c r="I38" s="92"/>
    </row>
  </sheetData>
  <printOptions horizontalCentered="1"/>
  <pageMargins left="0.5" right="0.5" top="0.75" bottom="0.75" header="0.5" footer="0.5"/>
  <pageSetup fitToHeight="0" fitToWidth="1" horizontalDpi="600" verticalDpi="600" orientation="portrait" r:id="rId1"/>
  <headerFooter alignWithMargins="0">
    <oddHeader>&amp;C&amp;"Arial,Bold"&amp;12Quarterly Inputs - Tables 6-8</oddHeader>
    <oddFooter>&amp;LPage 7&amp;CBonneville Power Administration, Power Business Line&amp;R2/14/02</oddFooter>
  </headerFooter>
</worksheet>
</file>

<file path=xl/worksheets/sheet8.xml><?xml version="1.0" encoding="utf-8"?>
<worksheet xmlns="http://schemas.openxmlformats.org/spreadsheetml/2006/main" xmlns:r="http://schemas.openxmlformats.org/officeDocument/2006/relationships">
  <sheetPr codeName="Sheet11">
    <pageSetUpPr fitToPage="1"/>
  </sheetPr>
  <dimension ref="A1:BY58"/>
  <sheetViews>
    <sheetView view="pageBreakPreview" zoomScaleSheetLayoutView="100" workbookViewId="0" topLeftCell="A1">
      <selection activeCell="D79" sqref="D78:D79"/>
    </sheetView>
  </sheetViews>
  <sheetFormatPr defaultColWidth="9.140625" defaultRowHeight="12.75"/>
  <cols>
    <col min="1" max="2" width="8.7109375" style="2" customWidth="1"/>
    <col min="3" max="5" width="8.7109375" style="4" customWidth="1"/>
    <col min="6" max="6" width="12.28125" style="4" customWidth="1"/>
    <col min="7" max="9" width="8.7109375" style="4" customWidth="1"/>
    <col min="10" max="16384" width="8.7109375" style="2" customWidth="1"/>
  </cols>
  <sheetData>
    <row r="1" spans="1:6" ht="24.75" customHeight="1">
      <c r="A1" s="643" t="s">
        <v>450</v>
      </c>
      <c r="B1" s="643"/>
      <c r="C1" s="643"/>
      <c r="D1" s="643"/>
      <c r="E1" s="643"/>
      <c r="F1" s="643"/>
    </row>
    <row r="2" ht="11.25">
      <c r="A2" s="6"/>
    </row>
    <row r="3" ht="11.25">
      <c r="A3" s="6" t="s">
        <v>500</v>
      </c>
    </row>
    <row r="4" spans="3:9" s="6" customFormat="1" ht="11.25">
      <c r="C4" s="5" t="s">
        <v>133</v>
      </c>
      <c r="D4" s="233" t="str">
        <f>'Analysis Parameters'!D6</f>
        <v>Oct</v>
      </c>
      <c r="E4" s="233" t="str">
        <f>'Analysis Parameters'!E6</f>
        <v>Nov</v>
      </c>
      <c r="F4" s="233" t="str">
        <f>'Analysis Parameters'!F6</f>
        <v>Dec</v>
      </c>
      <c r="G4" s="233" t="str">
        <f>'Analysis Parameters'!G6</f>
        <v>none</v>
      </c>
      <c r="H4" s="233" t="str">
        <f>'Analysis Parameters'!H6</f>
        <v>none</v>
      </c>
      <c r="I4" s="233" t="str">
        <f>'Analysis Parameters'!I6</f>
        <v>none</v>
      </c>
    </row>
    <row r="5" spans="1:9" ht="11.25">
      <c r="A5" s="420" t="s">
        <v>144</v>
      </c>
      <c r="B5" s="256"/>
      <c r="C5" s="257" t="s">
        <v>138</v>
      </c>
      <c r="D5" s="257">
        <v>1116</v>
      </c>
      <c r="E5" s="257">
        <v>1116</v>
      </c>
      <c r="F5" s="419">
        <v>1116</v>
      </c>
      <c r="G5" s="257"/>
      <c r="H5" s="257"/>
      <c r="I5" s="419"/>
    </row>
    <row r="6" spans="1:9" ht="11.25">
      <c r="A6" s="313" t="s">
        <v>143</v>
      </c>
      <c r="B6" s="304"/>
      <c r="C6" s="305" t="s">
        <v>138</v>
      </c>
      <c r="D6" s="305">
        <v>484</v>
      </c>
      <c r="E6" s="305">
        <v>484</v>
      </c>
      <c r="F6" s="314">
        <v>484</v>
      </c>
      <c r="G6" s="305"/>
      <c r="H6" s="305"/>
      <c r="I6" s="314"/>
    </row>
    <row r="7" spans="1:9" s="235" customFormat="1" ht="24" customHeight="1">
      <c r="A7" s="642" t="s">
        <v>498</v>
      </c>
      <c r="B7" s="642"/>
      <c r="C7" s="642"/>
      <c r="D7" s="642"/>
      <c r="E7" s="642"/>
      <c r="F7" s="642"/>
      <c r="G7" s="234"/>
      <c r="H7" s="234"/>
      <c r="I7" s="234"/>
    </row>
    <row r="8" spans="1:9" s="235" customFormat="1" ht="11.25">
      <c r="A8" s="617"/>
      <c r="B8" s="617"/>
      <c r="C8" s="617"/>
      <c r="D8" s="617"/>
      <c r="E8" s="617"/>
      <c r="F8" s="617"/>
      <c r="G8" s="234"/>
      <c r="H8" s="234"/>
      <c r="I8" s="234"/>
    </row>
    <row r="9" spans="1:9" s="10" customFormat="1" ht="11.25">
      <c r="A9" s="236" t="s">
        <v>174</v>
      </c>
      <c r="B9" s="94"/>
      <c r="C9" s="93"/>
      <c r="D9" s="93"/>
      <c r="E9" s="93"/>
      <c r="F9" s="93"/>
      <c r="G9" s="93"/>
      <c r="H9" s="93"/>
      <c r="I9" s="93"/>
    </row>
    <row r="10" spans="1:9" ht="21.75" customHeight="1">
      <c r="A10" s="632" t="s">
        <v>259</v>
      </c>
      <c r="B10" s="633"/>
      <c r="C10" s="633"/>
      <c r="D10" s="633"/>
      <c r="E10" s="633"/>
      <c r="F10" s="634"/>
      <c r="G10" s="246"/>
      <c r="H10" s="246"/>
      <c r="I10" s="251"/>
    </row>
    <row r="11" spans="1:9" ht="11.25">
      <c r="A11" s="619" t="s">
        <v>120</v>
      </c>
      <c r="B11" s="248"/>
      <c r="C11" s="248" t="s">
        <v>137</v>
      </c>
      <c r="D11" s="150">
        <v>928669.578</v>
      </c>
      <c r="E11" s="150">
        <v>1000251.655</v>
      </c>
      <c r="F11" s="151">
        <v>949976.757</v>
      </c>
      <c r="G11" s="248"/>
      <c r="H11" s="248"/>
      <c r="I11" s="287"/>
    </row>
    <row r="12" spans="1:9" ht="11.25">
      <c r="A12" s="619" t="s">
        <v>121</v>
      </c>
      <c r="B12" s="248"/>
      <c r="C12" s="248" t="s">
        <v>137</v>
      </c>
      <c r="D12" s="150">
        <v>602936.979</v>
      </c>
      <c r="E12" s="150">
        <v>673540.621</v>
      </c>
      <c r="F12" s="151">
        <v>669794.98</v>
      </c>
      <c r="G12" s="248"/>
      <c r="H12" s="248"/>
      <c r="I12" s="287"/>
    </row>
    <row r="13" spans="1:9" ht="11.25">
      <c r="A13" s="619" t="s">
        <v>122</v>
      </c>
      <c r="B13" s="248"/>
      <c r="C13" s="248" t="s">
        <v>181</v>
      </c>
      <c r="D13" s="150">
        <v>3561.717</v>
      </c>
      <c r="E13" s="150">
        <v>3976.408</v>
      </c>
      <c r="F13" s="151">
        <v>3965.031</v>
      </c>
      <c r="G13" s="248"/>
      <c r="H13" s="248"/>
      <c r="I13" s="287"/>
    </row>
    <row r="14" spans="1:9" ht="11.25">
      <c r="A14" s="618" t="s">
        <v>123</v>
      </c>
      <c r="B14" s="250"/>
      <c r="C14" s="250" t="s">
        <v>137</v>
      </c>
      <c r="D14" s="153">
        <v>1229207.207</v>
      </c>
      <c r="E14" s="153">
        <v>1192027.573</v>
      </c>
      <c r="F14" s="154">
        <v>1313057.828</v>
      </c>
      <c r="G14" s="250"/>
      <c r="H14" s="250"/>
      <c r="I14" s="318"/>
    </row>
    <row r="15" spans="1:9" ht="11.25">
      <c r="A15" s="421" t="s">
        <v>257</v>
      </c>
      <c r="B15" s="405"/>
      <c r="C15" s="213"/>
      <c r="D15" s="156"/>
      <c r="E15" s="156"/>
      <c r="F15" s="157"/>
      <c r="G15" s="422"/>
      <c r="H15" s="422"/>
      <c r="I15" s="423"/>
    </row>
    <row r="16" spans="1:9" ht="11.25">
      <c r="A16" s="214" t="s">
        <v>120</v>
      </c>
      <c r="B16" s="399"/>
      <c r="C16" s="215" t="s">
        <v>137</v>
      </c>
      <c r="D16" s="216">
        <v>221856.847</v>
      </c>
      <c r="E16" s="216">
        <v>237642.991</v>
      </c>
      <c r="F16" s="217">
        <v>280134.899</v>
      </c>
      <c r="G16" s="216"/>
      <c r="H16" s="216"/>
      <c r="I16" s="217"/>
    </row>
    <row r="17" spans="1:9" ht="11.25">
      <c r="A17" s="214" t="s">
        <v>121</v>
      </c>
      <c r="B17" s="399"/>
      <c r="C17" s="215" t="s">
        <v>137</v>
      </c>
      <c r="D17" s="216">
        <v>130019.829</v>
      </c>
      <c r="E17" s="216">
        <v>147064.288</v>
      </c>
      <c r="F17" s="217">
        <v>188648.77</v>
      </c>
      <c r="G17" s="216"/>
      <c r="H17" s="216"/>
      <c r="I17" s="217"/>
    </row>
    <row r="18" spans="1:9" ht="11.25">
      <c r="A18" s="214" t="s">
        <v>122</v>
      </c>
      <c r="B18" s="399"/>
      <c r="C18" s="215" t="s">
        <v>181</v>
      </c>
      <c r="D18" s="216">
        <v>851.359</v>
      </c>
      <c r="E18" s="216">
        <v>883.317</v>
      </c>
      <c r="F18" s="217">
        <v>981.46</v>
      </c>
      <c r="G18" s="216"/>
      <c r="H18" s="216"/>
      <c r="I18" s="217"/>
    </row>
    <row r="19" spans="1:9" ht="11.25">
      <c r="A19" s="402" t="s">
        <v>123</v>
      </c>
      <c r="B19" s="403"/>
      <c r="C19" s="220" t="s">
        <v>137</v>
      </c>
      <c r="D19" s="159">
        <v>493468.728</v>
      </c>
      <c r="E19" s="159">
        <v>496955.442</v>
      </c>
      <c r="F19" s="160">
        <v>616784.939</v>
      </c>
      <c r="G19" s="159"/>
      <c r="H19" s="159"/>
      <c r="I19" s="160"/>
    </row>
    <row r="20" spans="1:9" s="10" customFormat="1" ht="11.25">
      <c r="A20" s="540"/>
      <c r="B20" s="94"/>
      <c r="C20" s="93"/>
      <c r="D20" s="93"/>
      <c r="E20" s="93"/>
      <c r="F20" s="93"/>
      <c r="G20" s="93"/>
      <c r="H20" s="93"/>
      <c r="I20" s="93"/>
    </row>
    <row r="21" spans="1:9" s="10" customFormat="1" ht="11.25">
      <c r="A21" s="254" t="s">
        <v>175</v>
      </c>
      <c r="B21" s="94"/>
      <c r="C21" s="93"/>
      <c r="D21" s="233" t="s">
        <v>254</v>
      </c>
      <c r="E21" s="233" t="s">
        <v>255</v>
      </c>
      <c r="F21" s="233" t="s">
        <v>256</v>
      </c>
      <c r="G21" s="233" t="str">
        <f>'Analysis Parameters'!G6</f>
        <v>none</v>
      </c>
      <c r="H21" s="233" t="str">
        <f>'Analysis Parameters'!H6</f>
        <v>none</v>
      </c>
      <c r="I21" s="233" t="str">
        <f>'Analysis Parameters'!I6</f>
        <v>none</v>
      </c>
    </row>
    <row r="22" spans="1:9" ht="21.75" customHeight="1">
      <c r="A22" s="632" t="s">
        <v>501</v>
      </c>
      <c r="B22" s="633"/>
      <c r="C22" s="633"/>
      <c r="D22" s="633"/>
      <c r="E22" s="633"/>
      <c r="F22" s="634"/>
      <c r="G22" s="246"/>
      <c r="H22" s="246"/>
      <c r="I22" s="251"/>
    </row>
    <row r="23" spans="1:9" ht="11.25">
      <c r="A23" s="619" t="s">
        <v>120</v>
      </c>
      <c r="B23" s="248"/>
      <c r="C23" s="248" t="s">
        <v>137</v>
      </c>
      <c r="D23" s="150">
        <v>381192.012</v>
      </c>
      <c r="E23" s="150">
        <v>438475.415</v>
      </c>
      <c r="F23" s="151">
        <v>489748.373</v>
      </c>
      <c r="G23" s="248"/>
      <c r="H23" s="248"/>
      <c r="I23" s="287"/>
    </row>
    <row r="24" spans="1:9" ht="11.25">
      <c r="A24" s="619" t="s">
        <v>121</v>
      </c>
      <c r="B24" s="248"/>
      <c r="C24" s="248" t="s">
        <v>137</v>
      </c>
      <c r="D24" s="150">
        <v>243409.281</v>
      </c>
      <c r="E24" s="150">
        <v>283624.994</v>
      </c>
      <c r="F24" s="151">
        <v>324015.655</v>
      </c>
      <c r="G24" s="248"/>
      <c r="H24" s="248"/>
      <c r="I24" s="287"/>
    </row>
    <row r="25" spans="1:9" ht="11.25">
      <c r="A25" s="619" t="s">
        <v>122</v>
      </c>
      <c r="B25" s="248"/>
      <c r="C25" s="248" t="s">
        <v>181</v>
      </c>
      <c r="D25" s="150">
        <v>0</v>
      </c>
      <c r="E25" s="150">
        <v>0</v>
      </c>
      <c r="F25" s="151">
        <v>0</v>
      </c>
      <c r="G25" s="248"/>
      <c r="H25" s="248"/>
      <c r="I25" s="287"/>
    </row>
    <row r="26" spans="1:9" ht="11.25">
      <c r="A26" s="618" t="s">
        <v>123</v>
      </c>
      <c r="B26" s="250"/>
      <c r="C26" s="250" t="s">
        <v>137</v>
      </c>
      <c r="D26" s="153">
        <v>0</v>
      </c>
      <c r="E26" s="153">
        <v>0</v>
      </c>
      <c r="F26" s="154">
        <v>0</v>
      </c>
      <c r="G26" s="250"/>
      <c r="H26" s="250"/>
      <c r="I26" s="318"/>
    </row>
    <row r="27" spans="1:9" ht="11.25">
      <c r="A27" s="395" t="s">
        <v>258</v>
      </c>
      <c r="B27" s="405"/>
      <c r="C27" s="213"/>
      <c r="D27" s="156"/>
      <c r="E27" s="156"/>
      <c r="F27" s="157"/>
      <c r="G27" s="213"/>
      <c r="H27" s="213"/>
      <c r="I27" s="397"/>
    </row>
    <row r="28" spans="1:9" ht="11.25">
      <c r="A28" s="214" t="s">
        <v>120</v>
      </c>
      <c r="B28" s="399"/>
      <c r="C28" s="215" t="s">
        <v>137</v>
      </c>
      <c r="D28" s="216">
        <v>78370.986</v>
      </c>
      <c r="E28" s="216">
        <v>66236.113</v>
      </c>
      <c r="F28" s="217">
        <v>87678.405</v>
      </c>
      <c r="G28" s="216"/>
      <c r="H28" s="216"/>
      <c r="I28" s="217"/>
    </row>
    <row r="29" spans="1:9" ht="11.25">
      <c r="A29" s="214" t="s">
        <v>121</v>
      </c>
      <c r="B29" s="399"/>
      <c r="C29" s="215" t="s">
        <v>137</v>
      </c>
      <c r="D29" s="216">
        <v>54598.202</v>
      </c>
      <c r="E29" s="216">
        <v>46873.357</v>
      </c>
      <c r="F29" s="217">
        <v>65142.246</v>
      </c>
      <c r="G29" s="216"/>
      <c r="H29" s="216"/>
      <c r="I29" s="217"/>
    </row>
    <row r="30" spans="1:9" ht="11.25">
      <c r="A30" s="214" t="s">
        <v>122</v>
      </c>
      <c r="B30" s="399"/>
      <c r="C30" s="215" t="s">
        <v>182</v>
      </c>
      <c r="D30" s="216"/>
      <c r="E30" s="216"/>
      <c r="F30" s="217"/>
      <c r="G30" s="216"/>
      <c r="H30" s="216"/>
      <c r="I30" s="217"/>
    </row>
    <row r="31" spans="1:9" ht="11.25">
      <c r="A31" s="402" t="s">
        <v>123</v>
      </c>
      <c r="B31" s="403"/>
      <c r="C31" s="220" t="s">
        <v>137</v>
      </c>
      <c r="D31" s="159"/>
      <c r="E31" s="159"/>
      <c r="F31" s="160"/>
      <c r="G31" s="159"/>
      <c r="H31" s="159"/>
      <c r="I31" s="160"/>
    </row>
    <row r="32" spans="1:9" s="10" customFormat="1" ht="11.25">
      <c r="A32" s="540"/>
      <c r="B32" s="94"/>
      <c r="C32" s="93"/>
      <c r="D32" s="95"/>
      <c r="E32" s="95"/>
      <c r="F32" s="95"/>
      <c r="G32" s="95"/>
      <c r="H32" s="95"/>
      <c r="I32" s="95"/>
    </row>
    <row r="33" spans="1:9" s="10" customFormat="1" ht="11.25">
      <c r="A33" s="254" t="s">
        <v>376</v>
      </c>
      <c r="B33" s="94"/>
      <c r="C33" s="93"/>
      <c r="D33" s="93"/>
      <c r="E33" s="93"/>
      <c r="F33" s="93"/>
      <c r="G33" s="93"/>
      <c r="H33" s="93"/>
      <c r="I33" s="93"/>
    </row>
    <row r="34" spans="1:9" ht="11.25">
      <c r="A34" s="101" t="s">
        <v>120</v>
      </c>
      <c r="B34" s="102"/>
      <c r="C34" s="162" t="s">
        <v>137</v>
      </c>
      <c r="D34" s="163">
        <v>28266</v>
      </c>
      <c r="E34" s="163">
        <v>26624</v>
      </c>
      <c r="F34" s="103">
        <v>26624</v>
      </c>
      <c r="G34" s="424"/>
      <c r="H34" s="424"/>
      <c r="I34" s="425"/>
    </row>
    <row r="35" spans="1:9" ht="11.25">
      <c r="A35" s="87" t="s">
        <v>121</v>
      </c>
      <c r="B35" s="88"/>
      <c r="C35" s="105" t="s">
        <v>137</v>
      </c>
      <c r="D35" s="166">
        <v>20167</v>
      </c>
      <c r="E35" s="166">
        <v>19152</v>
      </c>
      <c r="F35" s="167">
        <v>20664</v>
      </c>
      <c r="G35" s="426"/>
      <c r="H35" s="426"/>
      <c r="I35" s="427"/>
    </row>
    <row r="36" spans="1:9" ht="11.25">
      <c r="A36" s="90" t="s">
        <v>122</v>
      </c>
      <c r="B36" s="354"/>
      <c r="C36" s="110" t="s">
        <v>181</v>
      </c>
      <c r="D36" s="169">
        <v>68</v>
      </c>
      <c r="E36" s="169">
        <v>64</v>
      </c>
      <c r="F36" s="340">
        <v>64</v>
      </c>
      <c r="G36" s="428"/>
      <c r="H36" s="428"/>
      <c r="I36" s="429"/>
    </row>
    <row r="37" spans="1:9" s="10" customFormat="1" ht="11.25">
      <c r="A37" s="114" t="s">
        <v>477</v>
      </c>
      <c r="B37" s="102"/>
      <c r="C37" s="162"/>
      <c r="D37" s="162"/>
      <c r="E37" s="162"/>
      <c r="F37" s="561"/>
      <c r="G37" s="162"/>
      <c r="H37" s="162"/>
      <c r="I37" s="430"/>
    </row>
    <row r="38" spans="1:9" s="10" customFormat="1" ht="12" thickBot="1">
      <c r="A38" s="90" t="s">
        <v>122</v>
      </c>
      <c r="B38" s="354" t="s">
        <v>181</v>
      </c>
      <c r="C38" s="110"/>
      <c r="D38" s="169">
        <v>1418</v>
      </c>
      <c r="E38" s="169">
        <v>1422</v>
      </c>
      <c r="F38" s="340">
        <v>1422</v>
      </c>
      <c r="G38" s="431"/>
      <c r="H38" s="431"/>
      <c r="I38" s="432"/>
    </row>
    <row r="39" spans="2:77" s="10" customFormat="1" ht="11.25">
      <c r="B39" s="94"/>
      <c r="C39" s="93"/>
      <c r="D39" s="93"/>
      <c r="E39" s="93"/>
      <c r="F39" s="93"/>
      <c r="G39" s="93"/>
      <c r="H39" s="93"/>
      <c r="I39" s="93"/>
      <c r="BY39" s="252"/>
    </row>
    <row r="40" spans="1:9" s="10" customFormat="1" ht="11.25">
      <c r="A40" s="236" t="s">
        <v>176</v>
      </c>
      <c r="B40" s="94"/>
      <c r="C40" s="93"/>
      <c r="D40" s="253" t="s">
        <v>254</v>
      </c>
      <c r="E40" s="253" t="s">
        <v>255</v>
      </c>
      <c r="F40" s="253" t="s">
        <v>256</v>
      </c>
      <c r="G40" s="253" t="str">
        <f>'Analysis Parameters'!G6</f>
        <v>none</v>
      </c>
      <c r="H40" s="253" t="str">
        <f>'Analysis Parameters'!H6</f>
        <v>none</v>
      </c>
      <c r="I40" s="253" t="str">
        <f>'Analysis Parameters'!I6</f>
        <v>none</v>
      </c>
    </row>
    <row r="41" spans="1:9" ht="11.25">
      <c r="A41" s="382" t="s">
        <v>377</v>
      </c>
      <c r="B41" s="350"/>
      <c r="C41" s="433"/>
      <c r="D41" s="433"/>
      <c r="E41" s="433"/>
      <c r="F41" s="434"/>
      <c r="G41" s="433"/>
      <c r="H41" s="433"/>
      <c r="I41" s="434"/>
    </row>
    <row r="42" spans="1:9" ht="11.25">
      <c r="A42" s="34" t="s">
        <v>120</v>
      </c>
      <c r="B42" s="351"/>
      <c r="C42" s="435" t="s">
        <v>137</v>
      </c>
      <c r="D42" s="436">
        <v>151200</v>
      </c>
      <c r="E42" s="436">
        <v>145600</v>
      </c>
      <c r="F42" s="437">
        <v>145600</v>
      </c>
      <c r="G42" s="436"/>
      <c r="H42" s="436"/>
      <c r="I42" s="437"/>
    </row>
    <row r="43" spans="1:9" ht="11.25">
      <c r="A43" s="34" t="s">
        <v>121</v>
      </c>
      <c r="B43" s="351"/>
      <c r="C43" s="435" t="s">
        <v>137</v>
      </c>
      <c r="D43" s="436">
        <v>109550</v>
      </c>
      <c r="E43" s="436">
        <v>106400</v>
      </c>
      <c r="F43" s="437">
        <v>114800</v>
      </c>
      <c r="G43" s="436"/>
      <c r="H43" s="436"/>
      <c r="I43" s="437"/>
    </row>
    <row r="44" spans="1:9" ht="11.25">
      <c r="A44" s="352" t="s">
        <v>122</v>
      </c>
      <c r="B44" s="353"/>
      <c r="C44" s="438" t="s">
        <v>181</v>
      </c>
      <c r="D44" s="439">
        <v>350</v>
      </c>
      <c r="E44" s="439">
        <v>350</v>
      </c>
      <c r="F44" s="347">
        <v>350</v>
      </c>
      <c r="G44" s="439"/>
      <c r="H44" s="439"/>
      <c r="I44" s="347"/>
    </row>
    <row r="46" spans="1:6" ht="21" customHeight="1">
      <c r="A46" s="641" t="s">
        <v>260</v>
      </c>
      <c r="B46" s="641"/>
      <c r="C46" s="641"/>
      <c r="D46" s="641"/>
      <c r="E46" s="641"/>
      <c r="F46" s="641"/>
    </row>
    <row r="47" spans="1:9" ht="11.25">
      <c r="A47" s="379" t="s">
        <v>158</v>
      </c>
      <c r="B47" s="271"/>
      <c r="C47" s="272" t="s">
        <v>138</v>
      </c>
      <c r="D47" s="273">
        <v>5618</v>
      </c>
      <c r="E47" s="273">
        <v>6252</v>
      </c>
      <c r="F47" s="274">
        <v>6480</v>
      </c>
      <c r="G47" s="273"/>
      <c r="H47" s="273"/>
      <c r="I47" s="274"/>
    </row>
    <row r="48" ht="11.25">
      <c r="D48" s="38"/>
    </row>
    <row r="49" spans="1:9" ht="11.25">
      <c r="A49" s="254" t="s">
        <v>218</v>
      </c>
      <c r="C49" s="2"/>
      <c r="D49" s="5" t="s">
        <v>254</v>
      </c>
      <c r="E49" s="5" t="s">
        <v>255</v>
      </c>
      <c r="F49" s="5" t="s">
        <v>256</v>
      </c>
      <c r="G49" s="5"/>
      <c r="H49" s="5"/>
      <c r="I49" s="5"/>
    </row>
    <row r="50" spans="1:9" ht="11.25">
      <c r="A50" s="255" t="s">
        <v>371</v>
      </c>
      <c r="B50" s="256"/>
      <c r="C50" s="257" t="s">
        <v>137</v>
      </c>
      <c r="D50" s="258">
        <v>93</v>
      </c>
      <c r="E50" s="258">
        <v>92</v>
      </c>
      <c r="F50" s="560">
        <v>95</v>
      </c>
      <c r="G50" s="256"/>
      <c r="H50" s="256"/>
      <c r="I50" s="259"/>
    </row>
    <row r="52" spans="1:9" ht="11.25">
      <c r="A52" s="6" t="s">
        <v>375</v>
      </c>
      <c r="B52" s="5"/>
      <c r="C52" s="5"/>
      <c r="D52" s="5" t="s">
        <v>254</v>
      </c>
      <c r="E52" s="5" t="s">
        <v>255</v>
      </c>
      <c r="F52" s="5" t="s">
        <v>256</v>
      </c>
      <c r="G52" s="260" t="str">
        <f>'Analysis Parameters'!G6</f>
        <v>none</v>
      </c>
      <c r="H52" s="260" t="str">
        <f>'Analysis Parameters'!H6</f>
        <v>none</v>
      </c>
      <c r="I52" s="260" t="str">
        <f>'Analysis Parameters'!I6</f>
        <v>none</v>
      </c>
    </row>
    <row r="53" spans="1:9" ht="11.25">
      <c r="A53" s="440" t="s">
        <v>120</v>
      </c>
      <c r="B53" s="441"/>
      <c r="C53" s="441"/>
      <c r="D53" s="441">
        <f>'Analysis Parameters'!D9</f>
        <v>432</v>
      </c>
      <c r="E53" s="441">
        <f>'Analysis Parameters'!E9</f>
        <v>416</v>
      </c>
      <c r="F53" s="337">
        <f>'Analysis Parameters'!F9</f>
        <v>416</v>
      </c>
      <c r="G53" s="441"/>
      <c r="H53" s="441"/>
      <c r="I53" s="337"/>
    </row>
    <row r="54" spans="1:9" ht="11.25">
      <c r="A54" s="186" t="s">
        <v>121</v>
      </c>
      <c r="B54" s="442"/>
      <c r="C54" s="442"/>
      <c r="D54" s="442">
        <f>'Analysis Parameters'!D10</f>
        <v>313</v>
      </c>
      <c r="E54" s="442">
        <f>'Analysis Parameters'!E10</f>
        <v>304</v>
      </c>
      <c r="F54" s="188">
        <f>'Analysis Parameters'!F10</f>
        <v>328</v>
      </c>
      <c r="G54" s="442"/>
      <c r="H54" s="442"/>
      <c r="I54" s="188"/>
    </row>
    <row r="55" spans="1:9" s="10" customFormat="1" ht="11.25">
      <c r="A55" s="562" t="s">
        <v>159</v>
      </c>
      <c r="B55" s="563"/>
      <c r="C55" s="563"/>
      <c r="D55" s="563">
        <f>D53+D54</f>
        <v>745</v>
      </c>
      <c r="E55" s="563">
        <f>E53+E54</f>
        <v>720</v>
      </c>
      <c r="F55" s="564">
        <f>F53+F54</f>
        <v>744</v>
      </c>
      <c r="G55" s="261"/>
      <c r="H55" s="261"/>
      <c r="I55" s="262"/>
    </row>
    <row r="58" spans="1:9" s="94" customFormat="1" ht="11.25">
      <c r="A58" s="92"/>
      <c r="B58" s="92"/>
      <c r="C58" s="91"/>
      <c r="D58" s="91"/>
      <c r="F58" s="92"/>
      <c r="G58" s="92"/>
      <c r="H58" s="185"/>
      <c r="I58" s="92"/>
    </row>
  </sheetData>
  <mergeCells count="5">
    <mergeCell ref="A46:F46"/>
    <mergeCell ref="A7:F7"/>
    <mergeCell ref="A1:F1"/>
    <mergeCell ref="A22:F22"/>
    <mergeCell ref="A10:F10"/>
  </mergeCells>
  <printOptions horizontalCentered="1"/>
  <pageMargins left="0.5" right="0.5" top="0.75" bottom="0.75" header="0.5" footer="0.5"/>
  <pageSetup fitToHeight="0" fitToWidth="1" horizontalDpi="600" verticalDpi="600" orientation="portrait" r:id="rId1"/>
  <headerFooter alignWithMargins="0">
    <oddHeader>&amp;C&amp;"Arial,Bold"&amp;12Loads</oddHeader>
    <oddFooter>&amp;LPage 8&amp;CBonneville Power Administration, Power Business Line&amp;R2/14/02</oddFooter>
  </headerFooter>
</worksheet>
</file>

<file path=xl/worksheets/sheet9.xml><?xml version="1.0" encoding="utf-8"?>
<worksheet xmlns="http://schemas.openxmlformats.org/spreadsheetml/2006/main" xmlns:r="http://schemas.openxmlformats.org/officeDocument/2006/relationships">
  <sheetPr codeName="Sheet12">
    <pageSetUpPr fitToPage="1"/>
  </sheetPr>
  <dimension ref="A1:O78"/>
  <sheetViews>
    <sheetView view="pageBreakPreview" zoomScaleSheetLayoutView="100" workbookViewId="0" topLeftCell="A1">
      <selection activeCell="D79" sqref="D78:D79"/>
    </sheetView>
  </sheetViews>
  <sheetFormatPr defaultColWidth="9.140625" defaultRowHeight="9.75" customHeight="1"/>
  <cols>
    <col min="1" max="1" width="9.57421875" style="2" customWidth="1"/>
    <col min="2" max="2" width="25.28125" style="4" customWidth="1"/>
    <col min="3" max="8" width="9.7109375" style="4" customWidth="1"/>
    <col min="9" max="9" width="9.7109375" style="2" customWidth="1"/>
    <col min="10" max="10" width="10.57421875" style="2" customWidth="1"/>
    <col min="11" max="16384" width="9.7109375" style="2" customWidth="1"/>
  </cols>
  <sheetData>
    <row r="1" spans="1:3" ht="9.75" customHeight="1">
      <c r="A1" s="6"/>
      <c r="C1" s="1" t="s">
        <v>261</v>
      </c>
    </row>
    <row r="2" ht="9.75" customHeight="1">
      <c r="A2" s="6"/>
    </row>
    <row r="3" ht="9.75" customHeight="1">
      <c r="A3" s="6"/>
    </row>
    <row r="4" spans="1:5" ht="36" customHeight="1">
      <c r="A4" s="644" t="s">
        <v>505</v>
      </c>
      <c r="B4" s="644"/>
      <c r="C4" s="644"/>
      <c r="D4" s="644"/>
      <c r="E4" s="644"/>
    </row>
    <row r="5" spans="1:5" ht="9.75" customHeight="1">
      <c r="A5" s="645" t="s">
        <v>499</v>
      </c>
      <c r="B5" s="645"/>
      <c r="C5" s="645"/>
      <c r="D5" s="645"/>
      <c r="E5" s="645"/>
    </row>
    <row r="6" spans="4:9" s="5" customFormat="1" ht="12.75">
      <c r="D6" s="48" t="str">
        <f>'Analysis Parameters'!D6</f>
        <v>Oct</v>
      </c>
      <c r="E6" s="48" t="str">
        <f>'Analysis Parameters'!E6</f>
        <v>Nov</v>
      </c>
      <c r="F6" s="48" t="str">
        <f>'Analysis Parameters'!F6</f>
        <v>Dec</v>
      </c>
      <c r="G6" s="48" t="str">
        <f>'Analysis Parameters'!G6</f>
        <v>none</v>
      </c>
      <c r="H6" s="48" t="str">
        <f>'Analysis Parameters'!H6</f>
        <v>none</v>
      </c>
      <c r="I6" s="48" t="str">
        <f>'Analysis Parameters'!I6</f>
        <v>none</v>
      </c>
    </row>
    <row r="7" spans="1:9" ht="11.25">
      <c r="A7" s="6" t="s">
        <v>129</v>
      </c>
      <c r="B7" s="6"/>
      <c r="C7" s="5"/>
      <c r="I7" s="4"/>
    </row>
    <row r="8" spans="1:9" ht="11.25">
      <c r="A8" s="443" t="s">
        <v>120</v>
      </c>
      <c r="B8" s="443"/>
      <c r="C8" s="444"/>
      <c r="D8" s="444">
        <f>'Analysis Parameters'!D9</f>
        <v>432</v>
      </c>
      <c r="E8" s="444">
        <f>'Analysis Parameters'!E9</f>
        <v>416</v>
      </c>
      <c r="F8" s="444">
        <f>'Analysis Parameters'!F9</f>
        <v>416</v>
      </c>
      <c r="G8" s="444"/>
      <c r="H8" s="444"/>
      <c r="I8" s="444"/>
    </row>
    <row r="9" spans="1:9" ht="11.25">
      <c r="A9" s="445" t="s">
        <v>121</v>
      </c>
      <c r="B9" s="445"/>
      <c r="C9" s="446"/>
      <c r="D9" s="446">
        <v>313</v>
      </c>
      <c r="E9" s="446">
        <f>'Analysis Parameters'!E10</f>
        <v>304</v>
      </c>
      <c r="F9" s="446">
        <f>'Analysis Parameters'!F10</f>
        <v>328</v>
      </c>
      <c r="G9" s="446"/>
      <c r="H9" s="446"/>
      <c r="I9" s="446"/>
    </row>
    <row r="10" spans="1:9" s="10" customFormat="1" ht="11.25">
      <c r="A10" s="10" t="s">
        <v>159</v>
      </c>
      <c r="C10" s="9"/>
      <c r="D10" s="9">
        <f>D8+D9</f>
        <v>745</v>
      </c>
      <c r="E10" s="9">
        <f>E8+E9</f>
        <v>720</v>
      </c>
      <c r="F10" s="9">
        <f>F8+F9</f>
        <v>744</v>
      </c>
      <c r="G10" s="9"/>
      <c r="H10" s="9"/>
      <c r="I10" s="9"/>
    </row>
    <row r="11" spans="3:9" s="10" customFormat="1" ht="4.5" customHeight="1">
      <c r="C11" s="9"/>
      <c r="D11" s="9"/>
      <c r="E11" s="9"/>
      <c r="F11" s="9"/>
      <c r="G11" s="9"/>
      <c r="H11" s="9"/>
      <c r="I11" s="9"/>
    </row>
    <row r="12" spans="1:9" ht="11.25">
      <c r="A12" s="6" t="s">
        <v>163</v>
      </c>
      <c r="B12" s="6"/>
      <c r="I12" s="4"/>
    </row>
    <row r="13" spans="1:9" ht="4.5" customHeight="1">
      <c r="A13" s="6"/>
      <c r="B13" s="6"/>
      <c r="I13" s="4"/>
    </row>
    <row r="14" spans="1:9" ht="11.25">
      <c r="A14" s="6" t="s">
        <v>164</v>
      </c>
      <c r="B14" s="6"/>
      <c r="I14" s="4"/>
    </row>
    <row r="15" spans="1:9" ht="4.5" customHeight="1">
      <c r="A15" s="17"/>
      <c r="B15" s="6"/>
      <c r="I15" s="4"/>
    </row>
    <row r="16" spans="1:9" ht="11.25">
      <c r="A16" s="6" t="s">
        <v>156</v>
      </c>
      <c r="B16" s="6"/>
      <c r="I16" s="4"/>
    </row>
    <row r="17" spans="1:15" ht="11.25">
      <c r="A17" s="443" t="s">
        <v>154</v>
      </c>
      <c r="B17" s="443"/>
      <c r="C17" s="444" t="s">
        <v>137</v>
      </c>
      <c r="D17" s="449">
        <v>143856</v>
      </c>
      <c r="E17" s="449">
        <v>134000</v>
      </c>
      <c r="F17" s="449">
        <v>134800</v>
      </c>
      <c r="G17" s="449"/>
      <c r="H17" s="449"/>
      <c r="I17" s="449"/>
      <c r="J17" s="3"/>
      <c r="K17" s="46"/>
      <c r="L17" s="3"/>
      <c r="M17" s="3"/>
      <c r="N17" s="3"/>
      <c r="O17" s="3"/>
    </row>
    <row r="18" spans="1:15" ht="11.25">
      <c r="A18" s="443" t="s">
        <v>183</v>
      </c>
      <c r="B18" s="443"/>
      <c r="C18" s="444" t="s">
        <v>137</v>
      </c>
      <c r="D18" s="449">
        <v>410400</v>
      </c>
      <c r="E18" s="449">
        <v>380000</v>
      </c>
      <c r="F18" s="449">
        <v>380000</v>
      </c>
      <c r="G18" s="449"/>
      <c r="H18" s="449"/>
      <c r="I18" s="449"/>
      <c r="J18" s="3"/>
      <c r="K18" s="3"/>
      <c r="L18" s="3"/>
      <c r="M18" s="3"/>
      <c r="N18" s="3"/>
      <c r="O18" s="3"/>
    </row>
    <row r="19" spans="2:15" ht="4.5" customHeight="1">
      <c r="B19" s="2"/>
      <c r="D19" s="38"/>
      <c r="E19" s="38"/>
      <c r="F19" s="38"/>
      <c r="G19" s="38"/>
      <c r="H19" s="38"/>
      <c r="I19" s="38"/>
      <c r="J19" s="42"/>
      <c r="K19" s="42"/>
      <c r="L19" s="42"/>
      <c r="M19" s="42"/>
      <c r="N19" s="42"/>
      <c r="O19" s="42"/>
    </row>
    <row r="20" spans="1:15" ht="11.25">
      <c r="A20" s="445" t="s">
        <v>155</v>
      </c>
      <c r="B20" s="445"/>
      <c r="C20" s="446" t="s">
        <v>137</v>
      </c>
      <c r="D20" s="447">
        <v>96091</v>
      </c>
      <c r="E20" s="447">
        <v>99520</v>
      </c>
      <c r="F20" s="447">
        <v>107672</v>
      </c>
      <c r="G20" s="447"/>
      <c r="H20" s="447"/>
      <c r="I20" s="447"/>
      <c r="J20" s="3"/>
      <c r="K20" s="46"/>
      <c r="L20" s="3"/>
      <c r="M20" s="3"/>
      <c r="N20" s="3"/>
      <c r="O20" s="3"/>
    </row>
    <row r="21" spans="1:15" ht="11.25">
      <c r="A21" s="445" t="s">
        <v>184</v>
      </c>
      <c r="B21" s="445"/>
      <c r="C21" s="446" t="s">
        <v>137</v>
      </c>
      <c r="D21" s="447">
        <v>297350</v>
      </c>
      <c r="E21" s="447">
        <v>304000</v>
      </c>
      <c r="F21" s="447">
        <v>326800</v>
      </c>
      <c r="G21" s="447"/>
      <c r="H21" s="447"/>
      <c r="I21" s="447"/>
      <c r="J21" s="3"/>
      <c r="K21" s="3"/>
      <c r="L21" s="3"/>
      <c r="M21" s="3"/>
      <c r="N21" s="3"/>
      <c r="O21" s="3"/>
    </row>
    <row r="22" spans="1:15" ht="11.25">
      <c r="A22" s="6" t="s">
        <v>161</v>
      </c>
      <c r="B22" s="6"/>
      <c r="C22" s="38"/>
      <c r="D22" s="38"/>
      <c r="E22" s="38"/>
      <c r="F22" s="38"/>
      <c r="G22" s="38"/>
      <c r="H22" s="38"/>
      <c r="I22" s="38"/>
      <c r="J22" s="42"/>
      <c r="K22" s="42"/>
      <c r="L22" s="42"/>
      <c r="M22" s="47"/>
      <c r="N22" s="42"/>
      <c r="O22" s="42"/>
    </row>
    <row r="23" spans="1:15" ht="11.25">
      <c r="A23" s="443" t="s">
        <v>185</v>
      </c>
      <c r="B23" s="443"/>
      <c r="C23" s="444" t="s">
        <v>139</v>
      </c>
      <c r="D23" s="449">
        <v>11490120</v>
      </c>
      <c r="E23" s="449">
        <v>10639000</v>
      </c>
      <c r="F23" s="449">
        <v>10639000</v>
      </c>
      <c r="G23" s="449"/>
      <c r="H23" s="449"/>
      <c r="I23" s="449"/>
      <c r="J23" s="3"/>
      <c r="K23" s="3"/>
      <c r="L23" s="3"/>
      <c r="M23" s="3"/>
      <c r="N23" s="3"/>
      <c r="O23" s="3"/>
    </row>
    <row r="24" spans="1:15" ht="11.25">
      <c r="A24" s="445" t="s">
        <v>186</v>
      </c>
      <c r="B24" s="445"/>
      <c r="C24" s="446" t="s">
        <v>139</v>
      </c>
      <c r="D24" s="447">
        <v>8325017.5</v>
      </c>
      <c r="E24" s="447">
        <v>8511200</v>
      </c>
      <c r="F24" s="447">
        <v>9149540</v>
      </c>
      <c r="G24" s="447"/>
      <c r="H24" s="447"/>
      <c r="I24" s="447"/>
      <c r="J24" s="3"/>
      <c r="K24" s="3"/>
      <c r="L24" s="3"/>
      <c r="M24" s="3"/>
      <c r="N24" s="3"/>
      <c r="O24" s="3"/>
    </row>
    <row r="25" spans="1:15" ht="11.25">
      <c r="A25" s="443" t="s">
        <v>154</v>
      </c>
      <c r="B25" s="443"/>
      <c r="C25" s="444" t="s">
        <v>139</v>
      </c>
      <c r="D25" s="449">
        <v>15239183.899217129</v>
      </c>
      <c r="E25" s="449">
        <v>12463187.46223808</v>
      </c>
      <c r="F25" s="449">
        <v>14191331.46223808</v>
      </c>
      <c r="G25" s="449"/>
      <c r="H25" s="449"/>
      <c r="I25" s="449"/>
      <c r="J25" s="3"/>
      <c r="K25" s="46"/>
      <c r="L25" s="3"/>
      <c r="M25" s="3"/>
      <c r="N25" s="3"/>
      <c r="O25" s="3"/>
    </row>
    <row r="26" spans="1:15" ht="11.25">
      <c r="A26" s="445" t="s">
        <v>155</v>
      </c>
      <c r="B26" s="445"/>
      <c r="C26" s="446" t="s">
        <v>139</v>
      </c>
      <c r="D26" s="447">
        <v>9874842.839201298</v>
      </c>
      <c r="E26" s="447">
        <v>8789980.369790465</v>
      </c>
      <c r="F26" s="447">
        <v>10926247.93752475</v>
      </c>
      <c r="G26" s="447"/>
      <c r="H26" s="447"/>
      <c r="I26" s="447"/>
      <c r="J26" s="3"/>
      <c r="K26" s="3"/>
      <c r="L26" s="3"/>
      <c r="M26" s="46"/>
      <c r="N26" s="3"/>
      <c r="O26" s="3"/>
    </row>
    <row r="27" spans="2:10" ht="4.5" customHeight="1">
      <c r="B27" s="2"/>
      <c r="D27" s="43"/>
      <c r="I27" s="4"/>
      <c r="J27" s="42"/>
    </row>
    <row r="28" spans="1:11" ht="35.25" customHeight="1">
      <c r="A28" s="646" t="s">
        <v>506</v>
      </c>
      <c r="B28" s="646"/>
      <c r="C28" s="646"/>
      <c r="D28" s="646"/>
      <c r="E28" s="646"/>
      <c r="F28" s="38"/>
      <c r="G28" s="38"/>
      <c r="H28" s="38"/>
      <c r="I28" s="38"/>
      <c r="J28" s="42"/>
      <c r="K28" s="42"/>
    </row>
    <row r="29" spans="1:11" ht="4.5" customHeight="1">
      <c r="A29" s="6"/>
      <c r="B29" s="6"/>
      <c r="D29" s="38"/>
      <c r="E29" s="38"/>
      <c r="F29" s="38"/>
      <c r="G29" s="38"/>
      <c r="H29" s="38"/>
      <c r="I29" s="38"/>
      <c r="J29" s="42"/>
      <c r="K29" s="42"/>
    </row>
    <row r="30" spans="1:9" ht="11.25">
      <c r="A30" s="6" t="s">
        <v>156</v>
      </c>
      <c r="B30" s="6"/>
      <c r="I30" s="4"/>
    </row>
    <row r="31" spans="1:15" ht="11.25">
      <c r="A31" s="443" t="s">
        <v>154</v>
      </c>
      <c r="B31" s="443"/>
      <c r="C31" s="444" t="s">
        <v>137</v>
      </c>
      <c r="D31" s="450">
        <v>4320</v>
      </c>
      <c r="E31" s="450">
        <v>4000</v>
      </c>
      <c r="F31" s="450">
        <v>4000</v>
      </c>
      <c r="G31" s="450"/>
      <c r="H31" s="450"/>
      <c r="I31" s="450"/>
      <c r="J31" s="46"/>
      <c r="K31" s="3"/>
      <c r="L31" s="3"/>
      <c r="M31" s="3"/>
      <c r="N31" s="3"/>
      <c r="O31" s="3"/>
    </row>
    <row r="32" spans="1:15" ht="11.25">
      <c r="A32" s="443" t="s">
        <v>183</v>
      </c>
      <c r="B32" s="443"/>
      <c r="C32" s="444" t="s">
        <v>137</v>
      </c>
      <c r="D32" s="450">
        <v>0</v>
      </c>
      <c r="E32" s="450">
        <v>0</v>
      </c>
      <c r="F32" s="450">
        <v>0</v>
      </c>
      <c r="G32" s="450"/>
      <c r="H32" s="450"/>
      <c r="I32" s="450"/>
      <c r="J32" s="3"/>
      <c r="K32" s="3"/>
      <c r="L32" s="3"/>
      <c r="M32" s="3"/>
      <c r="N32" s="3"/>
      <c r="O32" s="3"/>
    </row>
    <row r="33" spans="2:9" ht="11.25">
      <c r="B33" s="2"/>
      <c r="D33" s="45"/>
      <c r="E33" s="45"/>
      <c r="F33" s="45"/>
      <c r="G33" s="45"/>
      <c r="H33" s="45"/>
      <c r="I33" s="45"/>
    </row>
    <row r="34" spans="1:15" ht="11.25">
      <c r="A34" s="445" t="s">
        <v>155</v>
      </c>
      <c r="B34" s="445"/>
      <c r="C34" s="446" t="s">
        <v>137</v>
      </c>
      <c r="D34" s="448">
        <v>4757.6</v>
      </c>
      <c r="E34" s="448">
        <v>4864</v>
      </c>
      <c r="F34" s="448">
        <v>5228.8</v>
      </c>
      <c r="G34" s="448"/>
      <c r="H34" s="448"/>
      <c r="I34" s="448"/>
      <c r="J34" s="3"/>
      <c r="K34" s="3"/>
      <c r="L34" s="3"/>
      <c r="M34" s="3"/>
      <c r="N34" s="3"/>
      <c r="O34" s="3"/>
    </row>
    <row r="35" spans="1:15" ht="11.25">
      <c r="A35" s="445" t="s">
        <v>184</v>
      </c>
      <c r="B35" s="445"/>
      <c r="C35" s="446" t="s">
        <v>137</v>
      </c>
      <c r="D35" s="448">
        <v>0</v>
      </c>
      <c r="E35" s="448">
        <v>0</v>
      </c>
      <c r="F35" s="448">
        <v>0</v>
      </c>
      <c r="G35" s="448"/>
      <c r="H35" s="448"/>
      <c r="I35" s="448"/>
      <c r="J35" s="3"/>
      <c r="K35" s="3"/>
      <c r="L35" s="3"/>
      <c r="M35" s="3"/>
      <c r="N35" s="3"/>
      <c r="O35" s="3"/>
    </row>
    <row r="36" spans="1:9" ht="11.25">
      <c r="A36" s="6" t="s">
        <v>161</v>
      </c>
      <c r="B36" s="6"/>
      <c r="D36" s="45"/>
      <c r="E36" s="45"/>
      <c r="F36" s="45"/>
      <c r="G36" s="45"/>
      <c r="H36" s="45"/>
      <c r="I36" s="45"/>
    </row>
    <row r="37" spans="1:15" ht="11.25">
      <c r="A37" s="443" t="s">
        <v>154</v>
      </c>
      <c r="B37" s="443"/>
      <c r="C37" s="444" t="s">
        <v>139</v>
      </c>
      <c r="D37" s="450">
        <v>129600</v>
      </c>
      <c r="E37" s="450">
        <v>120000</v>
      </c>
      <c r="F37" s="450">
        <v>120000</v>
      </c>
      <c r="G37" s="450"/>
      <c r="H37" s="450"/>
      <c r="I37" s="450"/>
      <c r="J37" s="3"/>
      <c r="K37" s="46"/>
      <c r="L37" s="3"/>
      <c r="M37" s="3"/>
      <c r="N37" s="3"/>
      <c r="O37" s="3"/>
    </row>
    <row r="38" spans="1:15" ht="11.25">
      <c r="A38" s="445" t="s">
        <v>155</v>
      </c>
      <c r="B38" s="445"/>
      <c r="C38" s="446" t="s">
        <v>139</v>
      </c>
      <c r="D38" s="448">
        <v>103844.636</v>
      </c>
      <c r="E38" s="448">
        <v>106167.04</v>
      </c>
      <c r="F38" s="448">
        <v>114129.568</v>
      </c>
      <c r="G38" s="448"/>
      <c r="H38" s="448"/>
      <c r="I38" s="448"/>
      <c r="J38" s="3"/>
      <c r="K38" s="3"/>
      <c r="L38" s="3"/>
      <c r="M38" s="3"/>
      <c r="N38" s="3"/>
      <c r="O38" s="3"/>
    </row>
    <row r="39" spans="2:9" ht="4.5" customHeight="1">
      <c r="B39" s="2"/>
      <c r="I39" s="4"/>
    </row>
    <row r="40" spans="1:9" ht="11.25">
      <c r="A40" s="6" t="s">
        <v>480</v>
      </c>
      <c r="B40" s="6"/>
      <c r="I40" s="4"/>
    </row>
    <row r="41" spans="2:9" ht="4.5" customHeight="1">
      <c r="B41" s="2"/>
      <c r="D41" s="38"/>
      <c r="E41" s="38"/>
      <c r="F41" s="38"/>
      <c r="G41" s="38"/>
      <c r="H41" s="38"/>
      <c r="I41" s="38"/>
    </row>
    <row r="42" spans="1:9" ht="11.25">
      <c r="A42" s="6" t="s">
        <v>216</v>
      </c>
      <c r="B42" s="6"/>
      <c r="D42" s="38"/>
      <c r="E42" s="38"/>
      <c r="F42" s="38"/>
      <c r="G42" s="38"/>
      <c r="H42" s="38"/>
      <c r="I42" s="38"/>
    </row>
    <row r="43" spans="1:15" ht="11.25">
      <c r="A43" s="443" t="s">
        <v>154</v>
      </c>
      <c r="B43" s="443"/>
      <c r="C43" s="444" t="s">
        <v>137</v>
      </c>
      <c r="D43" s="450">
        <v>47520</v>
      </c>
      <c r="E43" s="450">
        <v>48000</v>
      </c>
      <c r="F43" s="450">
        <v>42800</v>
      </c>
      <c r="G43" s="450"/>
      <c r="H43" s="450"/>
      <c r="I43" s="450"/>
      <c r="J43" s="3"/>
      <c r="K43" s="3"/>
      <c r="L43" s="3"/>
      <c r="M43" s="3"/>
      <c r="N43" s="3"/>
      <c r="O43" s="3"/>
    </row>
    <row r="44" spans="1:15" ht="11.25">
      <c r="A44" s="445" t="s">
        <v>155</v>
      </c>
      <c r="B44" s="445"/>
      <c r="C44" s="446" t="s">
        <v>137</v>
      </c>
      <c r="D44" s="448">
        <v>58844</v>
      </c>
      <c r="E44" s="448">
        <v>63360</v>
      </c>
      <c r="F44" s="448">
        <v>63640</v>
      </c>
      <c r="G44" s="448"/>
      <c r="H44" s="448"/>
      <c r="I44" s="448"/>
      <c r="J44" s="3"/>
      <c r="K44" s="3"/>
      <c r="L44" s="3"/>
      <c r="M44" s="3"/>
      <c r="N44" s="3"/>
      <c r="O44" s="3"/>
    </row>
    <row r="45" spans="1:9" ht="11.25">
      <c r="A45" s="2" t="s">
        <v>165</v>
      </c>
      <c r="B45" s="2"/>
      <c r="I45" s="4"/>
    </row>
    <row r="46" spans="1:15" ht="11.25">
      <c r="A46" s="443" t="s">
        <v>154</v>
      </c>
      <c r="B46" s="443"/>
      <c r="C46" s="444" t="s">
        <v>139</v>
      </c>
      <c r="D46" s="450">
        <v>1209600</v>
      </c>
      <c r="E46" s="450">
        <v>1200000</v>
      </c>
      <c r="F46" s="450">
        <v>1096000</v>
      </c>
      <c r="G46" s="450"/>
      <c r="H46" s="450"/>
      <c r="I46" s="450"/>
      <c r="J46" s="3"/>
      <c r="K46" s="3"/>
      <c r="L46" s="3"/>
      <c r="M46" s="3"/>
      <c r="N46" s="3"/>
      <c r="O46" s="3"/>
    </row>
    <row r="47" spans="1:15" ht="11.25">
      <c r="A47" s="445" t="s">
        <v>155</v>
      </c>
      <c r="B47" s="445"/>
      <c r="C47" s="446" t="s">
        <v>139</v>
      </c>
      <c r="D47" s="448">
        <v>1169368</v>
      </c>
      <c r="E47" s="448">
        <v>1259520</v>
      </c>
      <c r="F47" s="448">
        <v>1264544</v>
      </c>
      <c r="G47" s="448"/>
      <c r="H47" s="448"/>
      <c r="I47" s="448"/>
      <c r="J47" s="3"/>
      <c r="K47" s="3"/>
      <c r="L47" s="3"/>
      <c r="M47" s="3"/>
      <c r="N47" s="3"/>
      <c r="O47" s="3"/>
    </row>
    <row r="48" spans="3:15" s="10" customFormat="1" ht="4.5" customHeight="1">
      <c r="C48" s="9"/>
      <c r="D48" s="11"/>
      <c r="E48" s="11"/>
      <c r="F48" s="11"/>
      <c r="G48" s="11"/>
      <c r="H48" s="11"/>
      <c r="I48" s="11"/>
      <c r="J48" s="44"/>
      <c r="K48" s="44"/>
      <c r="L48" s="44"/>
      <c r="M48" s="44"/>
      <c r="N48" s="44"/>
      <c r="O48" s="44"/>
    </row>
    <row r="49" spans="1:9" ht="11.25">
      <c r="A49" s="6" t="s">
        <v>214</v>
      </c>
      <c r="B49" s="6"/>
      <c r="D49" s="11"/>
      <c r="E49" s="11"/>
      <c r="F49" s="11"/>
      <c r="G49" s="11"/>
      <c r="H49" s="11"/>
      <c r="I49" s="11"/>
    </row>
    <row r="50" spans="1:15" ht="11.25">
      <c r="A50" s="443" t="s">
        <v>154</v>
      </c>
      <c r="B50" s="443"/>
      <c r="C50" s="444" t="s">
        <v>137</v>
      </c>
      <c r="D50" s="450">
        <v>21168</v>
      </c>
      <c r="E50" s="450">
        <v>19600</v>
      </c>
      <c r="F50" s="450">
        <v>19600</v>
      </c>
      <c r="G50" s="450"/>
      <c r="H50" s="450"/>
      <c r="I50" s="450"/>
      <c r="J50" s="3"/>
      <c r="K50" s="3"/>
      <c r="L50" s="3"/>
      <c r="M50" s="3"/>
      <c r="N50" s="3"/>
      <c r="O50" s="3"/>
    </row>
    <row r="51" spans="1:15" ht="11.25">
      <c r="A51" s="445" t="s">
        <v>155</v>
      </c>
      <c r="B51" s="445"/>
      <c r="C51" s="446" t="s">
        <v>137</v>
      </c>
      <c r="D51" s="448">
        <v>15337</v>
      </c>
      <c r="E51" s="448">
        <v>15680</v>
      </c>
      <c r="F51" s="448">
        <v>16856</v>
      </c>
      <c r="G51" s="448"/>
      <c r="H51" s="448"/>
      <c r="I51" s="448"/>
      <c r="J51" s="3"/>
      <c r="K51" s="3"/>
      <c r="L51" s="3"/>
      <c r="M51" s="3"/>
      <c r="N51" s="3"/>
      <c r="O51" s="3"/>
    </row>
    <row r="52" spans="1:9" ht="11.25">
      <c r="A52" s="2" t="s">
        <v>479</v>
      </c>
      <c r="B52" s="2"/>
      <c r="D52" s="2"/>
      <c r="E52" s="2"/>
      <c r="I52" s="4"/>
    </row>
    <row r="53" spans="1:15" ht="11.25">
      <c r="A53" s="443" t="s">
        <v>154</v>
      </c>
      <c r="B53" s="443"/>
      <c r="C53" s="444" t="s">
        <v>139</v>
      </c>
      <c r="D53" s="450">
        <v>297760.32</v>
      </c>
      <c r="E53" s="450">
        <v>275704</v>
      </c>
      <c r="F53" s="450">
        <v>275704</v>
      </c>
      <c r="G53" s="450"/>
      <c r="H53" s="450"/>
      <c r="I53" s="450"/>
      <c r="J53" s="3"/>
      <c r="K53" s="3"/>
      <c r="L53" s="3"/>
      <c r="M53" s="3"/>
      <c r="N53" s="3"/>
      <c r="O53" s="3"/>
    </row>
    <row r="54" spans="1:15" ht="11.25">
      <c r="A54" s="445" t="s">
        <v>155</v>
      </c>
      <c r="B54" s="445"/>
      <c r="C54" s="446" t="s">
        <v>139</v>
      </c>
      <c r="D54" s="448">
        <v>215738.38</v>
      </c>
      <c r="E54" s="448">
        <v>220563.2</v>
      </c>
      <c r="F54" s="448">
        <v>237105.44</v>
      </c>
      <c r="G54" s="448"/>
      <c r="H54" s="448"/>
      <c r="I54" s="448"/>
      <c r="J54" s="3"/>
      <c r="K54" s="3"/>
      <c r="L54" s="3"/>
      <c r="M54" s="3"/>
      <c r="N54" s="3"/>
      <c r="O54" s="3"/>
    </row>
    <row r="55" spans="1:15" ht="4.5" customHeight="1">
      <c r="A55" s="10"/>
      <c r="B55" s="10"/>
      <c r="C55" s="9"/>
      <c r="D55" s="11"/>
      <c r="E55" s="11"/>
      <c r="F55" s="11"/>
      <c r="G55" s="448"/>
      <c r="H55" s="448"/>
      <c r="I55" s="448"/>
      <c r="J55" s="3"/>
      <c r="K55" s="3"/>
      <c r="L55" s="3"/>
      <c r="M55" s="3"/>
      <c r="N55" s="3"/>
      <c r="O55" s="3"/>
    </row>
    <row r="56" spans="1:11" ht="11.25">
      <c r="A56" s="6" t="s">
        <v>215</v>
      </c>
      <c r="B56" s="6"/>
      <c r="D56" s="2"/>
      <c r="E56" s="2"/>
      <c r="I56" s="4"/>
      <c r="J56" s="42"/>
      <c r="K56" s="125"/>
    </row>
    <row r="57" spans="1:15" ht="11.25">
      <c r="A57" s="443" t="s">
        <v>154</v>
      </c>
      <c r="B57" s="443"/>
      <c r="C57" s="444" t="s">
        <v>137</v>
      </c>
      <c r="D57" s="450">
        <v>0</v>
      </c>
      <c r="E57" s="450">
        <v>0</v>
      </c>
      <c r="F57" s="450">
        <v>0</v>
      </c>
      <c r="G57" s="450"/>
      <c r="H57" s="450"/>
      <c r="I57" s="450"/>
      <c r="J57" s="3"/>
      <c r="L57" s="3"/>
      <c r="M57" s="3"/>
      <c r="N57" s="3"/>
      <c r="O57" s="3"/>
    </row>
    <row r="58" spans="1:15" ht="11.25">
      <c r="A58" s="445" t="s">
        <v>155</v>
      </c>
      <c r="B58" s="445"/>
      <c r="C58" s="446" t="s">
        <v>137</v>
      </c>
      <c r="D58" s="448">
        <v>0</v>
      </c>
      <c r="E58" s="448">
        <v>0</v>
      </c>
      <c r="F58" s="448">
        <v>0</v>
      </c>
      <c r="G58" s="448"/>
      <c r="H58" s="448"/>
      <c r="I58" s="448"/>
      <c r="J58" s="3"/>
      <c r="K58" s="3"/>
      <c r="L58" s="3"/>
      <c r="M58" s="3"/>
      <c r="N58" s="3"/>
      <c r="O58" s="3"/>
    </row>
    <row r="59" spans="1:11" ht="11.25">
      <c r="A59" s="2" t="s">
        <v>165</v>
      </c>
      <c r="B59" s="2"/>
      <c r="I59" s="4"/>
      <c r="J59" s="42"/>
      <c r="K59" s="42"/>
    </row>
    <row r="60" spans="1:15" ht="11.25">
      <c r="A60" s="443" t="s">
        <v>154</v>
      </c>
      <c r="B60" s="443"/>
      <c r="C60" s="444" t="s">
        <v>139</v>
      </c>
      <c r="D60" s="450">
        <v>0</v>
      </c>
      <c r="E60" s="450">
        <v>0</v>
      </c>
      <c r="F60" s="450">
        <v>0</v>
      </c>
      <c r="G60" s="450"/>
      <c r="H60" s="450"/>
      <c r="I60" s="450"/>
      <c r="J60" s="3"/>
      <c r="K60" s="3"/>
      <c r="L60" s="3"/>
      <c r="M60" s="3"/>
      <c r="N60" s="3"/>
      <c r="O60" s="3"/>
    </row>
    <row r="61" spans="1:15" ht="11.25">
      <c r="A61" s="445" t="s">
        <v>155</v>
      </c>
      <c r="B61" s="445"/>
      <c r="C61" s="446" t="s">
        <v>139</v>
      </c>
      <c r="D61" s="448">
        <v>0</v>
      </c>
      <c r="E61" s="448">
        <v>0</v>
      </c>
      <c r="F61" s="448">
        <v>0</v>
      </c>
      <c r="G61" s="448"/>
      <c r="H61" s="448"/>
      <c r="I61" s="448"/>
      <c r="J61" s="3"/>
      <c r="K61" s="3"/>
      <c r="L61" s="3"/>
      <c r="M61" s="3"/>
      <c r="N61" s="3"/>
      <c r="O61" s="3"/>
    </row>
    <row r="62" spans="1:15" ht="4.5" customHeight="1">
      <c r="A62" s="10"/>
      <c r="B62" s="10"/>
      <c r="C62" s="9"/>
      <c r="D62" s="11"/>
      <c r="E62" s="11"/>
      <c r="F62" s="11"/>
      <c r="G62" s="448"/>
      <c r="H62" s="448"/>
      <c r="I62" s="448"/>
      <c r="J62" s="3"/>
      <c r="K62" s="3"/>
      <c r="L62" s="3"/>
      <c r="M62" s="3"/>
      <c r="N62" s="3"/>
      <c r="O62" s="3"/>
    </row>
    <row r="63" spans="1:9" ht="11.25">
      <c r="A63" s="6" t="s">
        <v>478</v>
      </c>
      <c r="B63" s="6"/>
      <c r="I63" s="4"/>
    </row>
    <row r="64" spans="1:15" ht="11.25">
      <c r="A64" s="443" t="s">
        <v>154</v>
      </c>
      <c r="B64" s="443"/>
      <c r="C64" s="444" t="s">
        <v>137</v>
      </c>
      <c r="D64" s="450">
        <v>0</v>
      </c>
      <c r="E64" s="450">
        <v>0</v>
      </c>
      <c r="F64" s="450">
        <v>0</v>
      </c>
      <c r="G64" s="450"/>
      <c r="H64" s="450"/>
      <c r="I64" s="450"/>
      <c r="J64" s="3"/>
      <c r="K64" s="3"/>
      <c r="L64" s="3"/>
      <c r="M64" s="3"/>
      <c r="N64" s="3"/>
      <c r="O64" s="3"/>
    </row>
    <row r="65" spans="1:15" ht="11.25">
      <c r="A65" s="445" t="s">
        <v>155</v>
      </c>
      <c r="B65" s="445"/>
      <c r="C65" s="446" t="s">
        <v>137</v>
      </c>
      <c r="D65" s="448">
        <v>0</v>
      </c>
      <c r="E65" s="448">
        <v>0</v>
      </c>
      <c r="F65" s="448">
        <v>0</v>
      </c>
      <c r="G65" s="448"/>
      <c r="H65" s="448"/>
      <c r="I65" s="448"/>
      <c r="J65" s="3"/>
      <c r="K65" s="3"/>
      <c r="L65" s="3"/>
      <c r="M65" s="3"/>
      <c r="N65" s="3"/>
      <c r="O65" s="3"/>
    </row>
    <row r="66" spans="1:9" ht="11.25">
      <c r="A66" s="2" t="s">
        <v>165</v>
      </c>
      <c r="B66" s="2"/>
      <c r="I66" s="4"/>
    </row>
    <row r="67" spans="1:15" ht="11.25">
      <c r="A67" s="443" t="s">
        <v>154</v>
      </c>
      <c r="B67" s="443"/>
      <c r="C67" s="444" t="s">
        <v>139</v>
      </c>
      <c r="D67" s="450">
        <v>0</v>
      </c>
      <c r="E67" s="450">
        <v>0</v>
      </c>
      <c r="F67" s="450">
        <v>0</v>
      </c>
      <c r="G67" s="450"/>
      <c r="H67" s="450"/>
      <c r="I67" s="450"/>
      <c r="J67" s="3"/>
      <c r="K67" s="3"/>
      <c r="L67" s="3"/>
      <c r="M67" s="3"/>
      <c r="N67" s="3"/>
      <c r="O67" s="3"/>
    </row>
    <row r="68" spans="1:15" ht="11.25">
      <c r="A68" s="445" t="s">
        <v>155</v>
      </c>
      <c r="B68" s="445"/>
      <c r="C68" s="446" t="s">
        <v>139</v>
      </c>
      <c r="D68" s="448">
        <v>0</v>
      </c>
      <c r="E68" s="448">
        <v>0</v>
      </c>
      <c r="F68" s="448">
        <v>0</v>
      </c>
      <c r="G68" s="448"/>
      <c r="H68" s="448"/>
      <c r="I68" s="448"/>
      <c r="J68" s="3"/>
      <c r="K68" s="3"/>
      <c r="L68" s="3"/>
      <c r="M68" s="3"/>
      <c r="N68" s="3"/>
      <c r="O68" s="3"/>
    </row>
    <row r="69" spans="1:15" ht="4.5" customHeight="1">
      <c r="A69" s="10"/>
      <c r="B69" s="10"/>
      <c r="C69" s="9"/>
      <c r="D69" s="11"/>
      <c r="E69" s="11"/>
      <c r="F69" s="11"/>
      <c r="G69" s="448"/>
      <c r="H69" s="448"/>
      <c r="I69" s="448"/>
      <c r="J69" s="3"/>
      <c r="K69" s="3"/>
      <c r="L69" s="3"/>
      <c r="M69" s="3"/>
      <c r="N69" s="3"/>
      <c r="O69" s="3"/>
    </row>
    <row r="70" spans="1:9" ht="11.25">
      <c r="A70" s="6" t="s">
        <v>217</v>
      </c>
      <c r="B70" s="6"/>
      <c r="I70" s="4"/>
    </row>
    <row r="71" spans="1:15" ht="11.25">
      <c r="A71" s="443" t="s">
        <v>154</v>
      </c>
      <c r="B71" s="443"/>
      <c r="C71" s="444" t="s">
        <v>137</v>
      </c>
      <c r="D71" s="450">
        <v>0</v>
      </c>
      <c r="E71" s="450">
        <v>0</v>
      </c>
      <c r="F71" s="450">
        <v>0</v>
      </c>
      <c r="G71" s="450"/>
      <c r="H71" s="450"/>
      <c r="I71" s="450"/>
      <c r="J71" s="3"/>
      <c r="K71" s="3"/>
      <c r="L71" s="3"/>
      <c r="M71" s="3"/>
      <c r="N71" s="3"/>
      <c r="O71" s="3"/>
    </row>
    <row r="72" spans="1:15" ht="11.25">
      <c r="A72" s="445" t="s">
        <v>155</v>
      </c>
      <c r="B72" s="445"/>
      <c r="C72" s="446" t="s">
        <v>137</v>
      </c>
      <c r="D72" s="448">
        <v>0</v>
      </c>
      <c r="E72" s="448">
        <v>0</v>
      </c>
      <c r="F72" s="448">
        <v>0</v>
      </c>
      <c r="G72" s="448"/>
      <c r="H72" s="448"/>
      <c r="I72" s="448"/>
      <c r="J72" s="3"/>
      <c r="K72" s="3"/>
      <c r="L72" s="3"/>
      <c r="M72" s="3"/>
      <c r="N72" s="3"/>
      <c r="O72" s="3"/>
    </row>
    <row r="73" spans="1:15" s="10" customFormat="1" ht="11.25">
      <c r="A73" s="2" t="s">
        <v>165</v>
      </c>
      <c r="C73" s="9"/>
      <c r="D73" s="11"/>
      <c r="E73" s="11"/>
      <c r="F73" s="11"/>
      <c r="G73" s="11"/>
      <c r="H73" s="11"/>
      <c r="I73" s="11"/>
      <c r="J73" s="44"/>
      <c r="K73" s="44"/>
      <c r="L73" s="44"/>
      <c r="M73" s="44"/>
      <c r="N73" s="44"/>
      <c r="O73" s="44"/>
    </row>
    <row r="74" spans="1:15" ht="11.25">
      <c r="A74" s="443" t="s">
        <v>154</v>
      </c>
      <c r="B74" s="443"/>
      <c r="C74" s="444" t="s">
        <v>139</v>
      </c>
      <c r="D74" s="450">
        <v>0</v>
      </c>
      <c r="E74" s="450">
        <v>0</v>
      </c>
      <c r="F74" s="450">
        <v>0</v>
      </c>
      <c r="G74" s="450"/>
      <c r="H74" s="450"/>
      <c r="I74" s="450"/>
      <c r="J74" s="3"/>
      <c r="K74" s="3"/>
      <c r="L74" s="3"/>
      <c r="M74" s="3"/>
      <c r="N74" s="3"/>
      <c r="O74" s="3"/>
    </row>
    <row r="75" spans="1:15" ht="11.25">
      <c r="A75" s="445" t="s">
        <v>155</v>
      </c>
      <c r="B75" s="445"/>
      <c r="C75" s="446" t="s">
        <v>139</v>
      </c>
      <c r="D75" s="448">
        <v>0</v>
      </c>
      <c r="E75" s="448">
        <v>0</v>
      </c>
      <c r="F75" s="448">
        <v>0</v>
      </c>
      <c r="G75" s="448"/>
      <c r="H75" s="448"/>
      <c r="I75" s="448"/>
      <c r="J75" s="3"/>
      <c r="K75" s="3"/>
      <c r="L75" s="3"/>
      <c r="M75" s="3"/>
      <c r="N75" s="3"/>
      <c r="O75" s="3"/>
    </row>
    <row r="76" spans="2:9" ht="9.75" customHeight="1">
      <c r="B76" s="2"/>
      <c r="I76" s="4"/>
    </row>
    <row r="78" spans="1:9" s="94" customFormat="1" ht="9.75" customHeight="1">
      <c r="A78" s="92"/>
      <c r="B78" s="92"/>
      <c r="C78" s="91"/>
      <c r="D78" s="91"/>
      <c r="F78" s="92"/>
      <c r="G78" s="92"/>
      <c r="H78" s="185"/>
      <c r="I78" s="92"/>
    </row>
  </sheetData>
  <mergeCells count="3">
    <mergeCell ref="A4:E4"/>
    <mergeCell ref="A5:E5"/>
    <mergeCell ref="A28:E28"/>
  </mergeCells>
  <printOptions horizontalCentered="1"/>
  <pageMargins left="0.5" right="0.5" top="0.75" bottom="0.75" header="0.5" footer="0.5"/>
  <pageSetup fitToHeight="1" fitToWidth="1" horizontalDpi="600" verticalDpi="600" orientation="portrait" scale="89" r:id="rId1"/>
  <headerFooter alignWithMargins="0">
    <oddHeader>&amp;C&amp;"Arial,Bold"&amp;12Augmentation Pre-Purchases - 120-Day Rule</oddHeader>
    <oddFooter>&amp;LPage 9&amp;CBonneville Power Administration, Power Business Line&amp;R2/14/02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 CRAC Operating Model</dc:title>
  <dc:subject>February 14, 2002 LB CRAC Workshop</dc:subject>
  <dc:creator>BPA Power Business Line</dc:creator>
  <cp:keywords/>
  <dc:description/>
  <cp:lastModifiedBy>Administrator</cp:lastModifiedBy>
  <cp:lastPrinted>2002-03-04T21:56:17Z</cp:lastPrinted>
  <dcterms:created xsi:type="dcterms:W3CDTF">2001-04-12T14:22:54Z</dcterms:created>
  <dcterms:modified xsi:type="dcterms:W3CDTF">2002-03-04T23:11:36Z</dcterms:modified>
  <cp:category/>
  <cp:version/>
  <cp:contentType/>
  <cp:contentStatus/>
</cp:coreProperties>
</file>