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435" activeTab="0"/>
  </bookViews>
  <sheets>
    <sheet name="source" sheetId="1" r:id="rId1"/>
    <sheet name="PA" sheetId="2" r:id="rId2"/>
    <sheet name="EPA" sheetId="3" r:id="rId3"/>
  </sheets>
  <definedNames>
    <definedName name="_xlnm.Print_Area" localSheetId="0">'source'!$A$2:$J$64</definedName>
  </definedNames>
  <calcPr fullCalcOnLoad="1"/>
</workbook>
</file>

<file path=xl/sharedStrings.xml><?xml version="1.0" encoding="utf-8"?>
<sst xmlns="http://schemas.openxmlformats.org/spreadsheetml/2006/main" count="217" uniqueCount="186">
  <si>
    <t>Application</t>
  </si>
  <si>
    <t>Periodic monitoring development</t>
  </si>
  <si>
    <t xml:space="preserve">public hearing </t>
  </si>
  <si>
    <t>permit revisions, significant</t>
  </si>
  <si>
    <t>permit revisions, minor</t>
  </si>
  <si>
    <t>administrative amendements</t>
  </si>
  <si>
    <t>Permit Renewal</t>
  </si>
  <si>
    <t>hrs</t>
  </si>
  <si>
    <t>affected permits</t>
  </si>
  <si>
    <t>revisions Yr-2</t>
  </si>
  <si>
    <t>revisions yr-3</t>
  </si>
  <si>
    <t>significant</t>
  </si>
  <si>
    <t>minor</t>
  </si>
  <si>
    <t>admin</t>
  </si>
  <si>
    <t>total ICR period revisions</t>
  </si>
  <si>
    <t>renewed YR 1</t>
  </si>
  <si>
    <t>renewed YR 2</t>
  </si>
  <si>
    <t>renewed YR 3</t>
  </si>
  <si>
    <t>Program Admin, fee collection</t>
  </si>
  <si>
    <t>Application review</t>
  </si>
  <si>
    <t>Drafting permit</t>
  </si>
  <si>
    <t>Public &amp; affected state notifica</t>
  </si>
  <si>
    <t>Interaction w/ EPA &amp; objection</t>
  </si>
  <si>
    <t>Finalizing draft w/ public com.</t>
  </si>
  <si>
    <t>Issuance, notification, web</t>
  </si>
  <si>
    <t>Gen. permit administration only</t>
  </si>
  <si>
    <t>Renewing a general permit</t>
  </si>
  <si>
    <t>Renewing single source permits</t>
  </si>
  <si>
    <t>YR1</t>
  </si>
  <si>
    <t>YR2</t>
  </si>
  <si>
    <t>YR3</t>
  </si>
  <si>
    <t>Preparing enforcement report</t>
  </si>
  <si>
    <t>PERMITTING AUTHORITY ACTIVITIES</t>
  </si>
  <si>
    <t>EPA ACTIVITIES</t>
  </si>
  <si>
    <t>all</t>
  </si>
  <si>
    <t>Review enforcement report</t>
  </si>
  <si>
    <t>Resolve issues in proposed, New</t>
  </si>
  <si>
    <t>Resolve issues in prop signific rev</t>
  </si>
  <si>
    <t>Resolve issues in rev, minor</t>
  </si>
  <si>
    <t>Review, new permits</t>
  </si>
  <si>
    <t>Review, renewals</t>
  </si>
  <si>
    <t>Review, significant modifications</t>
  </si>
  <si>
    <t>Review, minor modifications</t>
  </si>
  <si>
    <t>new sources 3-YR ICR period</t>
  </si>
  <si>
    <t>total renewed 3-YR</t>
  </si>
  <si>
    <t>renewed general permits</t>
  </si>
  <si>
    <t>renewed single source permits</t>
  </si>
  <si>
    <t xml:space="preserve">single </t>
  </si>
  <si>
    <t>general</t>
  </si>
  <si>
    <t>Total initial permits 3-YR</t>
  </si>
  <si>
    <t>Total revisions for ICR period</t>
  </si>
  <si>
    <t>Prepare monitoring/compliance reports YR-1</t>
  </si>
  <si>
    <t>YR-2</t>
  </si>
  <si>
    <t>YR-3</t>
  </si>
  <si>
    <t>Operating gap filling monitoring YR-1</t>
  </si>
  <si>
    <t>administrative amendements -3 Yrs</t>
  </si>
  <si>
    <t>permit revisions, significant - 3Yrs</t>
  </si>
  <si>
    <t>permit revisions, minor - 3Yrs</t>
  </si>
  <si>
    <t>Rev. monitoring reports</t>
  </si>
  <si>
    <t>Total</t>
  </si>
  <si>
    <t>cost</t>
  </si>
  <si>
    <t>Annual per respondent</t>
  </si>
  <si>
    <t>Annual per source</t>
  </si>
  <si>
    <t>percent of issued that will be revised</t>
  </si>
  <si>
    <t>Sources</t>
  </si>
  <si>
    <t>PA's</t>
  </si>
  <si>
    <t>Federal</t>
  </si>
  <si>
    <t>Number of entities</t>
  </si>
  <si>
    <t>3-yr burden</t>
  </si>
  <si>
    <t>average annual burden/source</t>
  </si>
  <si>
    <t>average annual burden/respondent</t>
  </si>
  <si>
    <t>Total ICR 3-YR cost</t>
  </si>
  <si>
    <t>Average annual cost /respondent</t>
  </si>
  <si>
    <t>Average annual cost /surce</t>
  </si>
  <si>
    <t>Annual cost</t>
  </si>
  <si>
    <t>Total initial permits issued 3-YR</t>
  </si>
  <si>
    <t>New sources 3-YR ICR period</t>
  </si>
  <si>
    <t>REVISIONS</t>
  </si>
  <si>
    <t>YR 1</t>
  </si>
  <si>
    <t>YR 2</t>
  </si>
  <si>
    <t>YR 3</t>
  </si>
  <si>
    <t>ICR YEAR</t>
  </si>
  <si>
    <t>POPULATION</t>
  </si>
  <si>
    <t>TOTAL ISSUED</t>
  </si>
  <si>
    <t>NEW SOURCES</t>
  </si>
  <si>
    <t xml:space="preserve">ADD'NL ISSUED </t>
  </si>
  <si>
    <t>DATE or INTERVAL</t>
  </si>
  <si>
    <t>BACKLOG*</t>
  </si>
  <si>
    <t>RENEWALS</t>
  </si>
  <si>
    <t>MODIFICATIONS</t>
  </si>
  <si>
    <t xml:space="preserve">Issued single </t>
  </si>
  <si>
    <t>Issued general</t>
  </si>
  <si>
    <t>Rnw+R-Bcklg</t>
  </si>
  <si>
    <t>R-single</t>
  </si>
  <si>
    <t>R-general</t>
  </si>
  <si>
    <t>includes renewal-backlog</t>
  </si>
  <si>
    <t>total issued</t>
  </si>
  <si>
    <t>population</t>
  </si>
  <si>
    <t xml:space="preserve">issued single </t>
  </si>
  <si>
    <t>3-YR Burden/ Cost</t>
  </si>
  <si>
    <t>issued single</t>
  </si>
  <si>
    <t>ren-application for general permit</t>
  </si>
  <si>
    <t>Burden and Cost for ICR period</t>
  </si>
  <si>
    <t>Other permit renewal activities</t>
  </si>
  <si>
    <t>Florida</t>
  </si>
  <si>
    <t>Wisconsin</t>
  </si>
  <si>
    <t>Missouri</t>
  </si>
  <si>
    <t>Massachusetts</t>
  </si>
  <si>
    <t>Colorado</t>
  </si>
  <si>
    <t>Pennsylvania</t>
  </si>
  <si>
    <t>IG REPORT</t>
  </si>
  <si>
    <t>By Narch-10 (or ICR YR-3)</t>
  </si>
  <si>
    <t>By March-09 (or ICR YR-2)</t>
  </si>
  <si>
    <t>By March-08 (or ICR YR-1)</t>
  </si>
  <si>
    <t>By September-06</t>
  </si>
  <si>
    <t>By Mar-07/ (Sep-06 to Mar-07)</t>
  </si>
  <si>
    <t xml:space="preserve">Note:  Population = total # subject to permitting.   Backlog = unissued permits.   Additional issued = New sources + some of backlog.      </t>
  </si>
  <si>
    <t>INITIAL PERMIT ISSUANCE</t>
  </si>
  <si>
    <t>Newly Expired</t>
  </si>
  <si>
    <t>Exp + Backlog</t>
  </si>
  <si>
    <t>Single Permit</t>
  </si>
  <si>
    <t>General Permits</t>
  </si>
  <si>
    <t>Renewals YR 1</t>
  </si>
  <si>
    <t>Renewals YR 2</t>
  </si>
  <si>
    <t>Renewals YR 3</t>
  </si>
  <si>
    <t xml:space="preserve">Total Renewals - End of ICR:  </t>
  </si>
  <si>
    <t>revisions Yr-1 (single issued by Mar-07)</t>
  </si>
  <si>
    <t>Assumption:  Revisons = 10% of single permits, 50% of Minor and Admin Amend.</t>
  </si>
  <si>
    <t>hrs / perm.</t>
  </si>
  <si>
    <t>permits</t>
  </si>
  <si>
    <t>Assumption</t>
  </si>
  <si>
    <t>total hrs</t>
  </si>
  <si>
    <t>cost (t hrs / $/hr)</t>
  </si>
  <si>
    <t>Increase</t>
  </si>
  <si>
    <t>Per Source</t>
  </si>
  <si>
    <t>All Sources</t>
  </si>
  <si>
    <t>All source + all Pas</t>
  </si>
  <si>
    <t>All sources + Pas + EPA</t>
  </si>
  <si>
    <t>SOURCE BURDEN</t>
  </si>
  <si>
    <t>50% single only</t>
  </si>
  <si>
    <t>total number of sources- Mar 07</t>
  </si>
  <si>
    <t>total permits issued- Mar 07</t>
  </si>
  <si>
    <t>permits backlog as of Mar 07</t>
  </si>
  <si>
    <t>Renewal backlog Sep-06</t>
  </si>
  <si>
    <t>Assumes 29 backlog + 25 new source permits issued dueing this period</t>
  </si>
  <si>
    <t>renewal backlog Sep-06</t>
  </si>
  <si>
    <t>Total permits issued as of Mar-07</t>
  </si>
  <si>
    <t>Source population as of Mar-07</t>
  </si>
  <si>
    <t>Backlog of initial permits as of Mar 07</t>
  </si>
  <si>
    <t>renewal backlog Mar 07</t>
  </si>
  <si>
    <t>total 3 yr</t>
  </si>
  <si>
    <t>Ann avg</t>
  </si>
  <si>
    <t>Src + PA</t>
  </si>
  <si>
    <t>Consultation w PA (single permits)</t>
  </si>
  <si>
    <t>new appl</t>
  </si>
  <si>
    <t>2% new permit</t>
  </si>
  <si>
    <t>50%new permits</t>
  </si>
  <si>
    <t>50% effect perm</t>
  </si>
  <si>
    <t>Assumption: all initial permits in backlog as of Oct-06 are single</t>
  </si>
  <si>
    <t xml:space="preserve">Assumption:  Renewal permits are both single and general permits; General Permits are 16 % of total (single 84%) </t>
  </si>
  <si>
    <t>AVERAGE ANNUAL BURDEN</t>
  </si>
  <si>
    <t xml:space="preserve">                      Activity</t>
  </si>
  <si>
    <t>hrs/activ</t>
  </si>
  <si>
    <t>Cost</t>
  </si>
  <si>
    <t xml:space="preserve">               Activity</t>
  </si>
  <si>
    <t>Annual cost / source</t>
  </si>
  <si>
    <t>tot hrs</t>
  </si>
  <si>
    <t>Single</t>
  </si>
  <si>
    <t>General</t>
  </si>
  <si>
    <t>Additional Permits - 3 Years</t>
  </si>
  <si>
    <t>Additional Permits - Each Year</t>
  </si>
  <si>
    <t>single effective</t>
  </si>
  <si>
    <t>gen effect</t>
  </si>
  <si>
    <t>total init</t>
  </si>
  <si>
    <t>ASSUMPTIONS</t>
  </si>
  <si>
    <t xml:space="preserve">total effet </t>
  </si>
  <si>
    <t>additional permits by Mar-08</t>
  </si>
  <si>
    <t>additional permits by Mar-09</t>
  </si>
  <si>
    <t>additional permits by Mar-10</t>
  </si>
  <si>
    <t>hrs/activity</t>
  </si>
  <si>
    <t>revisions Yr-1 (single issued by Mar 07)</t>
  </si>
  <si>
    <t>Assumption:  Only single permits existing at beginning of year will be revised</t>
  </si>
  <si>
    <t>3-YR avg per respndt</t>
  </si>
  <si>
    <t>Annual avg per respndt</t>
  </si>
  <si>
    <t>new permits (bck+new)</t>
  </si>
  <si>
    <t>DRAFT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</si>
</sst>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#,##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2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" fontId="0" fillId="0" borderId="1" xfId="0" applyNumberFormat="1" applyBorder="1" applyAlignment="1" quotePrefix="1">
      <alignment/>
    </xf>
    <xf numFmtId="41" fontId="0" fillId="0" borderId="1" xfId="0" applyNumberFormat="1" applyBorder="1" applyAlignment="1">
      <alignment horizontal="right"/>
    </xf>
    <xf numFmtId="41" fontId="0" fillId="0" borderId="0" xfId="0" applyNumberFormat="1" applyAlignment="1" quotePrefix="1">
      <alignment/>
    </xf>
    <xf numFmtId="49" fontId="0" fillId="0" borderId="0" xfId="0" applyNumberFormat="1" applyAlignment="1">
      <alignment wrapText="1"/>
    </xf>
    <xf numFmtId="41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3" max="3" width="12.00390625" style="0" customWidth="1"/>
    <col min="4" max="4" width="9.421875" style="0" bestFit="1" customWidth="1"/>
    <col min="5" max="5" width="9.7109375" style="0" customWidth="1"/>
    <col min="6" max="6" width="14.421875" style="0" customWidth="1"/>
    <col min="7" max="7" width="20.57421875" style="0" customWidth="1"/>
    <col min="8" max="8" width="12.421875" style="0" bestFit="1" customWidth="1"/>
    <col min="9" max="9" width="16.140625" style="0" customWidth="1"/>
    <col min="11" max="11" width="10.421875" style="0" bestFit="1" customWidth="1"/>
    <col min="12" max="12" width="11.8515625" style="0" bestFit="1" customWidth="1"/>
    <col min="13" max="13" width="12.00390625" style="0" bestFit="1" customWidth="1"/>
    <col min="14" max="14" width="10.28125" style="0" bestFit="1" customWidth="1"/>
  </cols>
  <sheetData>
    <row r="1" ht="30">
      <c r="A1" s="33" t="s">
        <v>185</v>
      </c>
    </row>
    <row r="2" ht="12.75">
      <c r="A2" s="29" t="s">
        <v>138</v>
      </c>
    </row>
    <row r="3" ht="12.75">
      <c r="A3" s="29"/>
    </row>
    <row r="4" spans="1:12" ht="12.75">
      <c r="A4" t="s">
        <v>161</v>
      </c>
      <c r="E4" t="s">
        <v>128</v>
      </c>
      <c r="F4" t="s">
        <v>129</v>
      </c>
      <c r="G4" t="s">
        <v>130</v>
      </c>
      <c r="H4" t="s">
        <v>131</v>
      </c>
      <c r="I4" t="s">
        <v>132</v>
      </c>
      <c r="L4" t="s">
        <v>7</v>
      </c>
    </row>
    <row r="5" spans="1:9" ht="12.75">
      <c r="A5" t="s">
        <v>0</v>
      </c>
      <c r="E5" s="4">
        <v>300</v>
      </c>
      <c r="F5" s="4">
        <v>150</v>
      </c>
      <c r="G5" s="4" t="s">
        <v>154</v>
      </c>
      <c r="H5" s="4">
        <f aca="true" t="shared" si="0" ref="H5:H20">+E5*F5</f>
        <v>45000</v>
      </c>
      <c r="I5" s="5">
        <f>143*H5</f>
        <v>6435000</v>
      </c>
    </row>
    <row r="6" spans="1:9" ht="12.75">
      <c r="A6" t="s">
        <v>153</v>
      </c>
      <c r="E6" s="4">
        <v>40</v>
      </c>
      <c r="F6" s="4">
        <v>323</v>
      </c>
      <c r="G6" s="4" t="s">
        <v>184</v>
      </c>
      <c r="H6" s="4">
        <f t="shared" si="0"/>
        <v>12920</v>
      </c>
      <c r="I6" s="5">
        <f aca="true" t="shared" si="1" ref="I6:I20">38*H6</f>
        <v>490960</v>
      </c>
    </row>
    <row r="7" spans="1:10" ht="12.75">
      <c r="A7" t="s">
        <v>1</v>
      </c>
      <c r="E7" s="4">
        <v>40</v>
      </c>
      <c r="F7" s="4">
        <f>ROUND(0.5*(F6),0)</f>
        <v>162</v>
      </c>
      <c r="G7" s="4" t="s">
        <v>156</v>
      </c>
      <c r="H7" s="4">
        <f t="shared" si="0"/>
        <v>6480</v>
      </c>
      <c r="I7" s="5">
        <f t="shared" si="1"/>
        <v>246240</v>
      </c>
      <c r="J7" s="6"/>
    </row>
    <row r="8" spans="1:9" ht="12.75">
      <c r="A8" t="s">
        <v>2</v>
      </c>
      <c r="E8" s="4">
        <v>10</v>
      </c>
      <c r="F8" s="4">
        <f>ROUND((F6)/50,0)</f>
        <v>6</v>
      </c>
      <c r="G8" s="2" t="s">
        <v>155</v>
      </c>
      <c r="H8" s="4">
        <f t="shared" si="0"/>
        <v>60</v>
      </c>
      <c r="I8" s="5">
        <f t="shared" si="1"/>
        <v>2280</v>
      </c>
    </row>
    <row r="9" spans="1:13" ht="12.75">
      <c r="A9" t="s">
        <v>54</v>
      </c>
      <c r="E9" s="4">
        <v>200</v>
      </c>
      <c r="F9" s="4">
        <f>ROUND(0.5*(H34),0)</f>
        <v>8248</v>
      </c>
      <c r="G9" s="10" t="s">
        <v>157</v>
      </c>
      <c r="H9" s="4">
        <f t="shared" si="0"/>
        <v>1649600</v>
      </c>
      <c r="I9" s="5">
        <f t="shared" si="1"/>
        <v>62684800</v>
      </c>
      <c r="K9" s="4">
        <f>+E54/2</f>
        <v>6914</v>
      </c>
      <c r="L9" s="4">
        <f>+K9*E9</f>
        <v>1382800</v>
      </c>
      <c r="M9" t="s">
        <v>139</v>
      </c>
    </row>
    <row r="10" spans="2:12" ht="12.75">
      <c r="B10" t="s">
        <v>52</v>
      </c>
      <c r="E10" s="4">
        <v>200</v>
      </c>
      <c r="F10" s="4">
        <f>ROUND(0.5*(H35),0)</f>
        <v>8302</v>
      </c>
      <c r="G10" s="11"/>
      <c r="H10" s="4">
        <f t="shared" si="0"/>
        <v>1660400</v>
      </c>
      <c r="I10" s="5">
        <f t="shared" si="1"/>
        <v>63095200</v>
      </c>
      <c r="K10" s="4">
        <f>+E55/2</f>
        <v>6968</v>
      </c>
      <c r="L10" s="4">
        <f>+K10*E10</f>
        <v>1393600</v>
      </c>
    </row>
    <row r="11" spans="2:12" ht="12.75">
      <c r="B11" t="s">
        <v>53</v>
      </c>
      <c r="E11" s="4">
        <v>200</v>
      </c>
      <c r="F11" s="4">
        <f>ROUND(0.5*(H36),0)</f>
        <v>8356</v>
      </c>
      <c r="G11" s="11"/>
      <c r="H11" s="4">
        <f t="shared" si="0"/>
        <v>1671200</v>
      </c>
      <c r="I11" s="5">
        <f t="shared" si="1"/>
        <v>63505600</v>
      </c>
      <c r="K11" s="4">
        <f>+E56/2</f>
        <v>7022</v>
      </c>
      <c r="L11" s="4">
        <f>+K11*E11</f>
        <v>1404400</v>
      </c>
    </row>
    <row r="12" spans="1:14" ht="27.75" customHeight="1">
      <c r="A12" s="32" t="s">
        <v>51</v>
      </c>
      <c r="B12" s="32"/>
      <c r="C12" s="32"/>
      <c r="E12" s="4">
        <v>80</v>
      </c>
      <c r="F12" s="4">
        <f>+H34</f>
        <v>16495</v>
      </c>
      <c r="G12" s="11" t="s">
        <v>34</v>
      </c>
      <c r="H12" s="4">
        <f t="shared" si="0"/>
        <v>1319600</v>
      </c>
      <c r="I12" s="5">
        <f t="shared" si="1"/>
        <v>50144800</v>
      </c>
      <c r="L12" s="4">
        <f>SUM(L9:L11)</f>
        <v>4180800</v>
      </c>
      <c r="M12" s="4">
        <f>+H9+H10+H11</f>
        <v>4981200</v>
      </c>
      <c r="N12" s="4">
        <f>+M12-L12</f>
        <v>800400</v>
      </c>
    </row>
    <row r="13" spans="2:9" ht="12.75">
      <c r="B13" t="s">
        <v>52</v>
      </c>
      <c r="E13" s="4">
        <v>80</v>
      </c>
      <c r="F13" s="4">
        <f>+H35</f>
        <v>16603</v>
      </c>
      <c r="G13" s="11"/>
      <c r="H13" s="4">
        <f t="shared" si="0"/>
        <v>1328240</v>
      </c>
      <c r="I13" s="5">
        <f t="shared" si="1"/>
        <v>50473120</v>
      </c>
    </row>
    <row r="14" spans="2:9" ht="12.75">
      <c r="B14" t="s">
        <v>53</v>
      </c>
      <c r="E14" s="4">
        <v>80</v>
      </c>
      <c r="F14" s="4">
        <f>+H36</f>
        <v>16711</v>
      </c>
      <c r="G14" s="11"/>
      <c r="H14" s="4">
        <f t="shared" si="0"/>
        <v>1336880</v>
      </c>
      <c r="I14" s="5">
        <f t="shared" si="1"/>
        <v>50801440</v>
      </c>
    </row>
    <row r="15" spans="1:9" ht="12.75">
      <c r="A15" t="s">
        <v>56</v>
      </c>
      <c r="E15" s="4">
        <v>80</v>
      </c>
      <c r="F15" s="4">
        <f>+ROUND(G57,0)</f>
        <v>4181</v>
      </c>
      <c r="G15" s="4"/>
      <c r="H15" s="4">
        <f t="shared" si="0"/>
        <v>334480</v>
      </c>
      <c r="I15" s="5">
        <f t="shared" si="1"/>
        <v>12710240</v>
      </c>
    </row>
    <row r="16" spans="1:9" ht="12.75">
      <c r="A16" t="s">
        <v>57</v>
      </c>
      <c r="E16" s="4">
        <v>40</v>
      </c>
      <c r="F16" s="4">
        <f>+ROUND(H57,0)</f>
        <v>20904</v>
      </c>
      <c r="G16" s="4"/>
      <c r="H16" s="4">
        <f t="shared" si="0"/>
        <v>836160</v>
      </c>
      <c r="I16" s="5">
        <f t="shared" si="1"/>
        <v>31774080</v>
      </c>
    </row>
    <row r="17" spans="1:9" ht="12.75">
      <c r="A17" t="s">
        <v>55</v>
      </c>
      <c r="E17" s="4">
        <v>8</v>
      </c>
      <c r="F17" s="4">
        <f>+ROUND(I57,0)</f>
        <v>20904</v>
      </c>
      <c r="G17" s="4"/>
      <c r="H17" s="4">
        <f t="shared" si="0"/>
        <v>167232</v>
      </c>
      <c r="I17" s="5">
        <f t="shared" si="1"/>
        <v>6354816</v>
      </c>
    </row>
    <row r="18" spans="1:9" ht="12.75">
      <c r="A18" t="s">
        <v>101</v>
      </c>
      <c r="E18" s="4">
        <v>2</v>
      </c>
      <c r="F18" s="4">
        <f>I47</f>
        <v>1867</v>
      </c>
      <c r="G18" s="4"/>
      <c r="H18" s="4">
        <f t="shared" si="0"/>
        <v>3734</v>
      </c>
      <c r="I18" s="5">
        <f t="shared" si="1"/>
        <v>141892</v>
      </c>
    </row>
    <row r="19" spans="1:9" ht="12.75">
      <c r="A19" t="s">
        <v>6</v>
      </c>
      <c r="E19" s="4">
        <v>200</v>
      </c>
      <c r="F19" s="4">
        <f>+H47</f>
        <v>9801</v>
      </c>
      <c r="G19" s="4"/>
      <c r="H19" s="4">
        <f t="shared" si="0"/>
        <v>1960200</v>
      </c>
      <c r="I19" s="5">
        <f t="shared" si="1"/>
        <v>74487600</v>
      </c>
    </row>
    <row r="20" spans="1:9" ht="12.75">
      <c r="A20" t="s">
        <v>103</v>
      </c>
      <c r="E20" s="4">
        <v>20</v>
      </c>
      <c r="F20" s="4">
        <f>+F19</f>
        <v>9801</v>
      </c>
      <c r="G20" s="4"/>
      <c r="H20" s="4">
        <f t="shared" si="0"/>
        <v>196020</v>
      </c>
      <c r="I20" s="5">
        <f t="shared" si="1"/>
        <v>7448760</v>
      </c>
    </row>
    <row r="21" spans="1:11" ht="12.75">
      <c r="A21" t="s">
        <v>102</v>
      </c>
      <c r="G21" s="4"/>
      <c r="H21" s="4">
        <f>SUM(H5:H20)</f>
        <v>12528206</v>
      </c>
      <c r="I21" s="5">
        <f>+SUM(I5:I20)</f>
        <v>480796828</v>
      </c>
      <c r="K21" s="4"/>
    </row>
    <row r="22" spans="7:11" ht="12.75">
      <c r="G22" s="4"/>
      <c r="H22" s="4"/>
      <c r="I22" s="5"/>
      <c r="K22" s="4"/>
    </row>
    <row r="23" spans="1:6" ht="12.75">
      <c r="A23" s="29" t="s">
        <v>160</v>
      </c>
      <c r="E23" s="4"/>
      <c r="F23" s="4"/>
    </row>
    <row r="24" spans="1:8" ht="12.75">
      <c r="A24" t="s">
        <v>134</v>
      </c>
      <c r="E24" s="4"/>
      <c r="F24" s="4"/>
      <c r="H24" s="4">
        <f>+H25/D37</f>
        <v>248.30947001228841</v>
      </c>
    </row>
    <row r="25" spans="1:9" ht="12.75">
      <c r="A25" t="s">
        <v>135</v>
      </c>
      <c r="E25" s="4"/>
      <c r="F25" s="4"/>
      <c r="H25" s="4">
        <f>+H21/3</f>
        <v>4176068.6666666665</v>
      </c>
      <c r="I25" s="5">
        <f>+I21/3</f>
        <v>160265609.33333334</v>
      </c>
    </row>
    <row r="26" spans="1:8" ht="12.75">
      <c r="A26" t="s">
        <v>136</v>
      </c>
      <c r="E26" s="4"/>
      <c r="F26" s="4"/>
      <c r="H26" s="4">
        <f>+H25+PA!G23</f>
        <v>5316138.333333333</v>
      </c>
    </row>
    <row r="27" spans="1:8" ht="12.75">
      <c r="A27" t="s">
        <v>137</v>
      </c>
      <c r="E27" s="4"/>
      <c r="F27" s="4"/>
      <c r="H27" s="4">
        <f>+H25+PA!G23+EPA!G13</f>
        <v>5343927</v>
      </c>
    </row>
    <row r="28" spans="1:8" ht="12.75">
      <c r="A28" t="s">
        <v>133</v>
      </c>
      <c r="E28" s="4"/>
      <c r="F28" s="4"/>
      <c r="H28" s="4">
        <f>+H26-5137824</f>
        <v>178314.33333333302</v>
      </c>
    </row>
    <row r="29" spans="5:7" ht="12.75">
      <c r="E29" s="4"/>
      <c r="F29" s="4"/>
      <c r="G29" s="4"/>
    </row>
    <row r="30" spans="5:7" ht="12.75">
      <c r="E30" s="4"/>
      <c r="F30" s="4"/>
      <c r="G30" s="4"/>
    </row>
    <row r="31" spans="1:7" ht="12.75">
      <c r="A31" s="30" t="s">
        <v>117</v>
      </c>
      <c r="E31" s="4"/>
      <c r="G31" s="4"/>
    </row>
    <row r="32" spans="1:8" ht="12.75">
      <c r="A32" s="14" t="s">
        <v>86</v>
      </c>
      <c r="B32" s="16"/>
      <c r="C32" s="17"/>
      <c r="D32" s="14" t="s">
        <v>82</v>
      </c>
      <c r="E32" s="15" t="s">
        <v>84</v>
      </c>
      <c r="F32" s="15" t="s">
        <v>87</v>
      </c>
      <c r="G32" s="14" t="s">
        <v>85</v>
      </c>
      <c r="H32" s="14" t="s">
        <v>83</v>
      </c>
    </row>
    <row r="33" spans="1:12" ht="12.75">
      <c r="A33" s="14" t="s">
        <v>114</v>
      </c>
      <c r="B33" s="16"/>
      <c r="C33" s="17"/>
      <c r="D33" s="15">
        <v>16643</v>
      </c>
      <c r="E33" s="14"/>
      <c r="F33" s="15">
        <f>+D33-H33</f>
        <v>202</v>
      </c>
      <c r="G33" s="14"/>
      <c r="H33" s="15">
        <v>16441</v>
      </c>
      <c r="L33" s="4"/>
    </row>
    <row r="34" spans="1:12" ht="12.75">
      <c r="A34" s="18" t="s">
        <v>115</v>
      </c>
      <c r="B34" s="14"/>
      <c r="C34" s="14"/>
      <c r="D34" s="15">
        <f>D33+E34</f>
        <v>16668</v>
      </c>
      <c r="E34" s="15">
        <v>25</v>
      </c>
      <c r="F34" s="15">
        <f>+D34-H34</f>
        <v>173</v>
      </c>
      <c r="G34" s="15">
        <v>54</v>
      </c>
      <c r="H34" s="15">
        <f>+H33+G34</f>
        <v>16495</v>
      </c>
      <c r="I34" t="s">
        <v>144</v>
      </c>
      <c r="K34" s="6"/>
      <c r="L34" s="6"/>
    </row>
    <row r="35" spans="1:14" ht="12.75">
      <c r="A35" s="18" t="s">
        <v>113</v>
      </c>
      <c r="B35" s="14"/>
      <c r="C35" s="14"/>
      <c r="D35" s="15">
        <f>+D34+E35</f>
        <v>16718</v>
      </c>
      <c r="E35" s="14">
        <v>50</v>
      </c>
      <c r="F35" s="15">
        <f>+D35-H35</f>
        <v>115</v>
      </c>
      <c r="G35" s="15">
        <v>108</v>
      </c>
      <c r="H35" s="19">
        <f>+H34+G35</f>
        <v>16603</v>
      </c>
      <c r="K35" s="6"/>
      <c r="L35" s="6"/>
      <c r="M35" s="6"/>
      <c r="N35" s="4"/>
    </row>
    <row r="36" spans="1:12" ht="12.75">
      <c r="A36" s="18" t="s">
        <v>112</v>
      </c>
      <c r="B36" s="14"/>
      <c r="C36" s="14"/>
      <c r="D36" s="15">
        <f>+D35+E36</f>
        <v>16768</v>
      </c>
      <c r="E36" s="14">
        <v>50</v>
      </c>
      <c r="F36" s="15">
        <f>+D36-H36</f>
        <v>57</v>
      </c>
      <c r="G36" s="15">
        <v>108</v>
      </c>
      <c r="H36" s="15">
        <f>+H35+G36</f>
        <v>16711</v>
      </c>
      <c r="K36" s="6"/>
      <c r="L36" s="6"/>
    </row>
    <row r="37" spans="1:12" ht="12.75">
      <c r="A37" s="18" t="s">
        <v>111</v>
      </c>
      <c r="B37" s="14"/>
      <c r="C37" s="14"/>
      <c r="D37" s="15">
        <f>+D36+E37</f>
        <v>16818</v>
      </c>
      <c r="E37" s="14">
        <v>50</v>
      </c>
      <c r="F37" s="15">
        <f>+D37-H37</f>
        <v>0</v>
      </c>
      <c r="G37" s="15">
        <v>107</v>
      </c>
      <c r="H37" s="15">
        <f>+H36+G37</f>
        <v>16818</v>
      </c>
      <c r="K37" s="6"/>
      <c r="L37" s="6"/>
    </row>
    <row r="38" spans="1:12" ht="12.75">
      <c r="A38" s="28" t="s">
        <v>158</v>
      </c>
      <c r="B38" s="27"/>
      <c r="C38" s="27"/>
      <c r="D38" s="22"/>
      <c r="E38" s="27"/>
      <c r="F38" s="22"/>
      <c r="G38" s="22"/>
      <c r="H38" s="22"/>
      <c r="K38" s="6"/>
      <c r="L38" s="6"/>
    </row>
    <row r="39" spans="1:12" ht="12.75">
      <c r="A39" s="28" t="s">
        <v>116</v>
      </c>
      <c r="B39" s="27"/>
      <c r="C39" s="27"/>
      <c r="D39" s="22"/>
      <c r="E39" s="27"/>
      <c r="F39" s="22"/>
      <c r="G39" s="22"/>
      <c r="H39" s="22"/>
      <c r="K39" s="6"/>
      <c r="L39" s="6"/>
    </row>
    <row r="40" spans="1:12" ht="12.75">
      <c r="A40" s="26"/>
      <c r="B40" s="27"/>
      <c r="C40" s="27"/>
      <c r="D40" s="22"/>
      <c r="E40" s="27"/>
      <c r="F40" s="22"/>
      <c r="G40" s="22"/>
      <c r="H40" s="22"/>
      <c r="K40" s="6"/>
      <c r="L40" s="6"/>
    </row>
    <row r="41" ht="12.75">
      <c r="I41" s="4"/>
    </row>
    <row r="42" spans="1:10" ht="12.75">
      <c r="A42" s="31" t="s">
        <v>88</v>
      </c>
      <c r="F42" s="4"/>
      <c r="H42" s="4"/>
      <c r="J42" s="4"/>
    </row>
    <row r="43" spans="1:9" ht="12.75">
      <c r="A43" t="s">
        <v>143</v>
      </c>
      <c r="D43" s="13">
        <f>8552</f>
        <v>8552</v>
      </c>
      <c r="F43" s="1" t="s">
        <v>118</v>
      </c>
      <c r="G43" s="8" t="s">
        <v>119</v>
      </c>
      <c r="H43" s="1" t="s">
        <v>120</v>
      </c>
      <c r="I43" s="8" t="s">
        <v>121</v>
      </c>
    </row>
    <row r="44" spans="1:9" ht="12.75">
      <c r="A44" t="s">
        <v>122</v>
      </c>
      <c r="F44" s="4">
        <v>1563</v>
      </c>
      <c r="G44" s="4">
        <f>2851+F44</f>
        <v>4414</v>
      </c>
      <c r="H44" s="8">
        <f>+ROUND(0.84*G44,0)</f>
        <v>3708</v>
      </c>
      <c r="I44" s="8">
        <f>+G44-H44</f>
        <v>706</v>
      </c>
    </row>
    <row r="45" spans="1:9" ht="12.75">
      <c r="A45" t="s">
        <v>123</v>
      </c>
      <c r="F45" s="3">
        <v>859</v>
      </c>
      <c r="G45" s="3">
        <f>2851+F45</f>
        <v>3710</v>
      </c>
      <c r="H45" s="8">
        <f>+ROUND(0.84*G45,0)</f>
        <v>3116</v>
      </c>
      <c r="I45" s="8">
        <f>+G45-H45</f>
        <v>594</v>
      </c>
    </row>
    <row r="46" spans="1:9" ht="12.75">
      <c r="A46" t="s">
        <v>124</v>
      </c>
      <c r="F46" s="3">
        <v>694</v>
      </c>
      <c r="G46" s="3">
        <f>2850+F46</f>
        <v>3544</v>
      </c>
      <c r="H46" s="8">
        <f>+ROUND(0.84*G46,0)</f>
        <v>2977</v>
      </c>
      <c r="I46" s="8">
        <f>+G46-H46</f>
        <v>567</v>
      </c>
    </row>
    <row r="47" spans="1:9" ht="12.75">
      <c r="A47" t="s">
        <v>125</v>
      </c>
      <c r="F47" s="3"/>
      <c r="G47" s="4">
        <f>SUM(G44:G46)</f>
        <v>11668</v>
      </c>
      <c r="H47" s="4">
        <f>SUM(H44:H46)</f>
        <v>9801</v>
      </c>
      <c r="I47" s="4">
        <f>SUM(I44:I46)</f>
        <v>1867</v>
      </c>
    </row>
    <row r="48" spans="1:9" ht="12.75">
      <c r="A48" t="s">
        <v>159</v>
      </c>
      <c r="F48" s="3"/>
      <c r="G48" s="4"/>
      <c r="H48" s="4"/>
      <c r="I48" s="4"/>
    </row>
    <row r="49" spans="6:9" ht="12.75">
      <c r="F49" s="3"/>
      <c r="G49" s="4"/>
      <c r="H49" s="4"/>
      <c r="I49" s="4"/>
    </row>
    <row r="50" spans="6:9" ht="12.75">
      <c r="F50" s="3"/>
      <c r="G50" s="4"/>
      <c r="H50" s="4"/>
      <c r="I50" s="4"/>
    </row>
    <row r="51" spans="1:8" ht="12.75">
      <c r="A51" s="29" t="s">
        <v>89</v>
      </c>
      <c r="G51" s="1" t="s">
        <v>11</v>
      </c>
      <c r="H51" s="1" t="s">
        <v>12</v>
      </c>
    </row>
    <row r="52" spans="5:9" ht="12.75">
      <c r="E52" s="23" t="s">
        <v>90</v>
      </c>
      <c r="F52" s="23" t="s">
        <v>91</v>
      </c>
      <c r="G52" s="2">
        <v>0.1</v>
      </c>
      <c r="H52" s="2">
        <v>0.5</v>
      </c>
      <c r="I52" s="1" t="s">
        <v>13</v>
      </c>
    </row>
    <row r="53" spans="5:9" ht="12.75">
      <c r="E53" s="22"/>
      <c r="F53" s="22"/>
      <c r="I53" s="2">
        <v>0.5</v>
      </c>
    </row>
    <row r="54" spans="1:11" ht="12.75">
      <c r="A54" t="s">
        <v>126</v>
      </c>
      <c r="E54" s="22">
        <f>+H34-F54</f>
        <v>13828</v>
      </c>
      <c r="F54" s="22">
        <v>2667</v>
      </c>
      <c r="G54" s="3">
        <f>+ROUND(0.1*E54,0)</f>
        <v>1383</v>
      </c>
      <c r="H54" s="3">
        <f>+ROUND(E54*0.5,0)</f>
        <v>6914</v>
      </c>
      <c r="I54" s="3">
        <f>+H54</f>
        <v>6914</v>
      </c>
      <c r="K54" s="4"/>
    </row>
    <row r="55" spans="1:9" ht="12.75">
      <c r="A55" t="s">
        <v>9</v>
      </c>
      <c r="E55" s="22">
        <f>+H35-F55</f>
        <v>13936</v>
      </c>
      <c r="F55" s="22">
        <v>2667</v>
      </c>
      <c r="G55" s="3">
        <f>+ROUND(0.1*E55,0)</f>
        <v>1394</v>
      </c>
      <c r="H55" s="3">
        <f>+ROUND(E55*0.5,0)</f>
        <v>6968</v>
      </c>
      <c r="I55" s="3">
        <f>+H55</f>
        <v>6968</v>
      </c>
    </row>
    <row r="56" spans="1:9" ht="12.75">
      <c r="A56" t="s">
        <v>10</v>
      </c>
      <c r="E56" s="22">
        <f>+H36-F56</f>
        <v>14044</v>
      </c>
      <c r="F56" s="22">
        <v>2667</v>
      </c>
      <c r="G56" s="3">
        <f>+ROUND(0.1*E56,0)</f>
        <v>1404</v>
      </c>
      <c r="H56" s="3">
        <f>+ROUND(E56*0.5,0)</f>
        <v>7022</v>
      </c>
      <c r="I56" s="3">
        <f>+H56</f>
        <v>7022</v>
      </c>
    </row>
    <row r="57" spans="5:9" ht="12.75">
      <c r="E57" s="22">
        <f>+H37-F57</f>
        <v>14151</v>
      </c>
      <c r="F57" s="22">
        <v>2667</v>
      </c>
      <c r="G57" s="4">
        <f>SUM(G54:G56)</f>
        <v>4181</v>
      </c>
      <c r="H57" s="4">
        <f>SUM(H54:H56)</f>
        <v>20904</v>
      </c>
      <c r="I57" s="4">
        <f>+SUM(I54:I56)</f>
        <v>20904</v>
      </c>
    </row>
    <row r="58" ht="12.75">
      <c r="G58" t="s">
        <v>50</v>
      </c>
    </row>
    <row r="59" ht="12.75">
      <c r="A59" t="s">
        <v>127</v>
      </c>
    </row>
    <row r="64" ht="12.75">
      <c r="K64" s="7"/>
    </row>
    <row r="65" ht="12.75">
      <c r="K65" s="6"/>
    </row>
  </sheetData>
  <mergeCells count="1">
    <mergeCell ref="A12:C12"/>
  </mergeCells>
  <printOptions/>
  <pageMargins left="0.2" right="0.19" top="1" bottom="1" header="0.5" footer="0.5"/>
  <pageSetup fitToHeight="1" fitToWidth="1" horizontalDpi="600" verticalDpi="600" orientation="portrait" scale="81" r:id="rId1"/>
  <colBreaks count="1" manualBreakCount="1">
    <brk id="9" min="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2" sqref="A2"/>
    </sheetView>
  </sheetViews>
  <sheetFormatPr defaultColWidth="9.140625" defaultRowHeight="12.75"/>
  <cols>
    <col min="1" max="1" width="10.28125" style="0" bestFit="1" customWidth="1"/>
    <col min="2" max="2" width="10.57421875" style="0" customWidth="1"/>
    <col min="4" max="4" width="10.28125" style="0" bestFit="1" customWidth="1"/>
    <col min="5" max="5" width="10.28125" style="0" customWidth="1"/>
    <col min="7" max="7" width="12.8515625" style="0" customWidth="1"/>
    <col min="8" max="8" width="14.57421875" style="0" customWidth="1"/>
    <col min="12" max="12" width="11.140625" style="0" bestFit="1" customWidth="1"/>
  </cols>
  <sheetData>
    <row r="1" spans="1:3" ht="30">
      <c r="A1" s="33" t="s">
        <v>185</v>
      </c>
      <c r="C1" s="29" t="s">
        <v>32</v>
      </c>
    </row>
    <row r="3" spans="1:8" ht="12.75">
      <c r="A3" t="s">
        <v>164</v>
      </c>
      <c r="D3" t="s">
        <v>162</v>
      </c>
      <c r="E3" t="s">
        <v>8</v>
      </c>
      <c r="G3" t="s">
        <v>166</v>
      </c>
      <c r="H3" t="s">
        <v>163</v>
      </c>
    </row>
    <row r="4" spans="1:8" ht="12.75">
      <c r="A4" t="s">
        <v>18</v>
      </c>
      <c r="D4" s="4">
        <v>3500</v>
      </c>
      <c r="F4" s="4">
        <v>112</v>
      </c>
      <c r="G4" s="4">
        <f>+D4*F4*3</f>
        <v>1176000</v>
      </c>
      <c r="H4" s="5">
        <f aca="true" t="shared" si="0" ref="H4:H21">45*G4</f>
        <v>52920000</v>
      </c>
    </row>
    <row r="5" spans="1:8" ht="12.75">
      <c r="A5" t="s">
        <v>19</v>
      </c>
      <c r="D5" s="4">
        <v>100</v>
      </c>
      <c r="E5" s="4">
        <f>F32</f>
        <v>150</v>
      </c>
      <c r="F5" s="4"/>
      <c r="G5" s="4">
        <f aca="true" t="shared" si="1" ref="G5:G11">+D5*E5</f>
        <v>15000</v>
      </c>
      <c r="H5" s="5">
        <f t="shared" si="0"/>
        <v>675000</v>
      </c>
    </row>
    <row r="6" spans="1:8" ht="12.75">
      <c r="A6" t="s">
        <v>20</v>
      </c>
      <c r="D6" s="4">
        <v>150</v>
      </c>
      <c r="E6" s="4">
        <v>323</v>
      </c>
      <c r="F6" s="4"/>
      <c r="G6" s="4">
        <f t="shared" si="1"/>
        <v>48450</v>
      </c>
      <c r="H6" s="5">
        <f t="shared" si="0"/>
        <v>2180250</v>
      </c>
    </row>
    <row r="7" spans="1:8" ht="12.75">
      <c r="A7" t="s">
        <v>21</v>
      </c>
      <c r="D7" s="4">
        <v>10</v>
      </c>
      <c r="E7" s="4">
        <f>+E6</f>
        <v>323</v>
      </c>
      <c r="F7" s="4"/>
      <c r="G7" s="4">
        <f t="shared" si="1"/>
        <v>3230</v>
      </c>
      <c r="H7" s="5">
        <f t="shared" si="0"/>
        <v>145350</v>
      </c>
    </row>
    <row r="8" spans="1:10" ht="12.75">
      <c r="A8" t="s">
        <v>2</v>
      </c>
      <c r="D8" s="4">
        <v>100</v>
      </c>
      <c r="E8" s="4">
        <f>ROUND((E6)/50,0)</f>
        <v>6</v>
      </c>
      <c r="F8" s="4"/>
      <c r="G8" s="4">
        <f t="shared" si="1"/>
        <v>600</v>
      </c>
      <c r="H8" s="5">
        <f t="shared" si="0"/>
        <v>27000</v>
      </c>
      <c r="J8" t="s">
        <v>110</v>
      </c>
    </row>
    <row r="9" spans="1:15" ht="12.75">
      <c r="A9" t="s">
        <v>22</v>
      </c>
      <c r="D9" s="4">
        <v>20</v>
      </c>
      <c r="E9" s="4">
        <f>+E6</f>
        <v>323</v>
      </c>
      <c r="F9" s="4"/>
      <c r="G9" s="4">
        <f t="shared" si="1"/>
        <v>6460</v>
      </c>
      <c r="H9" s="5">
        <f t="shared" si="0"/>
        <v>290700</v>
      </c>
      <c r="L9" s="24"/>
      <c r="N9" s="24"/>
      <c r="O9" s="25"/>
    </row>
    <row r="10" spans="1:15" ht="12.75">
      <c r="A10" t="s">
        <v>23</v>
      </c>
      <c r="D10" s="4">
        <v>40</v>
      </c>
      <c r="E10">
        <f>+ROUND(E7*0.02,0)</f>
        <v>6</v>
      </c>
      <c r="G10" s="4">
        <f t="shared" si="1"/>
        <v>240</v>
      </c>
      <c r="H10" s="5">
        <f t="shared" si="0"/>
        <v>10800</v>
      </c>
      <c r="J10" t="s">
        <v>104</v>
      </c>
      <c r="L10" s="24">
        <v>7872668</v>
      </c>
      <c r="M10">
        <v>452</v>
      </c>
      <c r="N10" s="24">
        <f aca="true" t="shared" si="2" ref="N10:N15">+L10/M10</f>
        <v>17417.40707964602</v>
      </c>
      <c r="O10" s="25">
        <f aca="true" t="shared" si="3" ref="O10:O15">+N10/37</f>
        <v>470.74073188232484</v>
      </c>
    </row>
    <row r="11" spans="1:15" ht="12.75">
      <c r="A11" t="s">
        <v>24</v>
      </c>
      <c r="D11" s="4">
        <v>8</v>
      </c>
      <c r="E11" s="4">
        <f>+E7</f>
        <v>323</v>
      </c>
      <c r="G11" s="4">
        <f t="shared" si="1"/>
        <v>2584</v>
      </c>
      <c r="H11" s="5">
        <f t="shared" si="0"/>
        <v>116280</v>
      </c>
      <c r="J11" t="s">
        <v>109</v>
      </c>
      <c r="L11" s="24">
        <v>15819492</v>
      </c>
      <c r="M11">
        <v>810</v>
      </c>
      <c r="N11" s="24">
        <f t="shared" si="2"/>
        <v>19530.237037037037</v>
      </c>
      <c r="O11" s="25">
        <f t="shared" si="3"/>
        <v>527.8442442442442</v>
      </c>
    </row>
    <row r="12" spans="1:15" ht="12.75">
      <c r="A12" t="s">
        <v>25</v>
      </c>
      <c r="D12" s="4">
        <v>80</v>
      </c>
      <c r="F12" s="4">
        <f>+F4</f>
        <v>112</v>
      </c>
      <c r="G12" s="4">
        <f>+3*D12*F12</f>
        <v>26880</v>
      </c>
      <c r="H12" s="5">
        <f t="shared" si="0"/>
        <v>1209600</v>
      </c>
      <c r="J12" t="s">
        <v>105</v>
      </c>
      <c r="L12" s="24">
        <v>10030455</v>
      </c>
      <c r="M12">
        <v>626</v>
      </c>
      <c r="N12" s="24">
        <f t="shared" si="2"/>
        <v>16023.0910543131</v>
      </c>
      <c r="O12" s="25">
        <f t="shared" si="3"/>
        <v>433.0565149814351</v>
      </c>
    </row>
    <row r="13" spans="1:15" ht="12.75">
      <c r="A13" t="s">
        <v>3</v>
      </c>
      <c r="D13" s="4">
        <v>60</v>
      </c>
      <c r="E13" s="4">
        <f>+G52</f>
        <v>4181</v>
      </c>
      <c r="F13" s="4"/>
      <c r="G13" s="4">
        <f>+D13*E13</f>
        <v>250860</v>
      </c>
      <c r="H13" s="5">
        <f t="shared" si="0"/>
        <v>11288700</v>
      </c>
      <c r="J13" t="s">
        <v>106</v>
      </c>
      <c r="L13" s="24">
        <v>6229455</v>
      </c>
      <c r="M13">
        <v>418</v>
      </c>
      <c r="N13" s="24">
        <f t="shared" si="2"/>
        <v>14903.002392344497</v>
      </c>
      <c r="O13" s="25">
        <f t="shared" si="3"/>
        <v>402.78384844174315</v>
      </c>
    </row>
    <row r="14" spans="1:15" ht="12.75">
      <c r="A14" t="s">
        <v>4</v>
      </c>
      <c r="D14" s="4">
        <v>20</v>
      </c>
      <c r="E14" s="4">
        <f>+H52</f>
        <v>20904</v>
      </c>
      <c r="F14" s="4"/>
      <c r="G14" s="4">
        <f aca="true" t="shared" si="4" ref="G14:G20">+D14*E14</f>
        <v>418080</v>
      </c>
      <c r="H14" s="5">
        <f t="shared" si="0"/>
        <v>18813600</v>
      </c>
      <c r="J14" t="s">
        <v>107</v>
      </c>
      <c r="L14" s="24">
        <v>1930622</v>
      </c>
      <c r="M14">
        <v>213</v>
      </c>
      <c r="N14" s="24">
        <f t="shared" si="2"/>
        <v>9063.953051643193</v>
      </c>
      <c r="O14" s="25">
        <f t="shared" si="3"/>
        <v>244.97170409846467</v>
      </c>
    </row>
    <row r="15" spans="1:15" ht="12.75">
      <c r="A15" t="s">
        <v>5</v>
      </c>
      <c r="D15" s="4">
        <v>5</v>
      </c>
      <c r="E15" s="4">
        <f>+ROUND(I52,0)</f>
        <v>20904</v>
      </c>
      <c r="F15" s="4"/>
      <c r="G15" s="4">
        <f t="shared" si="4"/>
        <v>104520</v>
      </c>
      <c r="H15" s="5">
        <f t="shared" si="0"/>
        <v>4703400</v>
      </c>
      <c r="J15" t="s">
        <v>108</v>
      </c>
      <c r="L15" s="24">
        <v>2300000</v>
      </c>
      <c r="M15">
        <v>138</v>
      </c>
      <c r="N15" s="24">
        <f t="shared" si="2"/>
        <v>16666.666666666668</v>
      </c>
      <c r="O15" s="25">
        <f t="shared" si="3"/>
        <v>450.4504504504505</v>
      </c>
    </row>
    <row r="16" spans="1:15" ht="12.75">
      <c r="A16" t="s">
        <v>27</v>
      </c>
      <c r="D16" s="4">
        <v>60</v>
      </c>
      <c r="E16" s="4">
        <f>+source!F19</f>
        <v>9801</v>
      </c>
      <c r="F16" s="4"/>
      <c r="G16" s="4">
        <f t="shared" si="4"/>
        <v>588060</v>
      </c>
      <c r="H16" s="5">
        <f t="shared" si="0"/>
        <v>26462700</v>
      </c>
      <c r="L16" s="24"/>
      <c r="N16" s="24"/>
      <c r="O16" s="25"/>
    </row>
    <row r="17" spans="1:14" ht="12.75">
      <c r="A17" t="s">
        <v>26</v>
      </c>
      <c r="D17" s="4">
        <v>10</v>
      </c>
      <c r="E17" s="4">
        <f>I45</f>
        <v>1867</v>
      </c>
      <c r="F17" s="4"/>
      <c r="G17" s="4">
        <f t="shared" si="4"/>
        <v>18670</v>
      </c>
      <c r="H17" s="5">
        <f t="shared" si="0"/>
        <v>840150</v>
      </c>
      <c r="N17" s="24"/>
    </row>
    <row r="18" spans="1:8" ht="12.75">
      <c r="A18" t="s">
        <v>58</v>
      </c>
      <c r="C18" t="s">
        <v>28</v>
      </c>
      <c r="D18" s="4">
        <v>15</v>
      </c>
      <c r="E18" s="4">
        <f>+G28</f>
        <v>16495</v>
      </c>
      <c r="F18" s="4"/>
      <c r="G18" s="4">
        <f t="shared" si="4"/>
        <v>247425</v>
      </c>
      <c r="H18" s="5">
        <f t="shared" si="0"/>
        <v>11134125</v>
      </c>
    </row>
    <row r="19" spans="3:8" ht="12.75">
      <c r="C19" t="s">
        <v>29</v>
      </c>
      <c r="D19" s="4">
        <v>15</v>
      </c>
      <c r="E19" s="4">
        <f>+G36</f>
        <v>16603</v>
      </c>
      <c r="F19" s="4"/>
      <c r="G19" s="4">
        <f t="shared" si="4"/>
        <v>249045</v>
      </c>
      <c r="H19" s="5">
        <f t="shared" si="0"/>
        <v>11207025</v>
      </c>
    </row>
    <row r="20" spans="3:8" ht="12.75">
      <c r="C20" t="s">
        <v>30</v>
      </c>
      <c r="D20" s="4">
        <v>15</v>
      </c>
      <c r="E20" s="4">
        <f>+G37</f>
        <v>16711</v>
      </c>
      <c r="F20" s="4"/>
      <c r="G20" s="4">
        <f t="shared" si="4"/>
        <v>250665</v>
      </c>
      <c r="H20" s="5">
        <f t="shared" si="0"/>
        <v>11279925</v>
      </c>
    </row>
    <row r="21" spans="1:8" ht="12.75">
      <c r="A21" t="s">
        <v>31</v>
      </c>
      <c r="D21" s="4">
        <v>40</v>
      </c>
      <c r="E21" s="4"/>
      <c r="F21" s="4">
        <f>+F4</f>
        <v>112</v>
      </c>
      <c r="G21" s="4">
        <f>+D21*F21*3</f>
        <v>13440</v>
      </c>
      <c r="H21" s="5">
        <f t="shared" si="0"/>
        <v>604800</v>
      </c>
    </row>
    <row r="22" spans="1:8" ht="12.75">
      <c r="A22" s="20" t="s">
        <v>182</v>
      </c>
      <c r="B22" s="4"/>
      <c r="F22" s="4">
        <f>+G22/112</f>
        <v>30537.58035714286</v>
      </c>
      <c r="G22" s="4">
        <f>+SUM(G4:G21)</f>
        <v>3420209</v>
      </c>
      <c r="H22" s="5">
        <f>SUM(H4:H21)</f>
        <v>153909405</v>
      </c>
    </row>
    <row r="23" spans="1:8" ht="12.75">
      <c r="A23" t="s">
        <v>183</v>
      </c>
      <c r="E23" s="4"/>
      <c r="F23" s="4">
        <f>+F22/3</f>
        <v>10179.193452380952</v>
      </c>
      <c r="G23" s="4">
        <f>+G22/3</f>
        <v>1140069.6666666667</v>
      </c>
      <c r="H23" s="5">
        <f>+H22/3</f>
        <v>51303135</v>
      </c>
    </row>
    <row r="24" spans="1:8" ht="12.75">
      <c r="A24" t="s">
        <v>165</v>
      </c>
      <c r="D24" s="4">
        <f>+H23/G38</f>
        <v>3050.4896539422048</v>
      </c>
      <c r="E24" s="4"/>
      <c r="F24" s="4"/>
      <c r="G24" s="4"/>
      <c r="H24" s="5"/>
    </row>
    <row r="25" spans="4:8" ht="12.75">
      <c r="D25" s="4"/>
      <c r="E25" s="4"/>
      <c r="F25" s="4"/>
      <c r="G25" s="4"/>
      <c r="H25" s="5"/>
    </row>
    <row r="26" spans="1:8" ht="12.75">
      <c r="A26" s="29" t="s">
        <v>174</v>
      </c>
      <c r="E26" s="4"/>
      <c r="F26" s="4"/>
      <c r="G26" s="4"/>
      <c r="H26" s="5"/>
    </row>
    <row r="27" spans="1:9" ht="12.75">
      <c r="A27" t="s">
        <v>140</v>
      </c>
      <c r="E27" s="4">
        <v>16668</v>
      </c>
      <c r="H27" s="4"/>
      <c r="I27" s="4"/>
    </row>
    <row r="28" spans="1:9" ht="12.75">
      <c r="A28" t="s">
        <v>141</v>
      </c>
      <c r="E28" s="4"/>
      <c r="G28" s="4">
        <v>16495</v>
      </c>
      <c r="H28" s="4">
        <f>G28-I28</f>
        <v>13828</v>
      </c>
      <c r="I28" s="4">
        <v>2667</v>
      </c>
    </row>
    <row r="29" spans="5:9" ht="12.75">
      <c r="E29" s="4"/>
      <c r="G29" s="4"/>
      <c r="H29" s="4"/>
      <c r="I29" s="4"/>
    </row>
    <row r="30" spans="1:9" ht="12.75">
      <c r="A30" s="29" t="s">
        <v>169</v>
      </c>
      <c r="E30" s="4"/>
      <c r="F30" t="s">
        <v>59</v>
      </c>
      <c r="G30" s="4"/>
      <c r="H30" s="4" t="s">
        <v>167</v>
      </c>
      <c r="I30" s="4" t="s">
        <v>168</v>
      </c>
    </row>
    <row r="31" spans="1:9" ht="12.75">
      <c r="A31" t="s">
        <v>142</v>
      </c>
      <c r="E31" s="4"/>
      <c r="F31" s="4">
        <f>+E27-G28</f>
        <v>173</v>
      </c>
      <c r="G31" s="4"/>
      <c r="H31" s="4">
        <f>+E27-G28</f>
        <v>173</v>
      </c>
      <c r="I31" s="4"/>
    </row>
    <row r="32" spans="1:9" ht="12.75">
      <c r="A32" t="s">
        <v>43</v>
      </c>
      <c r="E32" s="4"/>
      <c r="F32" s="4">
        <v>150</v>
      </c>
      <c r="G32" s="4"/>
      <c r="H32" s="4">
        <f>+F32-I32</f>
        <v>126</v>
      </c>
      <c r="I32" s="4">
        <f>+F32*0.16</f>
        <v>24</v>
      </c>
    </row>
    <row r="33" spans="3:9" ht="12.75">
      <c r="C33" t="s">
        <v>75</v>
      </c>
      <c r="F33" s="4">
        <f>+H31+F32</f>
        <v>323</v>
      </c>
      <c r="G33" s="4"/>
      <c r="H33" s="4">
        <f>+H31+H32</f>
        <v>299</v>
      </c>
      <c r="I33" s="4">
        <f>+F32*0.16</f>
        <v>24</v>
      </c>
    </row>
    <row r="34" spans="6:9" ht="12.75">
      <c r="F34" s="4"/>
      <c r="G34" s="4"/>
      <c r="H34" s="4"/>
      <c r="I34" s="4"/>
    </row>
    <row r="35" spans="1:9" ht="12.75">
      <c r="A35" s="29" t="s">
        <v>170</v>
      </c>
      <c r="E35" s="4"/>
      <c r="F35" s="4" t="s">
        <v>173</v>
      </c>
      <c r="G35" s="8" t="s">
        <v>175</v>
      </c>
      <c r="H35" s="8" t="s">
        <v>171</v>
      </c>
      <c r="I35" s="8" t="s">
        <v>172</v>
      </c>
    </row>
    <row r="36" spans="1:9" ht="12.75">
      <c r="A36" t="s">
        <v>176</v>
      </c>
      <c r="F36" s="4">
        <v>108</v>
      </c>
      <c r="G36" s="4">
        <f>+G28+F36</f>
        <v>16603</v>
      </c>
      <c r="H36" s="22">
        <f>G36-I36</f>
        <v>13936</v>
      </c>
      <c r="I36" s="4">
        <v>2667</v>
      </c>
    </row>
    <row r="37" spans="1:9" ht="12.75">
      <c r="A37" t="s">
        <v>177</v>
      </c>
      <c r="F37" s="4">
        <v>108</v>
      </c>
      <c r="G37" s="4">
        <f>+G36+F37</f>
        <v>16711</v>
      </c>
      <c r="H37" s="22">
        <f>G37-I37</f>
        <v>14044</v>
      </c>
      <c r="I37" s="4">
        <v>2667</v>
      </c>
    </row>
    <row r="38" spans="1:9" ht="12.75">
      <c r="A38" t="s">
        <v>178</v>
      </c>
      <c r="F38" s="4">
        <v>107</v>
      </c>
      <c r="G38" s="4">
        <f>+G37+F38</f>
        <v>16818</v>
      </c>
      <c r="H38" s="22">
        <f>G38-I38</f>
        <v>14151</v>
      </c>
      <c r="I38" s="4">
        <v>2667</v>
      </c>
    </row>
    <row r="39" spans="6:9" ht="12.75">
      <c r="F39" s="4"/>
      <c r="G39" s="4"/>
      <c r="H39" s="4"/>
      <c r="I39" s="4"/>
    </row>
    <row r="40" spans="1:9" ht="12.75">
      <c r="A40" s="29" t="s">
        <v>88</v>
      </c>
      <c r="F40" s="4"/>
      <c r="G40" s="4"/>
      <c r="H40" s="4"/>
      <c r="I40" s="4"/>
    </row>
    <row r="41" spans="1:9" ht="12.75">
      <c r="A41" t="s">
        <v>145</v>
      </c>
      <c r="F41" s="4">
        <v>8552</v>
      </c>
      <c r="G41" s="4" t="s">
        <v>92</v>
      </c>
      <c r="H41" s="1" t="s">
        <v>93</v>
      </c>
      <c r="I41" s="4" t="s">
        <v>94</v>
      </c>
    </row>
    <row r="42" spans="1:9" ht="12.75">
      <c r="A42" t="s">
        <v>15</v>
      </c>
      <c r="F42" s="4">
        <v>1563</v>
      </c>
      <c r="G42" s="4">
        <f>2851+F42</f>
        <v>4414</v>
      </c>
      <c r="H42" s="8">
        <f>ROUND(0.84*G42,0)</f>
        <v>3708</v>
      </c>
      <c r="I42" s="8">
        <f>+G42-H42</f>
        <v>706</v>
      </c>
    </row>
    <row r="43" spans="1:9" ht="12.75">
      <c r="A43" t="s">
        <v>16</v>
      </c>
      <c r="F43" s="3">
        <v>859</v>
      </c>
      <c r="G43" s="3">
        <f>2851+F43</f>
        <v>3710</v>
      </c>
      <c r="H43" s="8">
        <f>ROUND(0.84*G43,0)</f>
        <v>3116</v>
      </c>
      <c r="I43" s="8">
        <f>+G43-H43</f>
        <v>594</v>
      </c>
    </row>
    <row r="44" spans="1:9" ht="12.75">
      <c r="A44" t="s">
        <v>17</v>
      </c>
      <c r="F44" s="3">
        <v>694</v>
      </c>
      <c r="G44" s="3">
        <f>2850+F44</f>
        <v>3544</v>
      </c>
      <c r="H44" s="8">
        <f>ROUND(0.84*G44,0)</f>
        <v>2977</v>
      </c>
      <c r="I44" s="8">
        <f>+G44-H44</f>
        <v>567</v>
      </c>
    </row>
    <row r="45" spans="6:9" ht="12.75">
      <c r="F45" s="3"/>
      <c r="G45" s="3">
        <f>SUM(G42:G44)</f>
        <v>11668</v>
      </c>
      <c r="H45" s="4">
        <f>SUM(H42:H44)</f>
        <v>9801</v>
      </c>
      <c r="I45" s="4">
        <f>SUM(I42:I44)</f>
        <v>1867</v>
      </c>
    </row>
    <row r="46" spans="6:7" ht="12.75">
      <c r="F46" s="3"/>
      <c r="G46" s="3"/>
    </row>
    <row r="47" spans="2:9" ht="25.5">
      <c r="B47" s="29" t="s">
        <v>77</v>
      </c>
      <c r="F47" s="21" t="s">
        <v>100</v>
      </c>
      <c r="G47" s="1" t="s">
        <v>11</v>
      </c>
      <c r="H47" s="1" t="s">
        <v>12</v>
      </c>
      <c r="I47" s="1" t="s">
        <v>13</v>
      </c>
    </row>
    <row r="48" spans="1:9" ht="12.75">
      <c r="A48" t="s">
        <v>81</v>
      </c>
      <c r="F48" s="21"/>
      <c r="G48" s="2">
        <v>0.1</v>
      </c>
      <c r="H48" s="2">
        <v>0.5</v>
      </c>
      <c r="I48" s="2">
        <v>0.5</v>
      </c>
    </row>
    <row r="49" spans="1:9" ht="12.75">
      <c r="A49" t="s">
        <v>78</v>
      </c>
      <c r="F49" s="22">
        <f>+source!E54</f>
        <v>13828</v>
      </c>
      <c r="G49" s="3">
        <f>ROUND(0.1*F49,0)</f>
        <v>1383</v>
      </c>
      <c r="H49" s="3">
        <f>+ROUND(0.5*F49,0)</f>
        <v>6914</v>
      </c>
      <c r="I49" s="3">
        <f>+H49</f>
        <v>6914</v>
      </c>
    </row>
    <row r="50" spans="1:9" ht="12.75">
      <c r="A50" t="s">
        <v>79</v>
      </c>
      <c r="F50" s="22">
        <f>+source!E55</f>
        <v>13936</v>
      </c>
      <c r="G50" s="3">
        <f>ROUND(0.1*F50,0)</f>
        <v>1394</v>
      </c>
      <c r="H50" s="3">
        <f>+ROUND(0.5*F50,0)</f>
        <v>6968</v>
      </c>
      <c r="I50" s="3">
        <f>+H50</f>
        <v>6968</v>
      </c>
    </row>
    <row r="51" spans="1:9" ht="12.75">
      <c r="A51" t="s">
        <v>80</v>
      </c>
      <c r="F51" s="22">
        <f>+source!E56</f>
        <v>14044</v>
      </c>
      <c r="G51" s="3">
        <f>ROUND(0.1*F51,0)</f>
        <v>1404</v>
      </c>
      <c r="H51" s="3">
        <f>+ROUND(0.5*F51,0)</f>
        <v>7022</v>
      </c>
      <c r="I51" s="3">
        <f>+H51</f>
        <v>7022</v>
      </c>
    </row>
    <row r="52" spans="3:9" ht="12.75">
      <c r="C52" t="s">
        <v>50</v>
      </c>
      <c r="F52" s="4"/>
      <c r="G52" s="4">
        <f>SUM(G49:G51)</f>
        <v>4181</v>
      </c>
      <c r="H52" s="4">
        <f>SUM(H49:H51)</f>
        <v>20904</v>
      </c>
      <c r="I52" s="4">
        <f>SUM(I49:I51)</f>
        <v>20904</v>
      </c>
    </row>
    <row r="53" ht="12.75">
      <c r="A53" t="s">
        <v>181</v>
      </c>
    </row>
  </sheetData>
  <printOptions/>
  <pageMargins left="0.57" right="0.48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140625" defaultRowHeight="12.75"/>
  <cols>
    <col min="3" max="3" width="13.140625" style="0" customWidth="1"/>
    <col min="4" max="4" width="10.00390625" style="0" customWidth="1"/>
    <col min="5" max="5" width="10.28125" style="0" customWidth="1"/>
    <col min="6" max="6" width="13.140625" style="0" customWidth="1"/>
    <col min="7" max="7" width="13.28125" style="0" customWidth="1"/>
    <col min="8" max="8" width="12.00390625" style="0" customWidth="1"/>
    <col min="9" max="9" width="9.28125" style="0" bestFit="1" customWidth="1"/>
  </cols>
  <sheetData>
    <row r="1" spans="1:3" ht="30">
      <c r="A1" s="33" t="s">
        <v>185</v>
      </c>
      <c r="C1" s="29" t="s">
        <v>33</v>
      </c>
    </row>
    <row r="3" spans="4:8" ht="12.75">
      <c r="D3" s="9" t="s">
        <v>179</v>
      </c>
      <c r="E3" t="s">
        <v>8</v>
      </c>
      <c r="G3" t="s">
        <v>7</v>
      </c>
      <c r="H3" t="s">
        <v>60</v>
      </c>
    </row>
    <row r="4" spans="1:8" ht="12.75">
      <c r="A4" t="s">
        <v>39</v>
      </c>
      <c r="D4" s="4">
        <v>20</v>
      </c>
      <c r="E4" s="4">
        <f>+ROUND((E21-H20)*0.25,0)</f>
        <v>81</v>
      </c>
      <c r="F4" s="10">
        <v>0.25</v>
      </c>
      <c r="G4" s="4">
        <f aca="true" t="shared" si="0" ref="G4:G10">+D4*E4</f>
        <v>1620</v>
      </c>
      <c r="H4" s="5">
        <f aca="true" t="shared" si="1" ref="H4:H11">45*G4</f>
        <v>72900</v>
      </c>
    </row>
    <row r="5" spans="1:13" ht="12.75">
      <c r="A5" t="s">
        <v>40</v>
      </c>
      <c r="D5">
        <v>20</v>
      </c>
      <c r="E5" s="4">
        <f>+ROUND(0.05*G31,0)</f>
        <v>490</v>
      </c>
      <c r="F5" s="10">
        <v>0.05</v>
      </c>
      <c r="G5" s="4">
        <f t="shared" si="0"/>
        <v>9800</v>
      </c>
      <c r="H5" s="5">
        <f t="shared" si="1"/>
        <v>441000</v>
      </c>
      <c r="J5">
        <v>1268</v>
      </c>
      <c r="K5">
        <v>317</v>
      </c>
      <c r="L5">
        <f>+K5*8</f>
        <v>2536</v>
      </c>
      <c r="M5">
        <f>+L5*37</f>
        <v>93832</v>
      </c>
    </row>
    <row r="6" spans="1:13" ht="12.75">
      <c r="A6" t="s">
        <v>41</v>
      </c>
      <c r="D6" s="4">
        <v>8</v>
      </c>
      <c r="E6" s="4">
        <f>+F37</f>
        <v>4181</v>
      </c>
      <c r="F6" s="11" t="s">
        <v>34</v>
      </c>
      <c r="G6" s="4">
        <f t="shared" si="0"/>
        <v>33448</v>
      </c>
      <c r="H6" s="5">
        <f t="shared" si="1"/>
        <v>1505160</v>
      </c>
      <c r="J6">
        <v>1337</v>
      </c>
      <c r="K6">
        <v>334</v>
      </c>
      <c r="L6">
        <f>+K6*8</f>
        <v>2672</v>
      </c>
      <c r="M6">
        <f>+L6*37</f>
        <v>98864</v>
      </c>
    </row>
    <row r="7" spans="1:13" ht="12.75">
      <c r="A7" t="s">
        <v>42</v>
      </c>
      <c r="D7" s="4">
        <v>1</v>
      </c>
      <c r="E7" s="4">
        <f>+G37</f>
        <v>20904</v>
      </c>
      <c r="F7" s="11" t="s">
        <v>34</v>
      </c>
      <c r="G7" s="4">
        <f t="shared" si="0"/>
        <v>20904</v>
      </c>
      <c r="H7" s="5">
        <f t="shared" si="1"/>
        <v>940680</v>
      </c>
      <c r="J7">
        <v>1406</v>
      </c>
      <c r="K7">
        <v>352</v>
      </c>
      <c r="L7">
        <f>+K7*8</f>
        <v>2816</v>
      </c>
      <c r="M7">
        <f>+L7*37</f>
        <v>104192</v>
      </c>
    </row>
    <row r="8" spans="1:13" ht="12.75">
      <c r="A8" t="s">
        <v>36</v>
      </c>
      <c r="D8" s="4">
        <v>8</v>
      </c>
      <c r="E8" s="4">
        <f>+E4</f>
        <v>81</v>
      </c>
      <c r="F8" s="10">
        <v>0.25</v>
      </c>
      <c r="G8" s="4">
        <f t="shared" si="0"/>
        <v>648</v>
      </c>
      <c r="H8" s="5">
        <f t="shared" si="1"/>
        <v>29160</v>
      </c>
      <c r="J8">
        <f>SUM(J5:J7)</f>
        <v>4011</v>
      </c>
      <c r="K8">
        <f>SUM(K5:K7)</f>
        <v>1003</v>
      </c>
      <c r="L8">
        <f>SUM(L5:L7)</f>
        <v>8024</v>
      </c>
      <c r="M8">
        <f>SUM(M5:M7)</f>
        <v>296888</v>
      </c>
    </row>
    <row r="9" spans="1:8" ht="12.75">
      <c r="A9" t="s">
        <v>37</v>
      </c>
      <c r="D9">
        <v>8</v>
      </c>
      <c r="E9" s="4">
        <f>+ROUND(0.25*E6,0)</f>
        <v>1045</v>
      </c>
      <c r="F9" s="10">
        <v>0.25</v>
      </c>
      <c r="G9" s="4">
        <f t="shared" si="0"/>
        <v>8360</v>
      </c>
      <c r="H9" s="5">
        <f t="shared" si="1"/>
        <v>376200</v>
      </c>
    </row>
    <row r="10" spans="1:12" ht="12.75">
      <c r="A10" t="s">
        <v>38</v>
      </c>
      <c r="D10" s="4">
        <v>1</v>
      </c>
      <c r="E10" s="4">
        <f>+ROUND(0.25*E7,0)</f>
        <v>5226</v>
      </c>
      <c r="F10" s="10">
        <v>0.25</v>
      </c>
      <c r="G10" s="4">
        <f t="shared" si="0"/>
        <v>5226</v>
      </c>
      <c r="H10" s="5">
        <f t="shared" si="1"/>
        <v>235170</v>
      </c>
      <c r="K10">
        <v>1585</v>
      </c>
      <c r="L10">
        <f>+K10*37</f>
        <v>58645</v>
      </c>
    </row>
    <row r="11" spans="1:12" ht="12.75">
      <c r="A11" t="s">
        <v>35</v>
      </c>
      <c r="D11" s="4">
        <v>10</v>
      </c>
      <c r="E11" s="4"/>
      <c r="F11" s="4">
        <v>112</v>
      </c>
      <c r="G11" s="4">
        <f>+D11*F11*3</f>
        <v>3360</v>
      </c>
      <c r="H11" s="5">
        <f t="shared" si="1"/>
        <v>151200</v>
      </c>
      <c r="K11">
        <v>1671</v>
      </c>
      <c r="L11">
        <f>+K11*37</f>
        <v>61827</v>
      </c>
    </row>
    <row r="12" spans="4:12" ht="12.75">
      <c r="D12" s="4" t="s">
        <v>99</v>
      </c>
      <c r="E12" s="4"/>
      <c r="G12" s="4">
        <f>+SUM(G4:G11)</f>
        <v>83366</v>
      </c>
      <c r="H12" s="5">
        <f>+SUM(H4:H11)</f>
        <v>3751470</v>
      </c>
      <c r="K12">
        <v>1758</v>
      </c>
      <c r="L12">
        <f>+K12*37</f>
        <v>65046</v>
      </c>
    </row>
    <row r="13" spans="4:12" ht="12.75">
      <c r="D13" s="4" t="s">
        <v>61</v>
      </c>
      <c r="E13" s="4"/>
      <c r="G13" s="4">
        <f>+G12/3</f>
        <v>27788.666666666668</v>
      </c>
      <c r="H13" s="5">
        <f>+H12/3</f>
        <v>1250490</v>
      </c>
      <c r="K13">
        <f>SUM(K10:K12)</f>
        <v>5014</v>
      </c>
      <c r="L13">
        <f>SUM(L10:L12)</f>
        <v>185518</v>
      </c>
    </row>
    <row r="14" spans="4:7" ht="12.75">
      <c r="D14" s="4" t="s">
        <v>62</v>
      </c>
      <c r="E14" s="4"/>
      <c r="G14" s="6">
        <f>+H13/F24</f>
        <v>74.35426328933286</v>
      </c>
    </row>
    <row r="16" spans="1:8" ht="12.75">
      <c r="A16" s="29" t="s">
        <v>174</v>
      </c>
      <c r="E16" t="s">
        <v>97</v>
      </c>
      <c r="F16" t="s">
        <v>96</v>
      </c>
      <c r="G16" s="1" t="s">
        <v>98</v>
      </c>
      <c r="H16" s="1" t="s">
        <v>48</v>
      </c>
    </row>
    <row r="17" spans="1:8" ht="12.75">
      <c r="A17" t="s">
        <v>147</v>
      </c>
      <c r="D17" s="4"/>
      <c r="E17" s="4">
        <f>+source!D34</f>
        <v>16668</v>
      </c>
      <c r="G17" s="4"/>
      <c r="H17" s="4"/>
    </row>
    <row r="18" spans="1:8" ht="12.75">
      <c r="A18" t="s">
        <v>146</v>
      </c>
      <c r="D18" s="4"/>
      <c r="E18" s="4"/>
      <c r="F18" s="4">
        <f>+source!H34</f>
        <v>16495</v>
      </c>
      <c r="G18" s="4">
        <f>+source!E54</f>
        <v>13828</v>
      </c>
      <c r="H18" s="4">
        <f>+F18-G18</f>
        <v>2667</v>
      </c>
    </row>
    <row r="19" spans="1:8" ht="12.75">
      <c r="A19" t="s">
        <v>148</v>
      </c>
      <c r="D19" s="4"/>
      <c r="E19" s="4">
        <f>+E17-F18</f>
        <v>173</v>
      </c>
      <c r="F19" s="4"/>
      <c r="G19" s="4">
        <f>+E19</f>
        <v>173</v>
      </c>
      <c r="H19" s="4"/>
    </row>
    <row r="20" spans="1:8" ht="12.75">
      <c r="A20" t="s">
        <v>76</v>
      </c>
      <c r="E20" s="4">
        <v>150</v>
      </c>
      <c r="G20" s="4">
        <f>E20</f>
        <v>150</v>
      </c>
      <c r="H20" s="4">
        <f>+E20-G20</f>
        <v>0</v>
      </c>
    </row>
    <row r="21" spans="3:8" ht="12.75">
      <c r="C21" t="s">
        <v>49</v>
      </c>
      <c r="E21" s="4">
        <f>+E19+E20</f>
        <v>323</v>
      </c>
      <c r="F21" s="1" t="s">
        <v>59</v>
      </c>
      <c r="G21" s="8" t="s">
        <v>47</v>
      </c>
      <c r="H21" s="8" t="s">
        <v>48</v>
      </c>
    </row>
    <row r="22" spans="1:8" ht="12.75">
      <c r="A22" t="s">
        <v>176</v>
      </c>
      <c r="E22" s="4">
        <f>+source!G35</f>
        <v>108</v>
      </c>
      <c r="F22" s="4">
        <f>+F18+E22</f>
        <v>16603</v>
      </c>
      <c r="G22" s="4">
        <f>+F22-H22</f>
        <v>13936</v>
      </c>
      <c r="H22" s="4">
        <f>+source!F55</f>
        <v>2667</v>
      </c>
    </row>
    <row r="23" spans="1:8" ht="12.75">
      <c r="A23" t="s">
        <v>177</v>
      </c>
      <c r="E23" s="4">
        <f>+source!G36</f>
        <v>108</v>
      </c>
      <c r="F23" s="4">
        <f>+F22+E23</f>
        <v>16711</v>
      </c>
      <c r="G23" s="4">
        <f>+F23-H23</f>
        <v>14044</v>
      </c>
      <c r="H23" s="4">
        <f>+source!F56</f>
        <v>2667</v>
      </c>
    </row>
    <row r="24" spans="1:8" ht="12.75">
      <c r="A24" t="s">
        <v>178</v>
      </c>
      <c r="E24" s="4">
        <f>+source!G37</f>
        <v>107</v>
      </c>
      <c r="F24" s="4">
        <f>+F23+E24</f>
        <v>16818</v>
      </c>
      <c r="G24" s="4">
        <f>+F24-H24</f>
        <v>14151</v>
      </c>
      <c r="H24" s="4">
        <f>+source!F57</f>
        <v>2667</v>
      </c>
    </row>
    <row r="25" spans="1:8" ht="12.75">
      <c r="A25" t="s">
        <v>149</v>
      </c>
      <c r="E25" s="4">
        <f>+source!D43</f>
        <v>8552</v>
      </c>
      <c r="F25" s="4"/>
      <c r="H25" s="4"/>
    </row>
    <row r="26" spans="1:8" ht="12.75">
      <c r="A26" t="s">
        <v>15</v>
      </c>
      <c r="E26" s="4">
        <f>+source!F44</f>
        <v>1563</v>
      </c>
      <c r="F26" s="4">
        <f>+source!G44</f>
        <v>4414</v>
      </c>
      <c r="G26" s="12" t="s">
        <v>95</v>
      </c>
      <c r="H26" s="12"/>
    </row>
    <row r="27" spans="1:8" ht="12.75">
      <c r="A27" t="s">
        <v>16</v>
      </c>
      <c r="E27" s="3">
        <f>+source!F45</f>
        <v>859</v>
      </c>
      <c r="F27" s="3">
        <f>+source!G45</f>
        <v>3710</v>
      </c>
      <c r="G27" s="12" t="s">
        <v>95</v>
      </c>
      <c r="H27" s="12"/>
    </row>
    <row r="28" spans="1:8" ht="12.75">
      <c r="A28" t="s">
        <v>17</v>
      </c>
      <c r="E28" s="3">
        <f>+source!F46</f>
        <v>694</v>
      </c>
      <c r="F28" s="3">
        <f>+source!G46</f>
        <v>3544</v>
      </c>
      <c r="G28" s="12" t="s">
        <v>95</v>
      </c>
      <c r="H28" s="12"/>
    </row>
    <row r="29" spans="1:8" ht="12.75">
      <c r="A29" t="s">
        <v>44</v>
      </c>
      <c r="E29" s="3"/>
      <c r="F29" s="3">
        <f>+SUM(F26:F28)</f>
        <v>11668</v>
      </c>
      <c r="G29" s="1"/>
      <c r="H29" s="1"/>
    </row>
    <row r="30" spans="1:8" ht="12.75">
      <c r="A30" t="s">
        <v>45</v>
      </c>
      <c r="E30" s="3"/>
      <c r="G30" s="1"/>
      <c r="H30" s="3">
        <f>+source!I47</f>
        <v>1867</v>
      </c>
    </row>
    <row r="31" spans="1:8" ht="12.75">
      <c r="A31" t="s">
        <v>46</v>
      </c>
      <c r="E31" s="3"/>
      <c r="G31" s="3">
        <f>+source!H47</f>
        <v>9801</v>
      </c>
      <c r="H31" s="1"/>
    </row>
    <row r="32" spans="5:8" ht="12.75">
      <c r="E32" s="3"/>
      <c r="G32" s="3"/>
      <c r="H32" s="1"/>
    </row>
    <row r="33" spans="1:8" ht="12.75">
      <c r="A33" t="s">
        <v>77</v>
      </c>
      <c r="E33" s="3"/>
      <c r="G33" s="3"/>
      <c r="H33" s="1"/>
    </row>
    <row r="34" spans="1:8" ht="12.75">
      <c r="A34" t="s">
        <v>180</v>
      </c>
      <c r="E34" s="3">
        <f>+G18</f>
        <v>13828</v>
      </c>
      <c r="F34" s="3">
        <f>+ROUND(0.1*E34,0)</f>
        <v>1383</v>
      </c>
      <c r="G34" s="3">
        <f>+ROUND(0.5*E34,0)</f>
        <v>6914</v>
      </c>
      <c r="H34" s="3">
        <f>+G34</f>
        <v>6914</v>
      </c>
    </row>
    <row r="35" spans="1:8" ht="12.75">
      <c r="A35" t="s">
        <v>9</v>
      </c>
      <c r="E35" s="3">
        <f>+G22</f>
        <v>13936</v>
      </c>
      <c r="F35" s="3">
        <f>+ROUND(0.1*E35,0)</f>
        <v>1394</v>
      </c>
      <c r="G35" s="3">
        <f>+ROUND(0.5*E35,0)</f>
        <v>6968</v>
      </c>
      <c r="H35" s="3">
        <f>+G35</f>
        <v>6968</v>
      </c>
    </row>
    <row r="36" spans="1:8" ht="12.75">
      <c r="A36" t="s">
        <v>10</v>
      </c>
      <c r="E36" s="3">
        <f>+G23</f>
        <v>14044</v>
      </c>
      <c r="F36" s="3">
        <f>+ROUND(0.1*E36,0)</f>
        <v>1404</v>
      </c>
      <c r="G36" s="3">
        <f>+ROUND(0.5*E36,0)</f>
        <v>7022</v>
      </c>
      <c r="H36" s="3">
        <f>+G36</f>
        <v>7022</v>
      </c>
    </row>
    <row r="37" spans="1:8" ht="12.75">
      <c r="A37" t="s">
        <v>14</v>
      </c>
      <c r="E37" s="4"/>
      <c r="F37" s="4">
        <f>SUM(F34:F36)</f>
        <v>4181</v>
      </c>
      <c r="G37" s="4">
        <f>SUM(G34:G36)</f>
        <v>20904</v>
      </c>
      <c r="H37" s="4">
        <f>SUM(H34:H36)</f>
        <v>20904</v>
      </c>
    </row>
    <row r="38" spans="6:8" ht="12.75">
      <c r="F38" s="1" t="s">
        <v>11</v>
      </c>
      <c r="G38" s="1" t="s">
        <v>12</v>
      </c>
      <c r="H38" s="1" t="s">
        <v>13</v>
      </c>
    </row>
    <row r="39" spans="3:8" ht="12.75">
      <c r="C39" t="s">
        <v>63</v>
      </c>
      <c r="F39" s="2">
        <v>0.1</v>
      </c>
      <c r="G39" s="2">
        <v>0.5</v>
      </c>
      <c r="H39" s="2">
        <v>0.5</v>
      </c>
    </row>
    <row r="40" spans="6:8" ht="12.75">
      <c r="F40" s="2"/>
      <c r="G40" s="2"/>
      <c r="H40" s="2"/>
    </row>
    <row r="42" spans="2:9" ht="51">
      <c r="B42" s="9" t="s">
        <v>67</v>
      </c>
      <c r="C42" t="s">
        <v>68</v>
      </c>
      <c r="D42" s="9" t="s">
        <v>70</v>
      </c>
      <c r="E42" s="9" t="s">
        <v>69</v>
      </c>
      <c r="F42" s="9" t="s">
        <v>71</v>
      </c>
      <c r="G42" s="9" t="s">
        <v>74</v>
      </c>
      <c r="H42" s="9" t="s">
        <v>72</v>
      </c>
      <c r="I42" s="9" t="s">
        <v>73</v>
      </c>
    </row>
    <row r="44" spans="1:9" ht="12.75">
      <c r="A44" t="s">
        <v>64</v>
      </c>
      <c r="B44" s="4">
        <f>+F24</f>
        <v>16818</v>
      </c>
      <c r="C44" s="4">
        <f>+source!H21</f>
        <v>12528206</v>
      </c>
      <c r="D44" s="4">
        <f>+C44/3/B44</f>
        <v>248.30947001228841</v>
      </c>
      <c r="E44" s="4">
        <f>+D44</f>
        <v>248.30947001228841</v>
      </c>
      <c r="F44" s="5">
        <f>+source!I21</f>
        <v>480796828</v>
      </c>
      <c r="G44" s="5">
        <f>+F44/3</f>
        <v>160265609.33333334</v>
      </c>
      <c r="H44" s="5">
        <f>+G44/B44</f>
        <v>9529.409521544378</v>
      </c>
      <c r="I44" s="4">
        <f>+H44</f>
        <v>9529.409521544378</v>
      </c>
    </row>
    <row r="45" spans="1:9" ht="12.75">
      <c r="A45" t="s">
        <v>65</v>
      </c>
      <c r="B45">
        <v>112</v>
      </c>
      <c r="C45" s="4">
        <f>+PA!G22</f>
        <v>3420209</v>
      </c>
      <c r="D45" s="4">
        <f>+C45/3/B45</f>
        <v>10179.193452380952</v>
      </c>
      <c r="E45" s="4">
        <f>+C45/3/B44</f>
        <v>67.78865897649345</v>
      </c>
      <c r="F45" s="5">
        <f>+PA!H22</f>
        <v>153909405</v>
      </c>
      <c r="G45" s="5">
        <f>+F45/3</f>
        <v>51303135</v>
      </c>
      <c r="H45" s="5">
        <f>+G45/B45</f>
        <v>458063.70535714284</v>
      </c>
      <c r="I45" s="4">
        <f>+G45/B44</f>
        <v>3050.4896539422048</v>
      </c>
    </row>
    <row r="46" spans="1:9" ht="12.75">
      <c r="A46" t="s">
        <v>66</v>
      </c>
      <c r="B46">
        <v>1</v>
      </c>
      <c r="C46" s="4">
        <f>+G12</f>
        <v>83366</v>
      </c>
      <c r="D46" s="4">
        <f>+C46/3/B46</f>
        <v>27788.666666666668</v>
      </c>
      <c r="E46" s="4">
        <f>+C46/3/B44</f>
        <v>1.6523169619851747</v>
      </c>
      <c r="F46" s="5">
        <f>+H12</f>
        <v>3751470</v>
      </c>
      <c r="G46" s="5">
        <f>+F46/3</f>
        <v>1250490</v>
      </c>
      <c r="H46" s="5">
        <f>+G46/B46</f>
        <v>1250490</v>
      </c>
      <c r="I46" s="4">
        <f>+G46/B44</f>
        <v>74.35426328933286</v>
      </c>
    </row>
    <row r="47" spans="1:8" ht="12.75">
      <c r="A47" t="s">
        <v>150</v>
      </c>
      <c r="C47" s="4">
        <f>SUM(C44:C46)</f>
        <v>16031781</v>
      </c>
      <c r="D47" s="4"/>
      <c r="E47" s="4"/>
      <c r="F47" s="5">
        <f>+SUM(F44:F46)</f>
        <v>638457703</v>
      </c>
      <c r="G47" s="5">
        <f>+F47/3</f>
        <v>212819234.33333334</v>
      </c>
      <c r="H47" s="5"/>
    </row>
    <row r="48" spans="1:3" ht="12.75">
      <c r="A48" t="s">
        <v>151</v>
      </c>
      <c r="C48" s="4">
        <f>+C47/3</f>
        <v>5343927</v>
      </c>
    </row>
    <row r="50" spans="1:3" ht="12.75">
      <c r="A50" t="s">
        <v>152</v>
      </c>
      <c r="C50" s="4">
        <f>+C44+C45</f>
        <v>15948415</v>
      </c>
    </row>
  </sheetData>
  <printOptions/>
  <pageMargins left="0.53" right="0.32" top="1" bottom="0.7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US_EPA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gcastro</dc:creator>
  <cp:keywords/>
  <dc:description/>
  <cp:lastModifiedBy>Stephen Edgerton</cp:lastModifiedBy>
  <cp:lastPrinted>2006-11-14T17:59:49Z</cp:lastPrinted>
  <dcterms:created xsi:type="dcterms:W3CDTF">2004-02-09T20:45:23Z</dcterms:created>
  <dcterms:modified xsi:type="dcterms:W3CDTF">2007-02-07T19:36:07Z</dcterms:modified>
  <cp:category/>
  <cp:version/>
  <cp:contentType/>
  <cp:contentStatus/>
</cp:coreProperties>
</file>