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20" windowWidth="16110" windowHeight="10860" tabRatio="599" activeTab="0"/>
  </bookViews>
  <sheets>
    <sheet name="RSVP operations cost (5 years)" sheetId="1" r:id="rId1"/>
    <sheet name="Resource Categories" sheetId="2" r:id="rId2"/>
    <sheet name="Labor and Indirect Rates (NSF)" sheetId="3" r:id="rId3"/>
    <sheet name="K0PI0 alacart Operations" sheetId="4" r:id="rId4"/>
    <sheet name="MECO alacart Operations" sheetId="5" r:id="rId5"/>
    <sheet name="MECO manpower - NSF" sheetId="6" r:id="rId6"/>
    <sheet name="K0PI0 manpower - NSF" sheetId="7" r:id="rId7"/>
    <sheet name="Proton Beam Requirements (OLD)" sheetId="8" r:id="rId8"/>
  </sheets>
  <externalReferences>
    <externalReference r:id="rId11"/>
  </externalReferences>
  <definedNames>
    <definedName name="_Order1" hidden="1">255</definedName>
    <definedName name="bnl_design">#REF!</definedName>
    <definedName name="bnl_dts">#REF!</definedName>
    <definedName name="bnl_eng">#REF!</definedName>
    <definedName name="bnl_eng_base">#REF!</definedName>
    <definedName name="bnl_indirect">#REF!</definedName>
    <definedName name="bnl_sci">#REF!</definedName>
    <definedName name="bnl_sci_base">#REF!</definedName>
    <definedName name="bnl_shops">#REF!</definedName>
    <definedName name="bnl_shops_base">#REF!</definedName>
    <definedName name="bnl_tech">#REF!</definedName>
    <definedName name="bnl_tech_base">#REF!</definedName>
    <definedName name="bu_indirect">#REF!</definedName>
    <definedName name="designerbase">#REF!</definedName>
    <definedName name="DTS_Base">#REF!</definedName>
    <definedName name="HTML_CodePage" hidden="1">1252</definedName>
    <definedName name="HTML_Control" localSheetId="3" hidden="1">{"'FY97 AGS Schedule (Latest)'!$A$1:$S$72"}</definedName>
    <definedName name="HTML_Control" localSheetId="6" hidden="1">{"'FY97 AGS Schedule (Latest)'!$A$1:$S$72"}</definedName>
    <definedName name="HTML_Control" localSheetId="2" hidden="1">{"'FY97 AGS Schedule (Latest)'!$A$1:$S$72"}</definedName>
    <definedName name="HTML_Control" localSheetId="4" hidden="1">{"'FY97 AGS Schedule (Latest)'!$A$1:$S$72"}</definedName>
    <definedName name="HTML_Control" localSheetId="5" hidden="1">{"'FY97 AGS Schedule (Latest)'!$A$1:$S$72"}</definedName>
    <definedName name="HTML_Control" localSheetId="0" hidden="1">{"'FY97 AGS Schedule (Latest)'!$A$1:$S$72"}</definedName>
    <definedName name="HTML_Control" hidden="1">{"'FY97 AGS Schedule (Latest)'!$A$1:$S$72"}</definedName>
    <definedName name="HTML_Description" hidden="1">""</definedName>
    <definedName name="HTML_Email" hidden="1">""</definedName>
    <definedName name="HTML_Header" hidden="1">"FY97 AGS Schedule (Latest)"</definedName>
    <definedName name="HTML_LastUpdate" hidden="1">"3/13/97"</definedName>
    <definedName name="HTML_LineAfter" hidden="1">FALSE</definedName>
    <definedName name="HTML_LineBefore" hidden="1">FALSE</definedName>
    <definedName name="HTML_Name" hidden="1">"Philip H. Pile"</definedName>
    <definedName name="HTML_OBDlg2" hidden="1">TRUE</definedName>
    <definedName name="HTML_OBDlg4" hidden="1">TRUE</definedName>
    <definedName name="HTML_OS" hidden="1">0</definedName>
    <definedName name="HTML_PathFile" hidden="1">"C:\My Documents\AGS Schedules\FY97_AGS_run_work.html"</definedName>
    <definedName name="HTML_Title" hidden="1">"FY97_AGS_run_work"</definedName>
    <definedName name="inf">#REF!</definedName>
    <definedName name="LIL_SUMR">#REF!</definedName>
    <definedName name="LIL_WINT">#REF!</definedName>
    <definedName name="loadfactor">#REF!</definedName>
    <definedName name="Marcy">#REF!</definedName>
    <definedName name="MoDemand">'[1]Monthly Energy Est'!$A$9:$GH$51</definedName>
    <definedName name="NYPA">#REF!</definedName>
    <definedName name="nyparate">#REF!</definedName>
    <definedName name="_xlnm.Print_Area" localSheetId="3">'K0PI0 alacart Operations'!$A$1:$E$55</definedName>
    <definedName name="_xlnm.Print_Area" localSheetId="6">'K0PI0 manpower - NSF'!$C$3:$O$45</definedName>
    <definedName name="_xlnm.Print_Area" localSheetId="4">'MECO alacart Operations'!$A$1:$E$55</definedName>
    <definedName name="_xlnm.Print_Area" localSheetId="5">'MECO manpower - NSF'!$C$3:$O$45</definedName>
    <definedName name="_xlnm.Print_Area" localSheetId="0">'RSVP operations cost (5 years)'!$B$3:$K$165</definedName>
    <definedName name="SiteDemand">#REF!</definedName>
    <definedName name="surcharge">#REF!</definedName>
    <definedName name="uci_eng">#REF!</definedName>
    <definedName name="uci_indirect">#REF!</definedName>
    <definedName name="uh_indirect">#REF!</definedName>
  </definedNames>
  <calcPr fullCalcOnLoad="1"/>
</workbook>
</file>

<file path=xl/sharedStrings.xml><?xml version="1.0" encoding="utf-8"?>
<sst xmlns="http://schemas.openxmlformats.org/spreadsheetml/2006/main" count="633" uniqueCount="382">
  <si>
    <t>Travel</t>
  </si>
  <si>
    <t>RSVP Resource Categories</t>
  </si>
  <si>
    <t>Category</t>
  </si>
  <si>
    <t>Code</t>
  </si>
  <si>
    <t>O/H Rate</t>
  </si>
  <si>
    <t>PH</t>
  </si>
  <si>
    <t>Mechanical Engineer</t>
  </si>
  <si>
    <t>ME</t>
  </si>
  <si>
    <t>Electrical Engineer</t>
  </si>
  <si>
    <t>EE</t>
  </si>
  <si>
    <t>Mechanical Designer</t>
  </si>
  <si>
    <t>MD</t>
  </si>
  <si>
    <t>Electrical Designer</t>
  </si>
  <si>
    <t>ED</t>
  </si>
  <si>
    <t>IT Professional</t>
  </si>
  <si>
    <t>IT</t>
  </si>
  <si>
    <t>Administrative</t>
  </si>
  <si>
    <t>ADM</t>
  </si>
  <si>
    <t>Management</t>
  </si>
  <si>
    <t>MGT</t>
  </si>
  <si>
    <t>Supervisor</t>
  </si>
  <si>
    <t>SPV</t>
  </si>
  <si>
    <t>Electrical Technician</t>
  </si>
  <si>
    <t>ET</t>
  </si>
  <si>
    <t>Mechanical Technician</t>
  </si>
  <si>
    <t>MT</t>
  </si>
  <si>
    <t>Pulsed Power Technician</t>
  </si>
  <si>
    <t>PPT</t>
  </si>
  <si>
    <t>Access Controls Technician</t>
  </si>
  <si>
    <t>ACT</t>
  </si>
  <si>
    <t>PS Systems Technician</t>
  </si>
  <si>
    <t>PST</t>
  </si>
  <si>
    <t>Coordinators</t>
  </si>
  <si>
    <t>MCC</t>
  </si>
  <si>
    <t>Operators</t>
  </si>
  <si>
    <t>MCO</t>
  </si>
  <si>
    <t>Vacuum Technician</t>
  </si>
  <si>
    <t>VT</t>
  </si>
  <si>
    <t>RF Technician</t>
  </si>
  <si>
    <t>RFT</t>
  </si>
  <si>
    <t>Instrumentation Beam Technician</t>
  </si>
  <si>
    <t>IBT</t>
  </si>
  <si>
    <t>Cryogenic Technician</t>
  </si>
  <si>
    <t>CT</t>
  </si>
  <si>
    <t>Controls Technician</t>
  </si>
  <si>
    <t>CNT</t>
  </si>
  <si>
    <t>Beam Service Technician</t>
  </si>
  <si>
    <t>BST</t>
  </si>
  <si>
    <t>Collider Accelerator Support Technician</t>
  </si>
  <si>
    <t>CAS</t>
  </si>
  <si>
    <t>Mechanical Service Technician (FES)</t>
  </si>
  <si>
    <t>MST</t>
  </si>
  <si>
    <t>Survey</t>
  </si>
  <si>
    <t>S</t>
  </si>
  <si>
    <t>Electronics Service Technician (FES)</t>
  </si>
  <si>
    <t>EST</t>
  </si>
  <si>
    <t>Water Systems Technician (FES)</t>
  </si>
  <si>
    <t>WST</t>
  </si>
  <si>
    <t>Post Docs</t>
  </si>
  <si>
    <t>PD</t>
  </si>
  <si>
    <t>Other Labor</t>
  </si>
  <si>
    <t>Scientific Distributed Labor</t>
  </si>
  <si>
    <t>SD</t>
  </si>
  <si>
    <t>Contract Labor</t>
  </si>
  <si>
    <t>CL</t>
  </si>
  <si>
    <t>Per Contract</t>
  </si>
  <si>
    <t>Consultants/Collaborators</t>
  </si>
  <si>
    <t>CC</t>
  </si>
  <si>
    <t>Support Labor</t>
  </si>
  <si>
    <t>Central Shops</t>
  </si>
  <si>
    <t>CS</t>
  </si>
  <si>
    <t>Building Trades (Standard)</t>
  </si>
  <si>
    <t>BTS</t>
  </si>
  <si>
    <t>Building Trades Engineer</t>
  </si>
  <si>
    <t>BTE</t>
  </si>
  <si>
    <t>Building Trades Carpenter</t>
  </si>
  <si>
    <t>BTC</t>
  </si>
  <si>
    <t>Building Trades Electrician</t>
  </si>
  <si>
    <t>Building Trades Rigger</t>
  </si>
  <si>
    <t>BTR</t>
  </si>
  <si>
    <t>Low Value (Less Than $25K)</t>
  </si>
  <si>
    <t>LV</t>
  </si>
  <si>
    <t>Per PO</t>
  </si>
  <si>
    <t>High Value (Over $25K)</t>
  </si>
  <si>
    <t>HV</t>
  </si>
  <si>
    <t>Large Procurement (Over $600K)</t>
  </si>
  <si>
    <t>LP</t>
  </si>
  <si>
    <t>Only First $600K</t>
  </si>
  <si>
    <t>Capital Equipment</t>
  </si>
  <si>
    <t>CE</t>
  </si>
  <si>
    <t>TV</t>
  </si>
  <si>
    <t>Per Trip</t>
  </si>
  <si>
    <t>FY05 (D. Sappo, 9/30/04)</t>
  </si>
  <si>
    <t>Power supplies</t>
  </si>
  <si>
    <t>Instrumentation</t>
  </si>
  <si>
    <t>Controls</t>
  </si>
  <si>
    <t>Labor</t>
  </si>
  <si>
    <t>Total</t>
  </si>
  <si>
    <t>Materials</t>
  </si>
  <si>
    <t>MECO Experiment Specific Costs/week</t>
  </si>
  <si>
    <t>K0PI0 Experiment Specific Costs/week</t>
  </si>
  <si>
    <t>Full Cost Recovery Fee (3%)</t>
  </si>
  <si>
    <t>Common Costs 3% FCR</t>
  </si>
  <si>
    <t>Experiment Costs 3% FCR</t>
  </si>
  <si>
    <t>Valid for post-construction experiment operations period</t>
  </si>
  <si>
    <t>RHIC Cryo Weeks</t>
  </si>
  <si>
    <t>27</t>
  </si>
  <si>
    <t>HI-HI Phys. Wks.</t>
  </si>
  <si>
    <t>pp, pHI Phys. Wks.</t>
  </si>
  <si>
    <t>K0PI0 Proton Requirement</t>
  </si>
  <si>
    <t>10/18/04 Email From Marx</t>
  </si>
  <si>
    <t>TDR Specs</t>
  </si>
  <si>
    <t>AGS Cycle time</t>
  </si>
  <si>
    <t>sec</t>
  </si>
  <si>
    <t>Beam Energy</t>
  </si>
  <si>
    <t>GeV/c</t>
  </si>
  <si>
    <t>Flat Top</t>
  </si>
  <si>
    <t>Protons/week</t>
  </si>
  <si>
    <t>With RHIC</t>
  </si>
  <si>
    <t>Available Hours</t>
  </si>
  <si>
    <t>Without RHIC</t>
  </si>
  <si>
    <t>p/pulse</t>
  </si>
  <si>
    <t>1E14 TP/pulse x 9.2E6 AGS Pulses  =</t>
  </si>
  <si>
    <t>Available Outside RHIC</t>
  </si>
  <si>
    <t>TOTAL RSVP Weeks Available</t>
  </si>
  <si>
    <t>Years</t>
  </si>
  <si>
    <t>Weeks to complete</t>
  </si>
  <si>
    <t xml:space="preserve"> 25 weeks/yr</t>
  </si>
  <si>
    <t>4E13 TP/pulse / 1 sec/pulse x  1E7 sec  =</t>
  </si>
  <si>
    <t>MECO Proton Requirement (2E-17 single event sensitivity)</t>
  </si>
  <si>
    <t>Power</t>
  </si>
  <si>
    <t>Assumptions</t>
  </si>
  <si>
    <t>(1) AGS not available for RSVP during 1st 7 weeks of RHIC operations and for 4 weeks/additional beam during a given year</t>
  </si>
  <si>
    <t>(3) AGS is available for RSVP the balance of the time after reserving 15 weeks for shutdown work</t>
  </si>
  <si>
    <t>(2) Last week of RHIC operations is considered running outside RHIC operations since this is cryo warm-up week (injectors not running)</t>
  </si>
  <si>
    <t>Sub-Total</t>
  </si>
  <si>
    <t>Rate</t>
  </si>
  <si>
    <t>Direct Cost</t>
  </si>
  <si>
    <t>Paid Absence Burden(PAB)</t>
  </si>
  <si>
    <t>Fringe on DC and PAB</t>
  </si>
  <si>
    <t>Nominal Salary Base (Direct Cost)</t>
  </si>
  <si>
    <t>Space Charge (SC) on DC,PAB and Fringe</t>
  </si>
  <si>
    <t>Organizational Burden(OB) on DC,PAB and Fr</t>
  </si>
  <si>
    <t>Power(Pwr) on DC, PAB and Fr</t>
  </si>
  <si>
    <t>Communications on DC, PAB and Fr (incl. in OB)</t>
  </si>
  <si>
    <t>ITD Contribution on DC, PAB and Fr</t>
  </si>
  <si>
    <t>Auto  on DC, PAB and Fr</t>
  </si>
  <si>
    <t>ESH on DC, PAB and Fr</t>
  </si>
  <si>
    <t xml:space="preserve"> Department Burden Total</t>
  </si>
  <si>
    <t>G&amp;A on DC</t>
  </si>
  <si>
    <t>G&amp;A on PAB</t>
  </si>
  <si>
    <t>G&amp;A on Fr</t>
  </si>
  <si>
    <t>G&amp;A on SC</t>
  </si>
  <si>
    <t>G&amp;A on OB</t>
  </si>
  <si>
    <t>G&amp;A on All else except power</t>
  </si>
  <si>
    <t>G&amp;A on Pwr</t>
  </si>
  <si>
    <t>BNL G&amp;A Total</t>
  </si>
  <si>
    <t>Department plus G&amp;A</t>
  </si>
  <si>
    <t>FCR (direct to DOE)</t>
  </si>
  <si>
    <t>Department plus G&amp;A plus FCR</t>
  </si>
  <si>
    <t>Indirect on Direct+PAB+Fringe ($100,000)</t>
  </si>
  <si>
    <t>Consultants/Jobshoppers</t>
  </si>
  <si>
    <t>Dept</t>
  </si>
  <si>
    <t>Lab</t>
  </si>
  <si>
    <t>DOE</t>
  </si>
  <si>
    <t>Direct Costs (DC)</t>
  </si>
  <si>
    <t>FCR</t>
  </si>
  <si>
    <t xml:space="preserve">Indirect </t>
  </si>
  <si>
    <t>DTS (Central Shops/Plant Engineering)</t>
  </si>
  <si>
    <t>MSTC (purchases)</t>
  </si>
  <si>
    <t>Direct Cost (DC)</t>
  </si>
  <si>
    <t>Material Handling (MH)</t>
  </si>
  <si>
    <t>G&amp;A on MH</t>
  </si>
  <si>
    <t>Indirect</t>
  </si>
  <si>
    <t>Subcontracts (Purchases &gt; 25K)</t>
  </si>
  <si>
    <t>G&amp;A on DC ("Traditional" only)</t>
  </si>
  <si>
    <t>Subcontracts (Purchases &gt; 600K) on the first $600k only</t>
  </si>
  <si>
    <t>FIXED</t>
  </si>
  <si>
    <t>Indirect (Only on first $600K, prior approval required)</t>
  </si>
  <si>
    <t>Purchase Equipment (Turn-key Purchases &gt; 25K Gen CAP/HEEP)</t>
  </si>
  <si>
    <t>Purchase Equipment (Turn-Key, Purchases &gt; 600K) on first $600K only</t>
  </si>
  <si>
    <t>Labor Rates (direct, includes PAB and fringe)</t>
  </si>
  <si>
    <t>$/hr</t>
  </si>
  <si>
    <t>techs</t>
  </si>
  <si>
    <t>PER PRODUCTIVE HOUR</t>
  </si>
  <si>
    <t>engineers</t>
  </si>
  <si>
    <t>designers</t>
  </si>
  <si>
    <t>physicist</t>
  </si>
  <si>
    <t>DISTRIBUTED TECHNICAL SERVICES (DTS):</t>
  </si>
  <si>
    <t>CENTRAL SHOPS</t>
  </si>
  <si>
    <t>BLDG. TRADES</t>
  </si>
  <si>
    <t>CNST ENGR SERVICES</t>
  </si>
  <si>
    <t>DIRECT ASSIGNED</t>
  </si>
  <si>
    <t>GENERAL LABOR</t>
  </si>
  <si>
    <t>PRODUCTIVE HOURS  FOR 1 FTE</t>
  </si>
  <si>
    <t>Physicist</t>
  </si>
  <si>
    <t>DTS</t>
  </si>
  <si>
    <t>FTE</t>
  </si>
  <si>
    <t>With Indirects</t>
  </si>
  <si>
    <t>TOTAL</t>
  </si>
  <si>
    <t>K0PI0</t>
  </si>
  <si>
    <t>MECO</t>
  </si>
  <si>
    <t>$/year (FTE)</t>
  </si>
  <si>
    <t>MSTC</t>
  </si>
  <si>
    <t>Subtotal</t>
  </si>
  <si>
    <t>LE/LP</t>
  </si>
  <si>
    <t>0.25 FTE</t>
  </si>
  <si>
    <t>Indirect for Capital Projects</t>
  </si>
  <si>
    <t>Direct Salary and Wage</t>
  </si>
  <si>
    <t>Fuel Charge on Space Charge</t>
  </si>
  <si>
    <t>G&amp;A on Fuel</t>
  </si>
  <si>
    <t>Material Handling 7% of $600K (MH)</t>
  </si>
  <si>
    <t>BNL Administrative*</t>
  </si>
  <si>
    <t>BNL Management*</t>
  </si>
  <si>
    <t>* pp estimate</t>
  </si>
  <si>
    <t>The base manpower estimate is comprised of the following:</t>
  </si>
  <si>
    <t>Direct</t>
  </si>
  <si>
    <t>BNL indirects</t>
  </si>
  <si>
    <t>Base</t>
  </si>
  <si>
    <t>w/Fringe &amp; PAB</t>
  </si>
  <si>
    <t>C-AD Org Burd</t>
  </si>
  <si>
    <t>w/3% Safeguards</t>
  </si>
  <si>
    <t>Engineering (mechanical, electrical)</t>
  </si>
  <si>
    <t>Vacuum systems</t>
  </si>
  <si>
    <t>Magnet systems</t>
  </si>
  <si>
    <t>Utilities (power, water, AC)</t>
  </si>
  <si>
    <t>Extraction systems</t>
  </si>
  <si>
    <t xml:space="preserve">ES&amp;H, QA, Admin, training (org. burden) </t>
  </si>
  <si>
    <t>Shift operations</t>
  </si>
  <si>
    <t>E940 manpower support</t>
  </si>
  <si>
    <t>Physicist, engineering</t>
  </si>
  <si>
    <t>Cryo systems engineering, technicians</t>
  </si>
  <si>
    <t>Technicians (instr., vacuum, magnet etc.)</t>
  </si>
  <si>
    <t>Accel Oprs (15% shift differential only) - 1 week</t>
  </si>
  <si>
    <t xml:space="preserve">   PERSONNEL (all shift work)</t>
  </si>
  <si>
    <t xml:space="preserve">     3 MCR </t>
  </si>
  <si>
    <t xml:space="preserve">     1 Scientific</t>
  </si>
  <si>
    <t xml:space="preserve">     1 SIEMENS</t>
  </si>
  <si>
    <t xml:space="preserve">     1 HP </t>
  </si>
  <si>
    <t>FY 03</t>
  </si>
  <si>
    <t>E926 manpower support</t>
  </si>
  <si>
    <t>RF systems engineering, technicians</t>
  </si>
  <si>
    <t>Personnel Costs assuming construction project indirect costs.</t>
  </si>
  <si>
    <t>FY 05</t>
  </si>
  <si>
    <t>The present NYPA contract expires in July 2005 and energy costs are expected to increase</t>
  </si>
  <si>
    <t>Assumed Energy Cost</t>
  </si>
  <si>
    <t>per MWhr</t>
  </si>
  <si>
    <t>FTE's</t>
  </si>
  <si>
    <t>Base FTE</t>
  </si>
  <si>
    <t>w/o RHIC</t>
  </si>
  <si>
    <t>w/RHIC HI</t>
  </si>
  <si>
    <t>w/RHIC pp</t>
  </si>
  <si>
    <t>SP</t>
  </si>
  <si>
    <t>Booster and AGS sub-total</t>
  </si>
  <si>
    <t>On time% (determined by RHIC needs)</t>
  </si>
  <si>
    <t>Shift Differential (5 seats)</t>
  </si>
  <si>
    <t>Linac</t>
  </si>
  <si>
    <t>Linac Sub-Total</t>
  </si>
  <si>
    <t>On time%</t>
  </si>
  <si>
    <t>Power (MW)</t>
  </si>
  <si>
    <t>Power Cost</t>
  </si>
  <si>
    <t>Cost/MWhr</t>
  </si>
  <si>
    <t xml:space="preserve">On time </t>
  </si>
  <si>
    <t>K0PI0 (E926) - DRAFT</t>
  </si>
  <si>
    <t>DEDICATED  tests - no HEP or RHIC base support (pre/post-ops not included)</t>
  </si>
  <si>
    <t>Cost for 1 week of operatons</t>
  </si>
  <si>
    <t>Clock time in hours</t>
  </si>
  <si>
    <t>Dept Charges</t>
  </si>
  <si>
    <t>G&amp;A</t>
  </si>
  <si>
    <t>Accel Oprs</t>
  </si>
  <si>
    <t xml:space="preserve">     1 Scientific/Professional (1/2 time)</t>
  </si>
  <si>
    <t>SCIENTIFIC</t>
  </si>
  <si>
    <t>PROFESSIONAL</t>
  </si>
  <si>
    <t>TECHNICAL</t>
  </si>
  <si>
    <t xml:space="preserve">   DTS</t>
  </si>
  <si>
    <t xml:space="preserve">   MSTC</t>
  </si>
  <si>
    <t xml:space="preserve">   SPEC PROC</t>
  </si>
  <si>
    <t>ES&amp;F</t>
  </si>
  <si>
    <t xml:space="preserve">   2 Shift Personnel (CAS watch)</t>
  </si>
  <si>
    <t xml:space="preserve">   2 Prof Support (20 hrs per week each)</t>
  </si>
  <si>
    <t>LINAC</t>
  </si>
  <si>
    <t xml:space="preserve">   Tech Support (1/4 time)</t>
  </si>
  <si>
    <t>TOTAL COST</t>
  </si>
  <si>
    <t>ELECTRICITY COSTS (Est. Only)</t>
  </si>
  <si>
    <t>Sub-TOTAL WEEKLY OPERATING COSTS</t>
  </si>
  <si>
    <t>TOTAL DIRECT COSTS</t>
  </si>
  <si>
    <t>HOURLY RATE</t>
  </si>
  <si>
    <t>3 (8HR) SHIFTS</t>
  </si>
  <si>
    <t>Full Cost Recovery</t>
  </si>
  <si>
    <t>TOTAL WEEKLY OPERATING COSTS</t>
  </si>
  <si>
    <t>Cost for 1 shift of operation</t>
  </si>
  <si>
    <t>9/21/04 - escalated 3%/year FY03-FY05</t>
  </si>
  <si>
    <t>One Week - beam to B-target for tests</t>
  </si>
  <si>
    <t>FY2006 and beyond</t>
  </si>
  <si>
    <t>Fixed Personnel Costs</t>
  </si>
  <si>
    <t>(shared)</t>
  </si>
  <si>
    <t>Total Personnel Cost</t>
  </si>
  <si>
    <t xml:space="preserve">Costs Common to RSVP </t>
  </si>
  <si>
    <t>Booster and AGS Accelerators</t>
  </si>
  <si>
    <t>Booster &amp; AGS cost per week</t>
  </si>
  <si>
    <t>Linac cost per week</t>
  </si>
  <si>
    <t>Total Common Costs/week</t>
  </si>
  <si>
    <t>MECO Power Total</t>
  </si>
  <si>
    <t>K0PI0 Power Total</t>
  </si>
  <si>
    <t>Example Total Cost</t>
  </si>
  <si>
    <t>Accelerator Weeks</t>
  </si>
  <si>
    <t>Personnel FTE's</t>
  </si>
  <si>
    <t>Total RSVP Cost</t>
  </si>
  <si>
    <t xml:space="preserve">   MSTC Experimental Area</t>
  </si>
  <si>
    <t>MECO (E940) - DRAFT</t>
  </si>
  <si>
    <t>One Week - beam to A-target for tests</t>
  </si>
  <si>
    <t xml:space="preserve">   2 Tech Support (75% time)</t>
  </si>
  <si>
    <t>W/RHIC HI</t>
  </si>
  <si>
    <t>W/RHIC pp</t>
  </si>
  <si>
    <t>Outside RHIC</t>
  </si>
  <si>
    <t>Personnel</t>
  </si>
  <si>
    <t>Other</t>
  </si>
  <si>
    <t>K0PI0 (weeks)</t>
  </si>
  <si>
    <t>MECO (weeks)</t>
  </si>
  <si>
    <t>In FY05 Dollars and full NSF indirects, FY2006 Power Costs (estimate for new NYPA Contract)</t>
  </si>
  <si>
    <t xml:space="preserve">   Based on 11 MW above 3 MW base X $85 Mwhr</t>
  </si>
  <si>
    <t xml:space="preserve">   Based on 15 MW above 3 MW base X $85 Mwhr</t>
  </si>
  <si>
    <t>Primary Beam (can be off, includes switchyard)</t>
  </si>
  <si>
    <t>Experiment (can be off)</t>
  </si>
  <si>
    <t>Base (Experiment power that's always on, water, electronics etc)</t>
  </si>
  <si>
    <t>Accelerators (AGS and Booster)</t>
  </si>
  <si>
    <t>Personnel Direct Cost</t>
  </si>
  <si>
    <t>Indirect Costs</t>
  </si>
  <si>
    <t>Indirect costs</t>
  </si>
  <si>
    <t>3% FCR</t>
  </si>
  <si>
    <t>Shift Differential</t>
  </si>
  <si>
    <t>3% Full Cost Recovery</t>
  </si>
  <si>
    <t>RSVP Total Weeks</t>
  </si>
  <si>
    <t xml:space="preserve"> </t>
  </si>
  <si>
    <t>Experiment (can be off - neutral beam and D4)</t>
  </si>
  <si>
    <t>Maintenance</t>
  </si>
  <si>
    <t>indirects</t>
  </si>
  <si>
    <t>Maintenance (included below in MSTC)</t>
  </si>
  <si>
    <t>Nitrogen (300 L/hr total @ $.07/L)</t>
  </si>
  <si>
    <t>Refrigerator Power (0.4 MW total)</t>
  </si>
  <si>
    <t>Nitrogen (200 L/hr total @ $.07/L)</t>
  </si>
  <si>
    <t>Base (always on, water, electronics etc)</t>
  </si>
  <si>
    <t>Refrigerator Power (0.62 MW total - incremental to Fixed, always on)</t>
  </si>
  <si>
    <t>Refrigerator Power (0.62 MW total - see below)</t>
  </si>
  <si>
    <t>MECO Experiment Fixed Cost per year (includes 3% FCR)</t>
  </si>
  <si>
    <t>Warning - does not include Waste Disposal</t>
  </si>
  <si>
    <t>Warning - does not include Waste Disposal or Fixed Refrig costs</t>
  </si>
  <si>
    <t>MECO Fixed Costs#</t>
  </si>
  <si>
    <t>MECO Cryo ON?</t>
  </si>
  <si>
    <t>K0PI0 FTE</t>
  </si>
  <si>
    <t>K0PI0 Weeks</t>
  </si>
  <si>
    <t>MECO Weeks (includes fixed cost)</t>
  </si>
  <si>
    <t>Reduced by 2 FTE (with muon beam/cryo off)</t>
  </si>
  <si>
    <t>MECO FTE (ops = 6)</t>
  </si>
  <si>
    <t>Covered by construction</t>
  </si>
  <si>
    <t>Not operational</t>
  </si>
  <si>
    <t>Reduced by factor of 2 for beam development</t>
  </si>
  <si>
    <t>AGS SEB Experimental area MSTC (50% ops)</t>
  </si>
  <si>
    <t>Waste Disposal (50% ops)</t>
  </si>
  <si>
    <t>MECO Fixed Cost (year-round) - cryo OFF</t>
  </si>
  <si>
    <t>MECO Incremental to Fixed Cost to run Cryo OFF</t>
  </si>
  <si>
    <t>MECO MSTC (50% ops)</t>
  </si>
  <si>
    <t>K0PI0 MSTC (50% ops)</t>
  </si>
  <si>
    <t>FY06</t>
  </si>
  <si>
    <t>FY07</t>
  </si>
  <si>
    <t>FY08</t>
  </si>
  <si>
    <t>FY09</t>
  </si>
  <si>
    <t>FY10</t>
  </si>
  <si>
    <t>FY11</t>
  </si>
  <si>
    <t>For non-DOE projects - includes safeguards tax (adds 0% to G&amp;A) and Full Cost Recovery fee (0%)</t>
  </si>
  <si>
    <t>FY05 - REDUCED INDIRECTS</t>
  </si>
  <si>
    <t>10/18/04 from Darlene</t>
  </si>
  <si>
    <t>Material Handling (MH) on DC-7.0% of $600K</t>
  </si>
  <si>
    <t>G&amp;A on DC-5.5% of $600K</t>
  </si>
  <si>
    <t>SR Physicist</t>
  </si>
  <si>
    <t>RSVP Pre-operations Costs per week, FY 2005 $'s with reduced NSF Indirects</t>
  </si>
  <si>
    <t>Example RSVP Pre-operations Plan</t>
  </si>
  <si>
    <t>Reduced, AQ11-15, AD4,5  off</t>
  </si>
  <si>
    <t>Cryo off</t>
  </si>
  <si>
    <t>Assumed to be on</t>
  </si>
  <si>
    <t>(4) MECO Cryo is off, MECO beam transported to temporary beam dump upstream of AD4</t>
  </si>
  <si>
    <t>Example RSVP Pre-operations plan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</si>
</sst>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&quot;$&quot;#,##0.00"/>
    <numFmt numFmtId="170" formatCode="&quot;$&quot;#,##0"/>
    <numFmt numFmtId="171" formatCode="_(&quot;$&quot;* #,##0_);_(&quot;$&quot;* \(#,##0\);_(&quot;$&quot;* &quot;-&quot;??_);_(@_)"/>
    <numFmt numFmtId="172" formatCode="0.0E+00"/>
    <numFmt numFmtId="173" formatCode="_(&quot;$&quot;* #,##0.0_);_(&quot;$&quot;* \(#,##0.0\);_(&quot;$&quot;* &quot;-&quot;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doubleAccounting"/>
      <sz val="10"/>
      <name val="Arial"/>
      <family val="2"/>
    </font>
    <font>
      <sz val="8"/>
      <name val="Arial"/>
      <family val="0"/>
    </font>
    <font>
      <b/>
      <u val="single"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4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69" fontId="0" fillId="0" borderId="0" xfId="20" applyNumberFormat="1" applyAlignment="1">
      <alignment/>
    </xf>
    <xf numFmtId="6" fontId="0" fillId="0" borderId="0" xfId="0" applyNumberFormat="1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4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0" fontId="4" fillId="0" borderId="2" xfId="0" applyNumberFormat="1" applyFont="1" applyBorder="1" applyAlignment="1">
      <alignment/>
    </xf>
    <xf numFmtId="10" fontId="4" fillId="0" borderId="3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44" fontId="0" fillId="0" borderId="0" xfId="0" applyNumberFormat="1" applyAlignment="1">
      <alignment horizontal="left"/>
    </xf>
    <xf numFmtId="10" fontId="0" fillId="0" borderId="0" xfId="20" applyNumberFormat="1" applyAlignment="1">
      <alignment/>
    </xf>
    <xf numFmtId="171" fontId="0" fillId="0" borderId="0" xfId="2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42" fontId="0" fillId="0" borderId="0" xfId="0" applyNumberFormat="1" applyAlignment="1">
      <alignment/>
    </xf>
    <xf numFmtId="42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2" fontId="12" fillId="0" borderId="0" xfId="0" applyNumberFormat="1" applyFont="1" applyAlignment="1">
      <alignment horizontal="center"/>
    </xf>
    <xf numFmtId="42" fontId="12" fillId="0" borderId="0" xfId="0" applyNumberFormat="1" applyFont="1" applyAlignment="1">
      <alignment/>
    </xf>
    <xf numFmtId="42" fontId="11" fillId="0" borderId="0" xfId="0" applyNumberFormat="1" applyFont="1" applyAlignment="1">
      <alignment horizontal="center"/>
    </xf>
    <xf numFmtId="42" fontId="11" fillId="0" borderId="0" xfId="0" applyNumberFormat="1" applyFont="1" applyAlignment="1">
      <alignment/>
    </xf>
    <xf numFmtId="44" fontId="0" fillId="0" borderId="0" xfId="19" applyNumberFormat="1" applyAlignment="1">
      <alignment horizontal="left"/>
    </xf>
    <xf numFmtId="10" fontId="0" fillId="0" borderId="0" xfId="19" applyNumberFormat="1" applyAlignment="1">
      <alignment/>
    </xf>
    <xf numFmtId="171" fontId="0" fillId="0" borderId="0" xfId="19" applyNumberFormat="1" applyAlignment="1">
      <alignment/>
    </xf>
    <xf numFmtId="9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4" fontId="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7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170" fontId="13" fillId="0" borderId="0" xfId="0" applyNumberFormat="1" applyFont="1" applyAlignment="1">
      <alignment horizontal="left"/>
    </xf>
    <xf numFmtId="170" fontId="1" fillId="0" borderId="0" xfId="0" applyNumberFormat="1" applyFont="1" applyAlignment="1">
      <alignment horizontal="left"/>
    </xf>
    <xf numFmtId="170" fontId="1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6" fontId="8" fillId="0" borderId="0" xfId="0" applyNumberFormat="1" applyFont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44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center"/>
    </xf>
    <xf numFmtId="42" fontId="0" fillId="0" borderId="0" xfId="0" applyNumberForma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42" fontId="4" fillId="0" borderId="3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42" fontId="0" fillId="0" borderId="0" xfId="0" applyNumberFormat="1" applyFill="1" applyBorder="1" applyAlignment="1">
      <alignment/>
    </xf>
    <xf numFmtId="42" fontId="0" fillId="0" borderId="5" xfId="0" applyNumberFormat="1" applyFill="1" applyBorder="1" applyAlignment="1">
      <alignment/>
    </xf>
    <xf numFmtId="0" fontId="0" fillId="0" borderId="4" xfId="0" applyFont="1" applyBorder="1" applyAlignment="1">
      <alignment/>
    </xf>
    <xf numFmtId="42" fontId="0" fillId="0" borderId="0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4" fillId="0" borderId="5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0" fontId="4" fillId="0" borderId="9" xfId="0" applyFont="1" applyBorder="1" applyAlignment="1">
      <alignment/>
    </xf>
    <xf numFmtId="10" fontId="0" fillId="0" borderId="10" xfId="0" applyNumberFormat="1" applyBorder="1" applyAlignment="1">
      <alignment/>
    </xf>
    <xf numFmtId="42" fontId="4" fillId="0" borderId="10" xfId="0" applyNumberFormat="1" applyFont="1" applyBorder="1" applyAlignment="1">
      <alignment/>
    </xf>
    <xf numFmtId="42" fontId="4" fillId="0" borderId="11" xfId="0" applyNumberFormat="1" applyFont="1" applyBorder="1" applyAlignment="1">
      <alignment/>
    </xf>
    <xf numFmtId="42" fontId="0" fillId="0" borderId="5" xfId="0" applyNumberFormat="1" applyBorder="1" applyAlignment="1">
      <alignment/>
    </xf>
    <xf numFmtId="10" fontId="4" fillId="0" borderId="0" xfId="0" applyNumberFormat="1" applyFont="1" applyBorder="1" applyAlignment="1">
      <alignment/>
    </xf>
    <xf numFmtId="42" fontId="4" fillId="0" borderId="5" xfId="0" applyNumberFormat="1" applyFont="1" applyFill="1" applyBorder="1" applyAlignment="1">
      <alignment/>
    </xf>
    <xf numFmtId="9" fontId="0" fillId="0" borderId="5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" fillId="0" borderId="9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0" fontId="0" fillId="2" borderId="2" xfId="0" applyNumberFormat="1" applyFill="1" applyBorder="1" applyAlignment="1">
      <alignment/>
    </xf>
    <xf numFmtId="42" fontId="4" fillId="2" borderId="2" xfId="0" applyNumberFormat="1" applyFont="1" applyFill="1" applyBorder="1" applyAlignment="1">
      <alignment/>
    </xf>
    <xf numFmtId="42" fontId="4" fillId="2" borderId="3" xfId="0" applyNumberFormat="1" applyFont="1" applyFill="1" applyBorder="1" applyAlignment="1">
      <alignment/>
    </xf>
    <xf numFmtId="9" fontId="0" fillId="0" borderId="0" xfId="0" applyNumberFormat="1" applyBorder="1" applyAlignment="1">
      <alignment/>
    </xf>
    <xf numFmtId="9" fontId="0" fillId="0" borderId="5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4" fillId="2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44" fontId="0" fillId="0" borderId="0" xfId="21" applyAlignment="1">
      <alignment/>
    </xf>
    <xf numFmtId="44" fontId="0" fillId="0" borderId="0" xfId="21" applyFont="1" applyAlignment="1">
      <alignment/>
    </xf>
    <xf numFmtId="0" fontId="0" fillId="2" borderId="15" xfId="0" applyFill="1" applyBorder="1" applyAlignment="1">
      <alignment/>
    </xf>
    <xf numFmtId="168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6" xfId="0" applyFont="1" applyBorder="1" applyAlignment="1">
      <alignment/>
    </xf>
    <xf numFmtId="42" fontId="0" fillId="0" borderId="7" xfId="0" applyNumberFormat="1" applyBorder="1" applyAlignment="1">
      <alignment/>
    </xf>
    <xf numFmtId="0" fontId="4" fillId="0" borderId="16" xfId="0" applyFont="1" applyBorder="1" applyAlignment="1">
      <alignment/>
    </xf>
    <xf numFmtId="42" fontId="0" fillId="0" borderId="8" xfId="0" applyNumberFormat="1" applyBorder="1" applyAlignment="1">
      <alignment/>
    </xf>
    <xf numFmtId="4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4" xfId="0" applyFont="1" applyBorder="1" applyAlignment="1">
      <alignment/>
    </xf>
    <xf numFmtId="10" fontId="0" fillId="0" borderId="7" xfId="0" applyNumberFormat="1" applyBorder="1" applyAlignment="1">
      <alignment/>
    </xf>
    <xf numFmtId="42" fontId="4" fillId="0" borderId="7" xfId="0" applyNumberFormat="1" applyFont="1" applyBorder="1" applyAlignment="1">
      <alignment/>
    </xf>
    <xf numFmtId="42" fontId="4" fillId="0" borderId="8" xfId="0" applyNumberFormat="1" applyFont="1" applyBorder="1" applyAlignment="1">
      <alignment/>
    </xf>
    <xf numFmtId="11" fontId="0" fillId="0" borderId="0" xfId="0" applyNumberFormat="1" applyAlignment="1">
      <alignment/>
    </xf>
    <xf numFmtId="11" fontId="8" fillId="0" borderId="0" xfId="0" applyNumberFormat="1" applyFont="1" applyAlignment="1">
      <alignment/>
    </xf>
    <xf numFmtId="11" fontId="0" fillId="0" borderId="0" xfId="0" applyNumberFormat="1" applyAlignment="1">
      <alignment horizontal="center"/>
    </xf>
    <xf numFmtId="42" fontId="4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2" fontId="4" fillId="0" borderId="1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2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172" fontId="0" fillId="0" borderId="0" xfId="0" applyNumberFormat="1" applyBorder="1" applyAlignment="1">
      <alignment/>
    </xf>
    <xf numFmtId="0" fontId="0" fillId="2" borderId="15" xfId="0" applyFill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2" borderId="17" xfId="0" applyNumberFormat="1" applyFont="1" applyFill="1" applyBorder="1" applyAlignment="1">
      <alignment horizontal="center"/>
    </xf>
    <xf numFmtId="42" fontId="4" fillId="2" borderId="1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3" borderId="18" xfId="0" applyFont="1" applyFill="1" applyBorder="1" applyAlignment="1">
      <alignment horizontal="right"/>
    </xf>
    <xf numFmtId="0" fontId="4" fillId="3" borderId="18" xfId="0" applyFont="1" applyFill="1" applyBorder="1" applyAlignment="1">
      <alignment/>
    </xf>
    <xf numFmtId="42" fontId="4" fillId="0" borderId="0" xfId="0" applyNumberFormat="1" applyFont="1" applyBorder="1" applyAlignment="1">
      <alignment horizontal="left"/>
    </xf>
    <xf numFmtId="10" fontId="0" fillId="0" borderId="0" xfId="0" applyNumberFormat="1" applyFont="1" applyFill="1" applyBorder="1" applyAlignment="1">
      <alignment/>
    </xf>
    <xf numFmtId="44" fontId="0" fillId="3" borderId="0" xfId="20" applyNumberFormat="1" applyFill="1" applyAlignment="1">
      <alignment horizontal="left"/>
    </xf>
    <xf numFmtId="44" fontId="0" fillId="3" borderId="0" xfId="0" applyNumberFormat="1" applyFill="1" applyAlignment="1">
      <alignment horizontal="left"/>
    </xf>
    <xf numFmtId="44" fontId="10" fillId="4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42" fontId="4" fillId="0" borderId="7" xfId="0" applyNumberFormat="1" applyFont="1" applyFill="1" applyBorder="1" applyAlignment="1">
      <alignment/>
    </xf>
    <xf numFmtId="42" fontId="4" fillId="0" borderId="8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2" fontId="0" fillId="0" borderId="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42" fontId="0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0" fontId="0" fillId="0" borderId="13" xfId="0" applyNumberFormat="1" applyBorder="1" applyAlignment="1">
      <alignment/>
    </xf>
    <xf numFmtId="42" fontId="4" fillId="0" borderId="14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4" xfId="0" applyFont="1" applyFill="1" applyBorder="1" applyAlignment="1">
      <alignment horizontal="left"/>
    </xf>
    <xf numFmtId="42" fontId="0" fillId="0" borderId="0" xfId="0" applyNumberFormat="1" applyFont="1" applyFill="1" applyBorder="1" applyAlignment="1">
      <alignment/>
    </xf>
    <xf numFmtId="10" fontId="0" fillId="0" borderId="13" xfId="0" applyNumberFormat="1" applyFill="1" applyBorder="1" applyAlignment="1">
      <alignment/>
    </xf>
    <xf numFmtId="42" fontId="4" fillId="0" borderId="14" xfId="0" applyNumberFormat="1" applyFont="1" applyFill="1" applyBorder="1" applyAlignment="1">
      <alignment/>
    </xf>
    <xf numFmtId="10" fontId="0" fillId="0" borderId="7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13" xfId="0" applyFill="1" applyBorder="1" applyAlignment="1">
      <alignment/>
    </xf>
    <xf numFmtId="42" fontId="4" fillId="2" borderId="13" xfId="0" applyNumberFormat="1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14" fontId="0" fillId="0" borderId="13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5" borderId="16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4" xfId="0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2" fontId="4" fillId="0" borderId="13" xfId="0" applyNumberFormat="1" applyFont="1" applyBorder="1" applyAlignment="1">
      <alignment/>
    </xf>
    <xf numFmtId="12" fontId="4" fillId="0" borderId="14" xfId="0" applyNumberFormat="1" applyFont="1" applyBorder="1" applyAlignment="1">
      <alignment/>
    </xf>
    <xf numFmtId="12" fontId="4" fillId="0" borderId="0" xfId="0" applyNumberFormat="1" applyFont="1" applyBorder="1" applyAlignment="1">
      <alignment/>
    </xf>
    <xf numFmtId="12" fontId="4" fillId="0" borderId="5" xfId="0" applyNumberFormat="1" applyFont="1" applyBorder="1" applyAlignment="1">
      <alignment/>
    </xf>
    <xf numFmtId="10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0" fontId="4" fillId="3" borderId="10" xfId="0" applyFont="1" applyFill="1" applyBorder="1" applyAlignment="1">
      <alignment horizontal="right"/>
    </xf>
    <xf numFmtId="49" fontId="4" fillId="2" borderId="19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4" xfId="0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2" fontId="4" fillId="2" borderId="14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172" fontId="16" fillId="0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_E949 and RSVP operation costs 2003 white paper" xfId="19"/>
    <cellStyle name="Currency_KOPIO D6 Dedicated Tests (space @$999) JB PP" xfId="20"/>
    <cellStyle name="Currency_Resource Categories" xfId="21"/>
    <cellStyle name="Followed Hyperlink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50</xdr:row>
      <xdr:rowOff>57150</xdr:rowOff>
    </xdr:from>
    <xdr:to>
      <xdr:col>0</xdr:col>
      <xdr:colOff>781050</xdr:colOff>
      <xdr:row>52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04850" y="8229600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le-desk\G-desk%20top\windows\TEMP\Site%20Power_Main\Site%20Power%20Est0420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-Info"/>
      <sheetName val="RHIC Loads"/>
      <sheetName val="AGS Loads"/>
      <sheetName val="Facility Demands"/>
      <sheetName val="Schedules"/>
      <sheetName val="Monthly Energy Est"/>
      <sheetName val="Monthly Energy Est (2)"/>
      <sheetName val="Monthly Graph"/>
      <sheetName val="Elec Loads/By Month"/>
      <sheetName val="Monthly Demand_Blank"/>
      <sheetName val="Elec Loads &amp; Rates by Month"/>
    </sheetNames>
    <sheetDataSet>
      <sheetData sheetId="5">
        <row r="9">
          <cell r="A9" t="str">
            <v>GENERAL SITE (Base)</v>
          </cell>
          <cell r="B9">
            <v>0.75</v>
          </cell>
          <cell r="C9">
            <v>31</v>
          </cell>
          <cell r="D9">
            <v>17</v>
          </cell>
          <cell r="E9">
            <v>9486</v>
          </cell>
          <cell r="F9">
            <v>30</v>
          </cell>
          <cell r="G9">
            <v>17</v>
          </cell>
          <cell r="H9">
            <v>9180</v>
          </cell>
          <cell r="I9">
            <v>31</v>
          </cell>
          <cell r="J9">
            <v>17</v>
          </cell>
          <cell r="K9">
            <v>9486</v>
          </cell>
          <cell r="L9">
            <v>31</v>
          </cell>
          <cell r="M9">
            <v>17</v>
          </cell>
          <cell r="N9">
            <v>9486</v>
          </cell>
          <cell r="O9">
            <v>28</v>
          </cell>
          <cell r="P9">
            <v>17</v>
          </cell>
          <cell r="Q9">
            <v>8568</v>
          </cell>
          <cell r="R9">
            <v>31</v>
          </cell>
          <cell r="S9">
            <v>17</v>
          </cell>
          <cell r="T9">
            <v>9486</v>
          </cell>
          <cell r="U9">
            <v>30</v>
          </cell>
          <cell r="V9">
            <v>17</v>
          </cell>
          <cell r="W9">
            <v>9180</v>
          </cell>
          <cell r="X9">
            <v>31</v>
          </cell>
          <cell r="Y9">
            <v>17</v>
          </cell>
          <cell r="Z9">
            <v>9486</v>
          </cell>
          <cell r="AA9">
            <v>30</v>
          </cell>
          <cell r="AB9">
            <v>17</v>
          </cell>
          <cell r="AC9">
            <v>9180</v>
          </cell>
          <cell r="AD9">
            <v>31</v>
          </cell>
          <cell r="AE9">
            <v>17</v>
          </cell>
          <cell r="AF9">
            <v>9486</v>
          </cell>
          <cell r="AG9">
            <v>31</v>
          </cell>
          <cell r="AH9">
            <v>17</v>
          </cell>
          <cell r="AI9">
            <v>9486</v>
          </cell>
          <cell r="AJ9">
            <v>30</v>
          </cell>
          <cell r="AK9">
            <v>17</v>
          </cell>
          <cell r="AL9">
            <v>9180</v>
          </cell>
          <cell r="AM9" t="str">
            <v>GENERAL SITE (Base)</v>
          </cell>
          <cell r="AN9">
            <v>0.75</v>
          </cell>
          <cell r="AO9">
            <v>31</v>
          </cell>
          <cell r="AP9">
            <v>20</v>
          </cell>
          <cell r="AQ9">
            <v>11160</v>
          </cell>
          <cell r="AR9">
            <v>30</v>
          </cell>
          <cell r="AS9">
            <v>20</v>
          </cell>
          <cell r="AT9">
            <v>10800</v>
          </cell>
          <cell r="AU9">
            <v>31</v>
          </cell>
          <cell r="AV9">
            <v>20</v>
          </cell>
          <cell r="AW9">
            <v>11160</v>
          </cell>
          <cell r="AX9">
            <v>31</v>
          </cell>
          <cell r="AY9">
            <v>20</v>
          </cell>
          <cell r="AZ9">
            <v>11160</v>
          </cell>
          <cell r="BA9">
            <v>28</v>
          </cell>
          <cell r="BB9">
            <v>20</v>
          </cell>
          <cell r="BC9">
            <v>10080</v>
          </cell>
          <cell r="BD9">
            <v>31</v>
          </cell>
          <cell r="BE9">
            <v>20</v>
          </cell>
          <cell r="BF9">
            <v>11160</v>
          </cell>
          <cell r="BG9">
            <v>30</v>
          </cell>
          <cell r="BH9">
            <v>20</v>
          </cell>
          <cell r="BI9">
            <v>10800</v>
          </cell>
          <cell r="BJ9">
            <v>31</v>
          </cell>
          <cell r="BK9">
            <v>20</v>
          </cell>
          <cell r="BL9">
            <v>11160</v>
          </cell>
          <cell r="BM9">
            <v>30</v>
          </cell>
          <cell r="BN9">
            <v>20</v>
          </cell>
          <cell r="BO9">
            <v>10800</v>
          </cell>
          <cell r="BP9">
            <v>31</v>
          </cell>
          <cell r="BQ9">
            <v>20</v>
          </cell>
          <cell r="BR9">
            <v>11160</v>
          </cell>
          <cell r="BS9">
            <v>31</v>
          </cell>
          <cell r="BT9">
            <v>20</v>
          </cell>
          <cell r="BU9">
            <v>11160</v>
          </cell>
          <cell r="BV9">
            <v>30</v>
          </cell>
          <cell r="BW9">
            <v>20</v>
          </cell>
          <cell r="BX9">
            <v>10800</v>
          </cell>
          <cell r="BY9" t="str">
            <v>GENERAL SITE (Base)</v>
          </cell>
          <cell r="BZ9">
            <v>0.75</v>
          </cell>
          <cell r="CA9">
            <v>31</v>
          </cell>
          <cell r="CB9">
            <v>20</v>
          </cell>
          <cell r="CC9">
            <v>11160</v>
          </cell>
          <cell r="CD9">
            <v>30</v>
          </cell>
          <cell r="CE9">
            <v>20</v>
          </cell>
          <cell r="CF9">
            <v>10800</v>
          </cell>
          <cell r="CG9">
            <v>31</v>
          </cell>
          <cell r="CH9">
            <v>20</v>
          </cell>
          <cell r="CI9">
            <v>11160</v>
          </cell>
          <cell r="CJ9">
            <v>31</v>
          </cell>
          <cell r="CK9">
            <v>20</v>
          </cell>
          <cell r="CL9">
            <v>11160</v>
          </cell>
          <cell r="CM9">
            <v>28</v>
          </cell>
          <cell r="CN9">
            <v>20</v>
          </cell>
          <cell r="CO9">
            <v>10080</v>
          </cell>
          <cell r="CP9">
            <v>31</v>
          </cell>
          <cell r="CQ9">
            <v>20</v>
          </cell>
          <cell r="CR9">
            <v>11160</v>
          </cell>
          <cell r="CS9">
            <v>30</v>
          </cell>
          <cell r="CT9">
            <v>20</v>
          </cell>
          <cell r="CU9">
            <v>10800</v>
          </cell>
          <cell r="CV9">
            <v>31</v>
          </cell>
          <cell r="CW9">
            <v>20</v>
          </cell>
          <cell r="CX9">
            <v>11160</v>
          </cell>
          <cell r="CY9">
            <v>30</v>
          </cell>
          <cell r="CZ9">
            <v>20</v>
          </cell>
          <cell r="DA9">
            <v>10800</v>
          </cell>
          <cell r="DB9">
            <v>31</v>
          </cell>
          <cell r="DC9">
            <v>20</v>
          </cell>
          <cell r="DD9">
            <v>11160</v>
          </cell>
          <cell r="DE9">
            <v>31</v>
          </cell>
          <cell r="DF9">
            <v>20</v>
          </cell>
          <cell r="DG9">
            <v>11160</v>
          </cell>
          <cell r="DH9">
            <v>30</v>
          </cell>
          <cell r="DI9">
            <v>20</v>
          </cell>
          <cell r="DJ9">
            <v>10800</v>
          </cell>
          <cell r="DK9" t="str">
            <v>GENERAL SITE (Base)</v>
          </cell>
          <cell r="DL9">
            <v>0.75</v>
          </cell>
          <cell r="DM9">
            <v>31</v>
          </cell>
          <cell r="DN9">
            <v>20</v>
          </cell>
          <cell r="DO9">
            <v>11160</v>
          </cell>
          <cell r="DP9">
            <v>30</v>
          </cell>
          <cell r="DQ9">
            <v>20</v>
          </cell>
          <cell r="DR9">
            <v>10800</v>
          </cell>
          <cell r="DS9">
            <v>31</v>
          </cell>
          <cell r="DT9">
            <v>20</v>
          </cell>
          <cell r="DU9">
            <v>11160</v>
          </cell>
          <cell r="DV9">
            <v>31</v>
          </cell>
          <cell r="DW9">
            <v>20</v>
          </cell>
          <cell r="DX9">
            <v>11160</v>
          </cell>
          <cell r="DY9">
            <v>28</v>
          </cell>
          <cell r="DZ9">
            <v>20</v>
          </cell>
          <cell r="EA9">
            <v>10080</v>
          </cell>
          <cell r="EB9">
            <v>31</v>
          </cell>
          <cell r="EC9">
            <v>20</v>
          </cell>
          <cell r="ED9">
            <v>11160</v>
          </cell>
          <cell r="EE9">
            <v>30</v>
          </cell>
          <cell r="EF9">
            <v>20</v>
          </cell>
          <cell r="EG9">
            <v>10800</v>
          </cell>
          <cell r="EH9">
            <v>31</v>
          </cell>
          <cell r="EI9">
            <v>20</v>
          </cell>
          <cell r="EJ9">
            <v>11160</v>
          </cell>
          <cell r="EK9">
            <v>30</v>
          </cell>
          <cell r="EL9">
            <v>20</v>
          </cell>
          <cell r="EM9">
            <v>10800</v>
          </cell>
          <cell r="EN9">
            <v>31</v>
          </cell>
          <cell r="EO9">
            <v>20</v>
          </cell>
          <cell r="EP9">
            <v>11160</v>
          </cell>
          <cell r="EQ9">
            <v>31</v>
          </cell>
          <cell r="ER9">
            <v>20</v>
          </cell>
          <cell r="ES9">
            <v>11160</v>
          </cell>
          <cell r="ET9">
            <v>30</v>
          </cell>
          <cell r="EU9">
            <v>20</v>
          </cell>
          <cell r="EV9">
            <v>10800</v>
          </cell>
          <cell r="EW9" t="str">
            <v>GENERAL SITE (Base)</v>
          </cell>
          <cell r="EX9">
            <v>0.75</v>
          </cell>
          <cell r="EY9">
            <v>31</v>
          </cell>
          <cell r="EZ9">
            <v>20</v>
          </cell>
          <cell r="FA9">
            <v>11160</v>
          </cell>
          <cell r="FB9">
            <v>30</v>
          </cell>
          <cell r="FC9">
            <v>20</v>
          </cell>
          <cell r="FD9">
            <v>10800</v>
          </cell>
          <cell r="FE9">
            <v>31</v>
          </cell>
          <cell r="FF9">
            <v>20</v>
          </cell>
          <cell r="FG9">
            <v>11160</v>
          </cell>
          <cell r="FH9">
            <v>31</v>
          </cell>
          <cell r="FI9">
            <v>20</v>
          </cell>
          <cell r="FJ9">
            <v>11160</v>
          </cell>
          <cell r="FK9">
            <v>28</v>
          </cell>
          <cell r="FL9">
            <v>20</v>
          </cell>
          <cell r="FM9">
            <v>10080</v>
          </cell>
          <cell r="FN9">
            <v>31</v>
          </cell>
          <cell r="FO9">
            <v>20</v>
          </cell>
          <cell r="FP9">
            <v>11160</v>
          </cell>
          <cell r="FQ9">
            <v>30</v>
          </cell>
          <cell r="FR9">
            <v>20</v>
          </cell>
          <cell r="FS9">
            <v>10800</v>
          </cell>
          <cell r="FT9">
            <v>31</v>
          </cell>
          <cell r="FU9">
            <v>20</v>
          </cell>
          <cell r="FV9">
            <v>11160</v>
          </cell>
          <cell r="FW9">
            <v>30</v>
          </cell>
          <cell r="FX9">
            <v>20</v>
          </cell>
          <cell r="FY9">
            <v>10800</v>
          </cell>
          <cell r="FZ9">
            <v>31</v>
          </cell>
          <cell r="GA9">
            <v>20</v>
          </cell>
          <cell r="GB9">
            <v>11160</v>
          </cell>
          <cell r="GC9">
            <v>31</v>
          </cell>
          <cell r="GD9">
            <v>20</v>
          </cell>
          <cell r="GE9">
            <v>11160</v>
          </cell>
          <cell r="GF9">
            <v>30</v>
          </cell>
          <cell r="GG9">
            <v>20</v>
          </cell>
          <cell r="GH9">
            <v>10800</v>
          </cell>
        </row>
        <row r="10">
          <cell r="A10" t="str">
            <v>AGS/RHIC BLDG.</v>
          </cell>
          <cell r="B10">
            <v>0.75</v>
          </cell>
          <cell r="C10">
            <v>31</v>
          </cell>
          <cell r="D10">
            <v>1</v>
          </cell>
          <cell r="E10">
            <v>558</v>
          </cell>
          <cell r="F10">
            <v>30</v>
          </cell>
          <cell r="G10">
            <v>1</v>
          </cell>
          <cell r="H10">
            <v>540</v>
          </cell>
          <cell r="I10">
            <v>31</v>
          </cell>
          <cell r="J10">
            <v>1</v>
          </cell>
          <cell r="K10">
            <v>558</v>
          </cell>
          <cell r="L10">
            <v>31</v>
          </cell>
          <cell r="M10">
            <v>1</v>
          </cell>
          <cell r="N10">
            <v>558</v>
          </cell>
          <cell r="O10">
            <v>28</v>
          </cell>
          <cell r="P10">
            <v>1</v>
          </cell>
          <cell r="Q10">
            <v>504</v>
          </cell>
          <cell r="R10">
            <v>31</v>
          </cell>
          <cell r="S10">
            <v>1</v>
          </cell>
          <cell r="T10">
            <v>558</v>
          </cell>
          <cell r="U10">
            <v>30</v>
          </cell>
          <cell r="V10">
            <v>1</v>
          </cell>
          <cell r="W10">
            <v>540</v>
          </cell>
          <cell r="X10">
            <v>31</v>
          </cell>
          <cell r="Y10">
            <v>1</v>
          </cell>
          <cell r="Z10">
            <v>558</v>
          </cell>
          <cell r="AA10">
            <v>30</v>
          </cell>
          <cell r="AB10">
            <v>1</v>
          </cell>
          <cell r="AC10">
            <v>540</v>
          </cell>
          <cell r="AD10">
            <v>31</v>
          </cell>
          <cell r="AE10">
            <v>1</v>
          </cell>
          <cell r="AF10">
            <v>558</v>
          </cell>
          <cell r="AG10">
            <v>31</v>
          </cell>
          <cell r="AH10">
            <v>1</v>
          </cell>
          <cell r="AI10">
            <v>558</v>
          </cell>
          <cell r="AJ10">
            <v>30</v>
          </cell>
          <cell r="AK10">
            <v>1</v>
          </cell>
          <cell r="AL10">
            <v>540</v>
          </cell>
          <cell r="AM10" t="str">
            <v>AGS/RHIC BLDG.</v>
          </cell>
          <cell r="AN10">
            <v>0.75</v>
          </cell>
          <cell r="AO10">
            <v>31</v>
          </cell>
          <cell r="AP10">
            <v>3</v>
          </cell>
          <cell r="AQ10">
            <v>1674</v>
          </cell>
          <cell r="AR10">
            <v>30</v>
          </cell>
          <cell r="AS10">
            <v>3</v>
          </cell>
          <cell r="AT10">
            <v>1620</v>
          </cell>
          <cell r="AU10">
            <v>31</v>
          </cell>
          <cell r="AV10">
            <v>3</v>
          </cell>
          <cell r="AW10">
            <v>1674</v>
          </cell>
          <cell r="AX10">
            <v>31</v>
          </cell>
          <cell r="AY10">
            <v>3</v>
          </cell>
          <cell r="AZ10">
            <v>1674</v>
          </cell>
          <cell r="BA10">
            <v>28</v>
          </cell>
          <cell r="BB10">
            <v>3</v>
          </cell>
          <cell r="BC10">
            <v>1512</v>
          </cell>
          <cell r="BD10">
            <v>31</v>
          </cell>
          <cell r="BE10">
            <v>3</v>
          </cell>
          <cell r="BF10">
            <v>1674</v>
          </cell>
          <cell r="BG10">
            <v>30</v>
          </cell>
          <cell r="BH10">
            <v>3</v>
          </cell>
          <cell r="BI10">
            <v>1620</v>
          </cell>
          <cell r="BJ10">
            <v>31</v>
          </cell>
          <cell r="BK10">
            <v>3</v>
          </cell>
          <cell r="BL10">
            <v>1674</v>
          </cell>
          <cell r="BM10">
            <v>30</v>
          </cell>
          <cell r="BN10">
            <v>3</v>
          </cell>
          <cell r="BO10">
            <v>1620</v>
          </cell>
          <cell r="BP10">
            <v>31</v>
          </cell>
          <cell r="BQ10">
            <v>3</v>
          </cell>
          <cell r="BR10">
            <v>1674</v>
          </cell>
          <cell r="BS10">
            <v>31</v>
          </cell>
          <cell r="BT10">
            <v>3</v>
          </cell>
          <cell r="BU10">
            <v>1674</v>
          </cell>
          <cell r="BV10">
            <v>30</v>
          </cell>
          <cell r="BW10">
            <v>3</v>
          </cell>
          <cell r="BX10">
            <v>1620</v>
          </cell>
          <cell r="BY10" t="str">
            <v>AGS/RHIC BLDG.</v>
          </cell>
          <cell r="BZ10">
            <v>0.75</v>
          </cell>
          <cell r="CA10">
            <v>31</v>
          </cell>
          <cell r="CB10">
            <v>3</v>
          </cell>
          <cell r="CC10">
            <v>1674</v>
          </cell>
          <cell r="CD10">
            <v>30</v>
          </cell>
          <cell r="CE10">
            <v>3</v>
          </cell>
          <cell r="CF10">
            <v>1620</v>
          </cell>
          <cell r="CG10">
            <v>31</v>
          </cell>
          <cell r="CH10">
            <v>3</v>
          </cell>
          <cell r="CI10">
            <v>1674</v>
          </cell>
          <cell r="CJ10">
            <v>31</v>
          </cell>
          <cell r="CK10">
            <v>3</v>
          </cell>
          <cell r="CL10">
            <v>1674</v>
          </cell>
          <cell r="CM10">
            <v>28</v>
          </cell>
          <cell r="CN10">
            <v>3</v>
          </cell>
          <cell r="CO10">
            <v>1512</v>
          </cell>
          <cell r="CP10">
            <v>31</v>
          </cell>
          <cell r="CQ10">
            <v>3</v>
          </cell>
          <cell r="CR10">
            <v>1674</v>
          </cell>
          <cell r="CS10">
            <v>30</v>
          </cell>
          <cell r="CT10">
            <v>3</v>
          </cell>
          <cell r="CU10">
            <v>1620</v>
          </cell>
          <cell r="CV10">
            <v>31</v>
          </cell>
          <cell r="CW10">
            <v>3</v>
          </cell>
          <cell r="CX10">
            <v>1674</v>
          </cell>
          <cell r="CY10">
            <v>30</v>
          </cell>
          <cell r="CZ10">
            <v>3</v>
          </cell>
          <cell r="DA10">
            <v>1620</v>
          </cell>
          <cell r="DB10">
            <v>31</v>
          </cell>
          <cell r="DC10">
            <v>3</v>
          </cell>
          <cell r="DD10">
            <v>1674</v>
          </cell>
          <cell r="DE10">
            <v>31</v>
          </cell>
          <cell r="DF10">
            <v>3</v>
          </cell>
          <cell r="DG10">
            <v>1674</v>
          </cell>
          <cell r="DH10">
            <v>30</v>
          </cell>
          <cell r="DI10">
            <v>3</v>
          </cell>
          <cell r="DJ10">
            <v>1620</v>
          </cell>
          <cell r="DK10" t="str">
            <v>AGS/RHIC BLDG.</v>
          </cell>
          <cell r="DL10">
            <v>0.75</v>
          </cell>
          <cell r="DM10">
            <v>31</v>
          </cell>
          <cell r="DN10">
            <v>3</v>
          </cell>
          <cell r="DO10">
            <v>1674</v>
          </cell>
          <cell r="DP10">
            <v>30</v>
          </cell>
          <cell r="DQ10">
            <v>3</v>
          </cell>
          <cell r="DR10">
            <v>1620</v>
          </cell>
          <cell r="DS10">
            <v>31</v>
          </cell>
          <cell r="DT10">
            <v>3</v>
          </cell>
          <cell r="DU10">
            <v>1674</v>
          </cell>
          <cell r="DV10">
            <v>31</v>
          </cell>
          <cell r="DW10">
            <v>3</v>
          </cell>
          <cell r="DX10">
            <v>1674</v>
          </cell>
          <cell r="DY10">
            <v>28</v>
          </cell>
          <cell r="DZ10">
            <v>3</v>
          </cell>
          <cell r="EA10">
            <v>1512</v>
          </cell>
          <cell r="EB10">
            <v>31</v>
          </cell>
          <cell r="EC10">
            <v>3</v>
          </cell>
          <cell r="ED10">
            <v>1674</v>
          </cell>
          <cell r="EE10">
            <v>30</v>
          </cell>
          <cell r="EF10">
            <v>3</v>
          </cell>
          <cell r="EG10">
            <v>1620</v>
          </cell>
          <cell r="EH10">
            <v>31</v>
          </cell>
          <cell r="EI10">
            <v>3</v>
          </cell>
          <cell r="EJ10">
            <v>1674</v>
          </cell>
          <cell r="EK10">
            <v>30</v>
          </cell>
          <cell r="EL10">
            <v>3</v>
          </cell>
          <cell r="EM10">
            <v>1620</v>
          </cell>
          <cell r="EN10">
            <v>31</v>
          </cell>
          <cell r="EO10">
            <v>3</v>
          </cell>
          <cell r="EP10">
            <v>1674</v>
          </cell>
          <cell r="EQ10">
            <v>31</v>
          </cell>
          <cell r="ER10">
            <v>3</v>
          </cell>
          <cell r="ES10">
            <v>1674</v>
          </cell>
          <cell r="ET10">
            <v>30</v>
          </cell>
          <cell r="EU10">
            <v>3</v>
          </cell>
          <cell r="EV10">
            <v>1620</v>
          </cell>
          <cell r="EW10" t="str">
            <v>AGS/RHIC BLDG.</v>
          </cell>
          <cell r="EX10">
            <v>0.75</v>
          </cell>
          <cell r="EY10">
            <v>31</v>
          </cell>
          <cell r="EZ10">
            <v>3</v>
          </cell>
          <cell r="FA10">
            <v>1674</v>
          </cell>
          <cell r="FB10">
            <v>30</v>
          </cell>
          <cell r="FC10">
            <v>3</v>
          </cell>
          <cell r="FD10">
            <v>1620</v>
          </cell>
          <cell r="FE10">
            <v>31</v>
          </cell>
          <cell r="FF10">
            <v>3</v>
          </cell>
          <cell r="FG10">
            <v>1674</v>
          </cell>
          <cell r="FH10">
            <v>31</v>
          </cell>
          <cell r="FI10">
            <v>3</v>
          </cell>
          <cell r="FJ10">
            <v>1674</v>
          </cell>
          <cell r="FK10">
            <v>28</v>
          </cell>
          <cell r="FL10">
            <v>3</v>
          </cell>
          <cell r="FM10">
            <v>1512</v>
          </cell>
          <cell r="FN10">
            <v>31</v>
          </cell>
          <cell r="FO10">
            <v>3</v>
          </cell>
          <cell r="FP10">
            <v>1674</v>
          </cell>
          <cell r="FQ10">
            <v>30</v>
          </cell>
          <cell r="FR10">
            <v>3</v>
          </cell>
          <cell r="FS10">
            <v>1620</v>
          </cell>
          <cell r="FT10">
            <v>31</v>
          </cell>
          <cell r="FU10">
            <v>3</v>
          </cell>
          <cell r="FV10">
            <v>1674</v>
          </cell>
          <cell r="FW10">
            <v>30</v>
          </cell>
          <cell r="FX10">
            <v>3</v>
          </cell>
          <cell r="FY10">
            <v>1620</v>
          </cell>
          <cell r="FZ10">
            <v>31</v>
          </cell>
          <cell r="GA10">
            <v>3</v>
          </cell>
          <cell r="GB10">
            <v>1674</v>
          </cell>
          <cell r="GC10">
            <v>31</v>
          </cell>
          <cell r="GD10">
            <v>3</v>
          </cell>
          <cell r="GE10">
            <v>1674</v>
          </cell>
          <cell r="GF10">
            <v>30</v>
          </cell>
          <cell r="GG10">
            <v>3</v>
          </cell>
          <cell r="GH10">
            <v>1620</v>
          </cell>
        </row>
        <row r="11">
          <cell r="A11" t="str">
            <v>NSLS</v>
          </cell>
          <cell r="B11">
            <v>0.85</v>
          </cell>
          <cell r="C11">
            <v>31</v>
          </cell>
          <cell r="D11">
            <v>4.5</v>
          </cell>
          <cell r="E11">
            <v>2845.7999999999997</v>
          </cell>
          <cell r="F11">
            <v>21</v>
          </cell>
          <cell r="G11">
            <v>4.5</v>
          </cell>
          <cell r="H11">
            <v>1927.7999999999997</v>
          </cell>
          <cell r="I11">
            <v>21</v>
          </cell>
          <cell r="J11">
            <v>4.5</v>
          </cell>
          <cell r="K11">
            <v>1927.7999999999997</v>
          </cell>
          <cell r="L11">
            <v>31</v>
          </cell>
          <cell r="M11">
            <v>4.5</v>
          </cell>
          <cell r="N11">
            <v>2845.7999999999997</v>
          </cell>
          <cell r="O11">
            <v>28</v>
          </cell>
          <cell r="P11">
            <v>4.5</v>
          </cell>
          <cell r="Q11">
            <v>2570.4</v>
          </cell>
          <cell r="R11">
            <v>31</v>
          </cell>
          <cell r="S11">
            <v>4.5</v>
          </cell>
          <cell r="T11">
            <v>2845.7999999999997</v>
          </cell>
          <cell r="U11">
            <v>30</v>
          </cell>
          <cell r="V11">
            <v>4.5</v>
          </cell>
          <cell r="W11">
            <v>2754</v>
          </cell>
          <cell r="X11">
            <v>31</v>
          </cell>
          <cell r="Y11">
            <v>4.5</v>
          </cell>
          <cell r="Z11">
            <v>2845.7999999999997</v>
          </cell>
          <cell r="AA11">
            <v>30</v>
          </cell>
          <cell r="AB11">
            <v>4.5</v>
          </cell>
          <cell r="AC11">
            <v>2754</v>
          </cell>
          <cell r="AD11">
            <v>31</v>
          </cell>
          <cell r="AE11">
            <v>4.5</v>
          </cell>
          <cell r="AF11">
            <v>2845.7999999999997</v>
          </cell>
          <cell r="AG11">
            <v>31</v>
          </cell>
          <cell r="AH11">
            <v>4.5</v>
          </cell>
          <cell r="AI11">
            <v>2845.7999999999997</v>
          </cell>
          <cell r="AJ11">
            <v>30</v>
          </cell>
          <cell r="AK11">
            <v>4.5</v>
          </cell>
          <cell r="AL11">
            <v>2754</v>
          </cell>
          <cell r="AM11" t="str">
            <v>NSLS</v>
          </cell>
          <cell r="AN11">
            <v>0.85</v>
          </cell>
          <cell r="AO11">
            <v>31</v>
          </cell>
          <cell r="AP11">
            <v>4.5</v>
          </cell>
          <cell r="AQ11">
            <v>2845.7999999999997</v>
          </cell>
          <cell r="AR11">
            <v>21</v>
          </cell>
          <cell r="AS11">
            <v>4.5</v>
          </cell>
          <cell r="AT11">
            <v>1927.7999999999997</v>
          </cell>
          <cell r="AU11">
            <v>21</v>
          </cell>
          <cell r="AV11">
            <v>4.5</v>
          </cell>
          <cell r="AW11">
            <v>1927.7999999999997</v>
          </cell>
          <cell r="AX11">
            <v>31</v>
          </cell>
          <cell r="AY11">
            <v>4.5</v>
          </cell>
          <cell r="AZ11">
            <v>2845.7999999999997</v>
          </cell>
          <cell r="BA11">
            <v>28</v>
          </cell>
          <cell r="BB11">
            <v>4.5</v>
          </cell>
          <cell r="BC11">
            <v>2570.4</v>
          </cell>
          <cell r="BD11">
            <v>31</v>
          </cell>
          <cell r="BE11">
            <v>4.5</v>
          </cell>
          <cell r="BF11">
            <v>2845.7999999999997</v>
          </cell>
          <cell r="BG11">
            <v>30</v>
          </cell>
          <cell r="BH11">
            <v>4.5</v>
          </cell>
          <cell r="BI11">
            <v>2754</v>
          </cell>
          <cell r="BJ11">
            <v>31</v>
          </cell>
          <cell r="BK11">
            <v>4.5</v>
          </cell>
          <cell r="BL11">
            <v>2845.7999999999997</v>
          </cell>
          <cell r="BM11">
            <v>30</v>
          </cell>
          <cell r="BN11">
            <v>4.5</v>
          </cell>
          <cell r="BO11">
            <v>2754</v>
          </cell>
          <cell r="BP11">
            <v>31</v>
          </cell>
          <cell r="BQ11">
            <v>4.5</v>
          </cell>
          <cell r="BR11">
            <v>2845.7999999999997</v>
          </cell>
          <cell r="BS11">
            <v>31</v>
          </cell>
          <cell r="BT11">
            <v>4.5</v>
          </cell>
          <cell r="BU11">
            <v>2845.7999999999997</v>
          </cell>
          <cell r="BV11">
            <v>30</v>
          </cell>
          <cell r="BW11">
            <v>4.5</v>
          </cell>
          <cell r="BX11">
            <v>2754</v>
          </cell>
          <cell r="BY11" t="str">
            <v>NSLS</v>
          </cell>
          <cell r="BZ11">
            <v>0.85</v>
          </cell>
          <cell r="CA11">
            <v>31</v>
          </cell>
          <cell r="CB11">
            <v>4.5</v>
          </cell>
          <cell r="CC11">
            <v>2845.7999999999997</v>
          </cell>
          <cell r="CD11">
            <v>21</v>
          </cell>
          <cell r="CE11">
            <v>4.5</v>
          </cell>
          <cell r="CF11">
            <v>1927.7999999999997</v>
          </cell>
          <cell r="CG11">
            <v>21</v>
          </cell>
          <cell r="CH11">
            <v>4.5</v>
          </cell>
          <cell r="CI11">
            <v>1927.7999999999997</v>
          </cell>
          <cell r="CJ11">
            <v>31</v>
          </cell>
          <cell r="CK11">
            <v>4.5</v>
          </cell>
          <cell r="CL11">
            <v>2845.7999999999997</v>
          </cell>
          <cell r="CM11">
            <v>28</v>
          </cell>
          <cell r="CN11">
            <v>4.5</v>
          </cell>
          <cell r="CO11">
            <v>2570.4</v>
          </cell>
          <cell r="CP11">
            <v>31</v>
          </cell>
          <cell r="CQ11">
            <v>4.5</v>
          </cell>
          <cell r="CR11">
            <v>2845.7999999999997</v>
          </cell>
          <cell r="CS11">
            <v>30</v>
          </cell>
          <cell r="CT11">
            <v>4.5</v>
          </cell>
          <cell r="CU11">
            <v>2754</v>
          </cell>
          <cell r="CV11">
            <v>31</v>
          </cell>
          <cell r="CW11">
            <v>4.5</v>
          </cell>
          <cell r="CX11">
            <v>2845.7999999999997</v>
          </cell>
          <cell r="CY11">
            <v>30</v>
          </cell>
          <cell r="CZ11">
            <v>4.5</v>
          </cell>
          <cell r="DA11">
            <v>2754</v>
          </cell>
          <cell r="DB11">
            <v>31</v>
          </cell>
          <cell r="DC11">
            <v>4.5</v>
          </cell>
          <cell r="DD11">
            <v>2845.7999999999997</v>
          </cell>
          <cell r="DE11">
            <v>31</v>
          </cell>
          <cell r="DF11">
            <v>4.5</v>
          </cell>
          <cell r="DG11">
            <v>2845.7999999999997</v>
          </cell>
          <cell r="DH11">
            <v>30</v>
          </cell>
          <cell r="DI11">
            <v>4.5</v>
          </cell>
          <cell r="DJ11">
            <v>2754</v>
          </cell>
          <cell r="DK11" t="str">
            <v>NSLS</v>
          </cell>
          <cell r="DL11">
            <v>0.85</v>
          </cell>
          <cell r="DM11">
            <v>31</v>
          </cell>
          <cell r="DN11">
            <v>4.5</v>
          </cell>
          <cell r="DO11">
            <v>2845.7999999999997</v>
          </cell>
          <cell r="DP11">
            <v>21</v>
          </cell>
          <cell r="DQ11">
            <v>4.5</v>
          </cell>
          <cell r="DR11">
            <v>1927.7999999999997</v>
          </cell>
          <cell r="DS11">
            <v>21</v>
          </cell>
          <cell r="DT11">
            <v>4.5</v>
          </cell>
          <cell r="DU11">
            <v>1927.7999999999997</v>
          </cell>
          <cell r="DV11">
            <v>31</v>
          </cell>
          <cell r="DW11">
            <v>4.5</v>
          </cell>
          <cell r="DX11">
            <v>2845.7999999999997</v>
          </cell>
          <cell r="DY11">
            <v>28</v>
          </cell>
          <cell r="DZ11">
            <v>4.5</v>
          </cell>
          <cell r="EA11">
            <v>2570.4</v>
          </cell>
          <cell r="EB11">
            <v>31</v>
          </cell>
          <cell r="EC11">
            <v>4.5</v>
          </cell>
          <cell r="ED11">
            <v>2845.7999999999997</v>
          </cell>
          <cell r="EE11">
            <v>30</v>
          </cell>
          <cell r="EF11">
            <v>4.5</v>
          </cell>
          <cell r="EG11">
            <v>2754</v>
          </cell>
          <cell r="EH11">
            <v>31</v>
          </cell>
          <cell r="EI11">
            <v>4.5</v>
          </cell>
          <cell r="EJ11">
            <v>2845.7999999999997</v>
          </cell>
          <cell r="EK11">
            <v>30</v>
          </cell>
          <cell r="EL11">
            <v>4.5</v>
          </cell>
          <cell r="EM11">
            <v>2754</v>
          </cell>
          <cell r="EN11">
            <v>31</v>
          </cell>
          <cell r="EO11">
            <v>4.5</v>
          </cell>
          <cell r="EP11">
            <v>2845.7999999999997</v>
          </cell>
          <cell r="EQ11">
            <v>31</v>
          </cell>
          <cell r="ER11">
            <v>4.5</v>
          </cell>
          <cell r="ES11">
            <v>2845.7999999999997</v>
          </cell>
          <cell r="ET11">
            <v>30</v>
          </cell>
          <cell r="EU11">
            <v>4.5</v>
          </cell>
          <cell r="EV11">
            <v>2754</v>
          </cell>
          <cell r="EW11" t="str">
            <v>NSLS</v>
          </cell>
          <cell r="EX11">
            <v>0.85</v>
          </cell>
          <cell r="EY11">
            <v>31</v>
          </cell>
          <cell r="EZ11">
            <v>4.5</v>
          </cell>
          <cell r="FA11">
            <v>2845.7999999999997</v>
          </cell>
          <cell r="FB11">
            <v>21</v>
          </cell>
          <cell r="FC11">
            <v>4.5</v>
          </cell>
          <cell r="FD11">
            <v>1927.7999999999997</v>
          </cell>
          <cell r="FE11">
            <v>21</v>
          </cell>
          <cell r="FF11">
            <v>4.5</v>
          </cell>
          <cell r="FG11">
            <v>1927.7999999999997</v>
          </cell>
          <cell r="FH11">
            <v>31</v>
          </cell>
          <cell r="FI11">
            <v>4.5</v>
          </cell>
          <cell r="FJ11">
            <v>2845.7999999999997</v>
          </cell>
          <cell r="FK11">
            <v>28</v>
          </cell>
          <cell r="FL11">
            <v>4.5</v>
          </cell>
          <cell r="FM11">
            <v>2570.4</v>
          </cell>
          <cell r="FN11">
            <v>31</v>
          </cell>
          <cell r="FO11">
            <v>4.5</v>
          </cell>
          <cell r="FP11">
            <v>2845.7999999999997</v>
          </cell>
          <cell r="FQ11">
            <v>30</v>
          </cell>
          <cell r="FR11">
            <v>4.5</v>
          </cell>
          <cell r="FS11">
            <v>2754</v>
          </cell>
          <cell r="FT11">
            <v>31</v>
          </cell>
          <cell r="FU11">
            <v>4.5</v>
          </cell>
          <cell r="FV11">
            <v>2845.7999999999997</v>
          </cell>
          <cell r="FW11">
            <v>30</v>
          </cell>
          <cell r="FX11">
            <v>4.5</v>
          </cell>
          <cell r="FY11">
            <v>2754</v>
          </cell>
          <cell r="FZ11">
            <v>31</v>
          </cell>
          <cell r="GA11">
            <v>4.5</v>
          </cell>
          <cell r="GB11">
            <v>2845.7999999999997</v>
          </cell>
          <cell r="GC11">
            <v>31</v>
          </cell>
          <cell r="GD11">
            <v>4.5</v>
          </cell>
          <cell r="GE11">
            <v>2845.7999999999997</v>
          </cell>
          <cell r="GF11">
            <v>30</v>
          </cell>
          <cell r="GG11">
            <v>4.5</v>
          </cell>
          <cell r="GH11">
            <v>2754</v>
          </cell>
        </row>
        <row r="12">
          <cell r="A12" t="str">
            <v>HFBR</v>
          </cell>
          <cell r="B12">
            <v>0.8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 t="str">
            <v>HFBR</v>
          </cell>
          <cell r="AN12">
            <v>0.8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 t="str">
            <v>HFBR</v>
          </cell>
          <cell r="BZ12">
            <v>0.8</v>
          </cell>
          <cell r="CA12">
            <v>31</v>
          </cell>
          <cell r="CB12">
            <v>2</v>
          </cell>
          <cell r="CC12">
            <v>1190.4</v>
          </cell>
          <cell r="CD12">
            <v>21</v>
          </cell>
          <cell r="CE12">
            <v>2</v>
          </cell>
          <cell r="CF12">
            <v>806.4000000000001</v>
          </cell>
          <cell r="CG12">
            <v>21</v>
          </cell>
          <cell r="CH12">
            <v>2</v>
          </cell>
          <cell r="CI12">
            <v>806.4000000000001</v>
          </cell>
          <cell r="CJ12">
            <v>31</v>
          </cell>
          <cell r="CK12">
            <v>2</v>
          </cell>
          <cell r="CL12">
            <v>1190.4</v>
          </cell>
          <cell r="CM12">
            <v>28</v>
          </cell>
          <cell r="CN12">
            <v>2</v>
          </cell>
          <cell r="CO12">
            <v>1075.2</v>
          </cell>
          <cell r="CP12">
            <v>31</v>
          </cell>
          <cell r="CQ12">
            <v>2</v>
          </cell>
          <cell r="CR12">
            <v>1190.4</v>
          </cell>
          <cell r="CS12">
            <v>30</v>
          </cell>
          <cell r="CT12">
            <v>2</v>
          </cell>
          <cell r="CU12">
            <v>1152</v>
          </cell>
          <cell r="CV12">
            <v>31</v>
          </cell>
          <cell r="CW12">
            <v>2</v>
          </cell>
          <cell r="CX12">
            <v>1190.4</v>
          </cell>
          <cell r="CY12">
            <v>30</v>
          </cell>
          <cell r="CZ12">
            <v>2</v>
          </cell>
          <cell r="DA12">
            <v>1152</v>
          </cell>
          <cell r="DB12">
            <v>31</v>
          </cell>
          <cell r="DC12">
            <v>2</v>
          </cell>
          <cell r="DD12">
            <v>1190.4</v>
          </cell>
          <cell r="DE12">
            <v>31</v>
          </cell>
          <cell r="DF12">
            <v>2</v>
          </cell>
          <cell r="DG12">
            <v>1190.4</v>
          </cell>
          <cell r="DH12">
            <v>30</v>
          </cell>
          <cell r="DI12">
            <v>2</v>
          </cell>
          <cell r="DJ12">
            <v>1152</v>
          </cell>
          <cell r="DK12" t="str">
            <v>HFBR</v>
          </cell>
          <cell r="DL12">
            <v>0.8</v>
          </cell>
          <cell r="DM12">
            <v>31</v>
          </cell>
          <cell r="DN12">
            <v>2</v>
          </cell>
          <cell r="DO12">
            <v>1190.4</v>
          </cell>
          <cell r="DP12">
            <v>21</v>
          </cell>
          <cell r="DQ12">
            <v>2</v>
          </cell>
          <cell r="DR12">
            <v>806.4000000000001</v>
          </cell>
          <cell r="DS12">
            <v>21</v>
          </cell>
          <cell r="DT12">
            <v>2</v>
          </cell>
          <cell r="DU12">
            <v>806.4000000000001</v>
          </cell>
          <cell r="DV12">
            <v>31</v>
          </cell>
          <cell r="DW12">
            <v>2</v>
          </cell>
          <cell r="DX12">
            <v>1190.4</v>
          </cell>
          <cell r="DY12">
            <v>28</v>
          </cell>
          <cell r="DZ12">
            <v>2</v>
          </cell>
          <cell r="EA12">
            <v>1075.2</v>
          </cell>
          <cell r="EB12">
            <v>31</v>
          </cell>
          <cell r="EC12">
            <v>2</v>
          </cell>
          <cell r="ED12">
            <v>1190.4</v>
          </cell>
          <cell r="EE12">
            <v>30</v>
          </cell>
          <cell r="EF12">
            <v>2</v>
          </cell>
          <cell r="EG12">
            <v>1152</v>
          </cell>
          <cell r="EH12">
            <v>31</v>
          </cell>
          <cell r="EI12">
            <v>2</v>
          </cell>
          <cell r="EJ12">
            <v>1190.4</v>
          </cell>
          <cell r="EK12">
            <v>30</v>
          </cell>
          <cell r="EL12">
            <v>2</v>
          </cell>
          <cell r="EM12">
            <v>1152</v>
          </cell>
          <cell r="EN12">
            <v>31</v>
          </cell>
          <cell r="EO12">
            <v>2</v>
          </cell>
          <cell r="EP12">
            <v>1190.4</v>
          </cell>
          <cell r="EQ12">
            <v>31</v>
          </cell>
          <cell r="ER12">
            <v>2</v>
          </cell>
          <cell r="ES12">
            <v>1190.4</v>
          </cell>
          <cell r="ET12">
            <v>30</v>
          </cell>
          <cell r="EU12">
            <v>2</v>
          </cell>
          <cell r="EV12">
            <v>1152</v>
          </cell>
          <cell r="EW12" t="str">
            <v>HFBR</v>
          </cell>
          <cell r="EX12">
            <v>0.8</v>
          </cell>
          <cell r="EY12">
            <v>31</v>
          </cell>
          <cell r="EZ12">
            <v>2</v>
          </cell>
          <cell r="FA12">
            <v>1190.4</v>
          </cell>
          <cell r="FB12">
            <v>21</v>
          </cell>
          <cell r="FC12">
            <v>2</v>
          </cell>
          <cell r="FD12">
            <v>806.4000000000001</v>
          </cell>
          <cell r="FE12">
            <v>21</v>
          </cell>
          <cell r="FF12">
            <v>2</v>
          </cell>
          <cell r="FG12">
            <v>806.4000000000001</v>
          </cell>
          <cell r="FH12">
            <v>31</v>
          </cell>
          <cell r="FI12">
            <v>2</v>
          </cell>
          <cell r="FJ12">
            <v>1190.4</v>
          </cell>
          <cell r="FK12">
            <v>28</v>
          </cell>
          <cell r="FL12">
            <v>2</v>
          </cell>
          <cell r="FM12">
            <v>1075.2</v>
          </cell>
          <cell r="FN12">
            <v>31</v>
          </cell>
          <cell r="FO12">
            <v>2</v>
          </cell>
          <cell r="FP12">
            <v>1190.4</v>
          </cell>
          <cell r="FQ12">
            <v>30</v>
          </cell>
          <cell r="FR12">
            <v>2</v>
          </cell>
          <cell r="FS12">
            <v>1152</v>
          </cell>
          <cell r="FT12">
            <v>31</v>
          </cell>
          <cell r="FU12">
            <v>2</v>
          </cell>
          <cell r="FV12">
            <v>1190.4</v>
          </cell>
          <cell r="FW12">
            <v>30</v>
          </cell>
          <cell r="FX12">
            <v>2</v>
          </cell>
          <cell r="FY12">
            <v>1152</v>
          </cell>
          <cell r="FZ12">
            <v>31</v>
          </cell>
          <cell r="GA12">
            <v>2</v>
          </cell>
          <cell r="GB12">
            <v>1190.4</v>
          </cell>
          <cell r="GC12">
            <v>31</v>
          </cell>
          <cell r="GD12">
            <v>2</v>
          </cell>
          <cell r="GE12">
            <v>1190.4</v>
          </cell>
          <cell r="GF12">
            <v>30</v>
          </cell>
          <cell r="GG12">
            <v>2</v>
          </cell>
          <cell r="GH12">
            <v>1152</v>
          </cell>
        </row>
        <row r="13">
          <cell r="A13" t="str">
            <v>AGS (Base)</v>
          </cell>
          <cell r="B13">
            <v>0.9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30</v>
          </cell>
          <cell r="AB13">
            <v>9</v>
          </cell>
          <cell r="AC13">
            <v>5832</v>
          </cell>
          <cell r="AD13">
            <v>31</v>
          </cell>
          <cell r="AE13">
            <v>9</v>
          </cell>
          <cell r="AF13">
            <v>6026.400000000001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 t="str">
            <v>AGS (Base)</v>
          </cell>
          <cell r="AN13">
            <v>0.9</v>
          </cell>
          <cell r="AO13">
            <v>31</v>
          </cell>
          <cell r="AP13">
            <v>9</v>
          </cell>
          <cell r="AQ13">
            <v>6026.400000000001</v>
          </cell>
          <cell r="AR13">
            <v>30</v>
          </cell>
          <cell r="AS13">
            <v>9</v>
          </cell>
          <cell r="AT13">
            <v>5832</v>
          </cell>
          <cell r="AU13">
            <v>31</v>
          </cell>
          <cell r="AV13">
            <v>9</v>
          </cell>
          <cell r="AW13">
            <v>6026.400000000001</v>
          </cell>
          <cell r="AX13">
            <v>31</v>
          </cell>
          <cell r="AY13">
            <v>9</v>
          </cell>
          <cell r="AZ13">
            <v>6026.400000000001</v>
          </cell>
          <cell r="BA13">
            <v>28</v>
          </cell>
          <cell r="BB13">
            <v>9</v>
          </cell>
          <cell r="BC13">
            <v>5443.2</v>
          </cell>
          <cell r="BD13">
            <v>31</v>
          </cell>
          <cell r="BE13">
            <v>9</v>
          </cell>
          <cell r="BF13">
            <v>6026.400000000001</v>
          </cell>
          <cell r="BG13">
            <v>30</v>
          </cell>
          <cell r="BH13">
            <v>9</v>
          </cell>
          <cell r="BI13">
            <v>5832</v>
          </cell>
          <cell r="BJ13">
            <v>31</v>
          </cell>
          <cell r="BK13">
            <v>9</v>
          </cell>
          <cell r="BL13">
            <v>6026.400000000001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 t="str">
            <v>AGS (Base)</v>
          </cell>
          <cell r="BZ13">
            <v>0.9</v>
          </cell>
          <cell r="CA13">
            <v>31</v>
          </cell>
          <cell r="CB13">
            <v>9</v>
          </cell>
          <cell r="CC13">
            <v>6026.400000000001</v>
          </cell>
          <cell r="CD13">
            <v>30</v>
          </cell>
          <cell r="CE13">
            <v>9</v>
          </cell>
          <cell r="CF13">
            <v>5832</v>
          </cell>
          <cell r="CG13">
            <v>31</v>
          </cell>
          <cell r="CH13">
            <v>9</v>
          </cell>
          <cell r="CI13">
            <v>6026.400000000001</v>
          </cell>
          <cell r="CJ13">
            <v>31</v>
          </cell>
          <cell r="CK13">
            <v>9</v>
          </cell>
          <cell r="CL13">
            <v>6026.400000000001</v>
          </cell>
          <cell r="CM13">
            <v>28</v>
          </cell>
          <cell r="CN13">
            <v>9</v>
          </cell>
          <cell r="CO13">
            <v>5443.2</v>
          </cell>
          <cell r="CP13">
            <v>31</v>
          </cell>
          <cell r="CQ13">
            <v>9</v>
          </cell>
          <cell r="CR13">
            <v>6026.400000000001</v>
          </cell>
          <cell r="CS13">
            <v>30</v>
          </cell>
          <cell r="CT13">
            <v>9</v>
          </cell>
          <cell r="CU13">
            <v>5832</v>
          </cell>
          <cell r="CV13">
            <v>31</v>
          </cell>
          <cell r="CW13">
            <v>9</v>
          </cell>
          <cell r="CX13">
            <v>6026.400000000001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 t="str">
            <v>AGS (Base)</v>
          </cell>
          <cell r="DL13">
            <v>0.9</v>
          </cell>
          <cell r="DM13">
            <v>31</v>
          </cell>
          <cell r="DN13">
            <v>9</v>
          </cell>
          <cell r="DO13">
            <v>6026.400000000001</v>
          </cell>
          <cell r="DP13">
            <v>30</v>
          </cell>
          <cell r="DQ13">
            <v>9</v>
          </cell>
          <cell r="DR13">
            <v>5832</v>
          </cell>
          <cell r="DS13">
            <v>31</v>
          </cell>
          <cell r="DT13">
            <v>9</v>
          </cell>
          <cell r="DU13">
            <v>6026.400000000001</v>
          </cell>
          <cell r="DV13">
            <v>31</v>
          </cell>
          <cell r="DW13">
            <v>9</v>
          </cell>
          <cell r="DX13">
            <v>6026.400000000001</v>
          </cell>
          <cell r="DY13">
            <v>28</v>
          </cell>
          <cell r="DZ13">
            <v>9</v>
          </cell>
          <cell r="EA13">
            <v>5443.2</v>
          </cell>
          <cell r="EB13">
            <v>31</v>
          </cell>
          <cell r="EC13">
            <v>9</v>
          </cell>
          <cell r="ED13">
            <v>6026.400000000001</v>
          </cell>
          <cell r="EE13">
            <v>30</v>
          </cell>
          <cell r="EF13">
            <v>9</v>
          </cell>
          <cell r="EG13">
            <v>5832</v>
          </cell>
          <cell r="EH13">
            <v>31</v>
          </cell>
          <cell r="EI13">
            <v>9</v>
          </cell>
          <cell r="EJ13">
            <v>6026.400000000001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 t="str">
            <v>AGS (Base)</v>
          </cell>
          <cell r="EX13">
            <v>0.9</v>
          </cell>
          <cell r="EY13">
            <v>31</v>
          </cell>
          <cell r="EZ13">
            <v>9</v>
          </cell>
          <cell r="FA13">
            <v>6026.400000000001</v>
          </cell>
          <cell r="FB13">
            <v>30</v>
          </cell>
          <cell r="FC13">
            <v>9</v>
          </cell>
          <cell r="FD13">
            <v>5832</v>
          </cell>
          <cell r="FE13">
            <v>31</v>
          </cell>
          <cell r="FF13">
            <v>9</v>
          </cell>
          <cell r="FG13">
            <v>6026.400000000001</v>
          </cell>
          <cell r="FH13">
            <v>31</v>
          </cell>
          <cell r="FI13">
            <v>9</v>
          </cell>
          <cell r="FJ13">
            <v>6026.400000000001</v>
          </cell>
          <cell r="FK13">
            <v>28</v>
          </cell>
          <cell r="FL13">
            <v>9</v>
          </cell>
          <cell r="FM13">
            <v>5443.2</v>
          </cell>
          <cell r="FN13">
            <v>31</v>
          </cell>
          <cell r="FO13">
            <v>9</v>
          </cell>
          <cell r="FP13">
            <v>6026.400000000001</v>
          </cell>
          <cell r="FQ13">
            <v>30</v>
          </cell>
          <cell r="FR13">
            <v>9</v>
          </cell>
          <cell r="FS13">
            <v>5832</v>
          </cell>
          <cell r="FT13">
            <v>31</v>
          </cell>
          <cell r="FU13">
            <v>9</v>
          </cell>
          <cell r="FV13">
            <v>6026.400000000001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</row>
        <row r="14">
          <cell r="A14" t="str">
            <v>AGS BOOSTER</v>
          </cell>
          <cell r="B14">
            <v>0.8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30</v>
          </cell>
          <cell r="AB14">
            <v>0.5</v>
          </cell>
          <cell r="AC14">
            <v>288</v>
          </cell>
          <cell r="AD14">
            <v>31</v>
          </cell>
          <cell r="AE14">
            <v>0.5</v>
          </cell>
          <cell r="AF14">
            <v>297.6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 t="str">
            <v>AGS BOOSTER</v>
          </cell>
          <cell r="AN14">
            <v>0.8</v>
          </cell>
          <cell r="AO14">
            <v>31</v>
          </cell>
          <cell r="AP14">
            <v>0.5</v>
          </cell>
          <cell r="AQ14">
            <v>297.6</v>
          </cell>
          <cell r="AR14">
            <v>30</v>
          </cell>
          <cell r="AS14">
            <v>0.5</v>
          </cell>
          <cell r="AT14">
            <v>288</v>
          </cell>
          <cell r="AU14">
            <v>31</v>
          </cell>
          <cell r="AV14">
            <v>0.5</v>
          </cell>
          <cell r="AW14">
            <v>297.6</v>
          </cell>
          <cell r="AX14">
            <v>31</v>
          </cell>
          <cell r="AY14">
            <v>0.5</v>
          </cell>
          <cell r="AZ14">
            <v>297.6</v>
          </cell>
          <cell r="BA14">
            <v>28</v>
          </cell>
          <cell r="BB14">
            <v>0.5</v>
          </cell>
          <cell r="BC14">
            <v>268.8</v>
          </cell>
          <cell r="BD14">
            <v>31</v>
          </cell>
          <cell r="BE14">
            <v>0.5</v>
          </cell>
          <cell r="BF14">
            <v>297.6</v>
          </cell>
          <cell r="BG14">
            <v>30</v>
          </cell>
          <cell r="BH14">
            <v>0.5</v>
          </cell>
          <cell r="BI14">
            <v>288</v>
          </cell>
          <cell r="BJ14">
            <v>31</v>
          </cell>
          <cell r="BK14">
            <v>0.5</v>
          </cell>
          <cell r="BL14">
            <v>297.6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 t="str">
            <v>AGS BOOSTER</v>
          </cell>
          <cell r="BZ14">
            <v>0.8</v>
          </cell>
          <cell r="CA14">
            <v>31</v>
          </cell>
          <cell r="CB14">
            <v>0.5</v>
          </cell>
          <cell r="CC14">
            <v>297.6</v>
          </cell>
          <cell r="CD14">
            <v>30</v>
          </cell>
          <cell r="CE14">
            <v>0.5</v>
          </cell>
          <cell r="CF14">
            <v>288</v>
          </cell>
          <cell r="CG14">
            <v>31</v>
          </cell>
          <cell r="CH14">
            <v>0.5</v>
          </cell>
          <cell r="CI14">
            <v>297.6</v>
          </cell>
          <cell r="CJ14">
            <v>31</v>
          </cell>
          <cell r="CK14">
            <v>0.5</v>
          </cell>
          <cell r="CL14">
            <v>297.6</v>
          </cell>
          <cell r="CM14">
            <v>28</v>
          </cell>
          <cell r="CN14">
            <v>0.5</v>
          </cell>
          <cell r="CO14">
            <v>268.8</v>
          </cell>
          <cell r="CP14">
            <v>31</v>
          </cell>
          <cell r="CQ14">
            <v>0.5</v>
          </cell>
          <cell r="CR14">
            <v>297.6</v>
          </cell>
          <cell r="CS14">
            <v>30</v>
          </cell>
          <cell r="CT14">
            <v>0.5</v>
          </cell>
          <cell r="CU14">
            <v>288</v>
          </cell>
          <cell r="CV14">
            <v>31</v>
          </cell>
          <cell r="CW14">
            <v>0.5</v>
          </cell>
          <cell r="CX14">
            <v>297.6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 t="str">
            <v>AGS BOOSTER</v>
          </cell>
          <cell r="DL14">
            <v>0.8</v>
          </cell>
          <cell r="DM14">
            <v>31</v>
          </cell>
          <cell r="DN14">
            <v>0.5</v>
          </cell>
          <cell r="DO14">
            <v>297.6</v>
          </cell>
          <cell r="DP14">
            <v>30</v>
          </cell>
          <cell r="DQ14">
            <v>0.5</v>
          </cell>
          <cell r="DR14">
            <v>288</v>
          </cell>
          <cell r="DS14">
            <v>31</v>
          </cell>
          <cell r="DT14">
            <v>0.5</v>
          </cell>
          <cell r="DU14">
            <v>297.6</v>
          </cell>
          <cell r="DV14">
            <v>31</v>
          </cell>
          <cell r="DW14">
            <v>0.5</v>
          </cell>
          <cell r="DX14">
            <v>297.6</v>
          </cell>
          <cell r="DY14">
            <v>28</v>
          </cell>
          <cell r="DZ14">
            <v>0.5</v>
          </cell>
          <cell r="EA14">
            <v>268.8</v>
          </cell>
          <cell r="EB14">
            <v>31</v>
          </cell>
          <cell r="EC14">
            <v>0.5</v>
          </cell>
          <cell r="ED14">
            <v>297.6</v>
          </cell>
          <cell r="EE14">
            <v>30</v>
          </cell>
          <cell r="EF14">
            <v>0.5</v>
          </cell>
          <cell r="EG14">
            <v>288</v>
          </cell>
          <cell r="EH14">
            <v>31</v>
          </cell>
          <cell r="EI14">
            <v>0.5</v>
          </cell>
          <cell r="EJ14">
            <v>297.6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 t="str">
            <v>AGS BOOSTER</v>
          </cell>
          <cell r="EX14">
            <v>0.8</v>
          </cell>
          <cell r="EY14">
            <v>31</v>
          </cell>
          <cell r="EZ14">
            <v>0.5</v>
          </cell>
          <cell r="FA14">
            <v>297.6</v>
          </cell>
          <cell r="FB14">
            <v>30</v>
          </cell>
          <cell r="FC14">
            <v>0.5</v>
          </cell>
          <cell r="FD14">
            <v>288</v>
          </cell>
          <cell r="FE14">
            <v>31</v>
          </cell>
          <cell r="FF14">
            <v>0.5</v>
          </cell>
          <cell r="FG14">
            <v>297.6</v>
          </cell>
          <cell r="FH14">
            <v>31</v>
          </cell>
          <cell r="FI14">
            <v>0.5</v>
          </cell>
          <cell r="FJ14">
            <v>297.6</v>
          </cell>
          <cell r="FK14">
            <v>28</v>
          </cell>
          <cell r="FL14">
            <v>0.5</v>
          </cell>
          <cell r="FM14">
            <v>268.8</v>
          </cell>
          <cell r="FN14">
            <v>31</v>
          </cell>
          <cell r="FO14">
            <v>0.5</v>
          </cell>
          <cell r="FP14">
            <v>297.6</v>
          </cell>
          <cell r="FQ14">
            <v>30</v>
          </cell>
          <cell r="FR14">
            <v>0.5</v>
          </cell>
          <cell r="FS14">
            <v>288</v>
          </cell>
          <cell r="FT14">
            <v>31</v>
          </cell>
          <cell r="FU14">
            <v>0.5</v>
          </cell>
          <cell r="FV14">
            <v>297.6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</row>
        <row r="15">
          <cell r="A15" t="str">
            <v>LINAC</v>
          </cell>
          <cell r="B15">
            <v>0.7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 t="str">
            <v>LINAC</v>
          </cell>
          <cell r="AN15">
            <v>0.7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 t="str">
            <v>LINAC</v>
          </cell>
          <cell r="BZ15">
            <v>0.7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 t="str">
            <v>LINAC</v>
          </cell>
          <cell r="DL15">
            <v>0.7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 t="str">
            <v>LINAC</v>
          </cell>
          <cell r="EX15">
            <v>0.7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</row>
        <row r="16">
          <cell r="A16" t="str">
            <v>TANDEM</v>
          </cell>
          <cell r="B16">
            <v>0.7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15</v>
          </cell>
          <cell r="Y16">
            <v>0.3</v>
          </cell>
          <cell r="Z16">
            <v>75.6</v>
          </cell>
          <cell r="AA16">
            <v>30</v>
          </cell>
          <cell r="AB16">
            <v>0.3</v>
          </cell>
          <cell r="AC16">
            <v>151.2</v>
          </cell>
          <cell r="AD16">
            <v>31</v>
          </cell>
          <cell r="AE16">
            <v>0.3</v>
          </cell>
          <cell r="AF16">
            <v>156.24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 t="str">
            <v>TANDEM</v>
          </cell>
          <cell r="AN16">
            <v>0.7</v>
          </cell>
          <cell r="AO16">
            <v>31</v>
          </cell>
          <cell r="AP16">
            <v>0.3</v>
          </cell>
          <cell r="AQ16">
            <v>156.24</v>
          </cell>
          <cell r="AR16">
            <v>30</v>
          </cell>
          <cell r="AS16">
            <v>0.3</v>
          </cell>
          <cell r="AT16">
            <v>151.2</v>
          </cell>
          <cell r="AU16">
            <v>31</v>
          </cell>
          <cell r="AV16">
            <v>0.3</v>
          </cell>
          <cell r="AW16">
            <v>156.24</v>
          </cell>
          <cell r="AX16">
            <v>31</v>
          </cell>
          <cell r="AY16">
            <v>0.3</v>
          </cell>
          <cell r="AZ16">
            <v>156.24</v>
          </cell>
          <cell r="BA16">
            <v>28</v>
          </cell>
          <cell r="BB16">
            <v>0.3</v>
          </cell>
          <cell r="BC16">
            <v>141.11999999999998</v>
          </cell>
          <cell r="BD16">
            <v>31</v>
          </cell>
          <cell r="BE16">
            <v>0.3</v>
          </cell>
          <cell r="BF16">
            <v>156.24</v>
          </cell>
          <cell r="BG16">
            <v>30</v>
          </cell>
          <cell r="BH16">
            <v>0.3</v>
          </cell>
          <cell r="BI16">
            <v>151.2</v>
          </cell>
          <cell r="BJ16">
            <v>31</v>
          </cell>
          <cell r="BK16">
            <v>0.3</v>
          </cell>
          <cell r="BL16">
            <v>156.24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 t="str">
            <v>TANDEM</v>
          </cell>
          <cell r="BZ16">
            <v>0.7</v>
          </cell>
          <cell r="CA16">
            <v>31</v>
          </cell>
          <cell r="CB16">
            <v>0.3</v>
          </cell>
          <cell r="CC16">
            <v>156.24</v>
          </cell>
          <cell r="CD16">
            <v>30</v>
          </cell>
          <cell r="CE16">
            <v>0.3</v>
          </cell>
          <cell r="CF16">
            <v>151.2</v>
          </cell>
          <cell r="CG16">
            <v>31</v>
          </cell>
          <cell r="CH16">
            <v>0.3</v>
          </cell>
          <cell r="CI16">
            <v>156.24</v>
          </cell>
          <cell r="CJ16">
            <v>31</v>
          </cell>
          <cell r="CK16">
            <v>0.3</v>
          </cell>
          <cell r="CL16">
            <v>156.24</v>
          </cell>
          <cell r="CM16">
            <v>28</v>
          </cell>
          <cell r="CN16">
            <v>0.3</v>
          </cell>
          <cell r="CO16">
            <v>141.11999999999998</v>
          </cell>
          <cell r="CP16">
            <v>31</v>
          </cell>
          <cell r="CQ16">
            <v>0.3</v>
          </cell>
          <cell r="CR16">
            <v>156.24</v>
          </cell>
          <cell r="CS16">
            <v>30</v>
          </cell>
          <cell r="CT16">
            <v>0.3</v>
          </cell>
          <cell r="CU16">
            <v>151.2</v>
          </cell>
          <cell r="CV16">
            <v>31</v>
          </cell>
          <cell r="CW16">
            <v>0.3</v>
          </cell>
          <cell r="CX16">
            <v>156.24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 t="str">
            <v>TANDEM</v>
          </cell>
          <cell r="DL16">
            <v>0.7</v>
          </cell>
          <cell r="DM16">
            <v>31</v>
          </cell>
          <cell r="DN16">
            <v>0.3</v>
          </cell>
          <cell r="DO16">
            <v>156.24</v>
          </cell>
          <cell r="DP16">
            <v>30</v>
          </cell>
          <cell r="DQ16">
            <v>0.3</v>
          </cell>
          <cell r="DR16">
            <v>151.2</v>
          </cell>
          <cell r="DS16">
            <v>31</v>
          </cell>
          <cell r="DT16">
            <v>0.3</v>
          </cell>
          <cell r="DU16">
            <v>156.24</v>
          </cell>
          <cell r="DV16">
            <v>31</v>
          </cell>
          <cell r="DW16">
            <v>0.3</v>
          </cell>
          <cell r="DX16">
            <v>156.24</v>
          </cell>
          <cell r="DY16">
            <v>28</v>
          </cell>
          <cell r="DZ16">
            <v>0.3</v>
          </cell>
          <cell r="EA16">
            <v>141.11999999999998</v>
          </cell>
          <cell r="EB16">
            <v>31</v>
          </cell>
          <cell r="EC16">
            <v>0.3</v>
          </cell>
          <cell r="ED16">
            <v>156.24</v>
          </cell>
          <cell r="EE16">
            <v>30</v>
          </cell>
          <cell r="EF16">
            <v>0.3</v>
          </cell>
          <cell r="EG16">
            <v>151.2</v>
          </cell>
          <cell r="EH16">
            <v>31</v>
          </cell>
          <cell r="EI16">
            <v>0.3</v>
          </cell>
          <cell r="EJ16">
            <v>156.24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 t="str">
            <v>TANDEM</v>
          </cell>
          <cell r="EX16">
            <v>0.7</v>
          </cell>
          <cell r="EY16">
            <v>31</v>
          </cell>
          <cell r="EZ16">
            <v>0.3</v>
          </cell>
          <cell r="FA16">
            <v>156.24</v>
          </cell>
          <cell r="FB16">
            <v>30</v>
          </cell>
          <cell r="FC16">
            <v>0.3</v>
          </cell>
          <cell r="FD16">
            <v>151.2</v>
          </cell>
          <cell r="FE16">
            <v>31</v>
          </cell>
          <cell r="FF16">
            <v>0.3</v>
          </cell>
          <cell r="FG16">
            <v>156.24</v>
          </cell>
          <cell r="FH16">
            <v>31</v>
          </cell>
          <cell r="FI16">
            <v>0.3</v>
          </cell>
          <cell r="FJ16">
            <v>156.24</v>
          </cell>
          <cell r="FK16">
            <v>28</v>
          </cell>
          <cell r="FL16">
            <v>0.3</v>
          </cell>
          <cell r="FM16">
            <v>141.11999999999998</v>
          </cell>
          <cell r="FN16">
            <v>31</v>
          </cell>
          <cell r="FO16">
            <v>0.3</v>
          </cell>
          <cell r="FP16">
            <v>156.24</v>
          </cell>
          <cell r="FQ16">
            <v>30</v>
          </cell>
          <cell r="FR16">
            <v>0.3</v>
          </cell>
          <cell r="FS16">
            <v>151.2</v>
          </cell>
          <cell r="FT16">
            <v>31</v>
          </cell>
          <cell r="FU16">
            <v>0.3</v>
          </cell>
          <cell r="FV16">
            <v>156.24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</row>
        <row r="17">
          <cell r="A17" t="str">
            <v>AGS-SEB: Incremental</v>
          </cell>
          <cell r="B17">
            <v>0.7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 t="str">
            <v>AGS-SEB: Incremental</v>
          </cell>
          <cell r="AN17">
            <v>0.7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31</v>
          </cell>
          <cell r="BE17">
            <v>7</v>
          </cell>
          <cell r="BF17">
            <v>3645.6000000000004</v>
          </cell>
          <cell r="BG17">
            <v>30</v>
          </cell>
          <cell r="BH17">
            <v>7</v>
          </cell>
          <cell r="BI17">
            <v>3528</v>
          </cell>
          <cell r="BJ17">
            <v>31</v>
          </cell>
          <cell r="BK17">
            <v>7</v>
          </cell>
          <cell r="BL17">
            <v>3645.6000000000004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 t="str">
            <v>AGS-SEB: Incremental</v>
          </cell>
          <cell r="BZ17">
            <v>0.7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31</v>
          </cell>
          <cell r="CQ17">
            <v>7</v>
          </cell>
          <cell r="CR17">
            <v>3645.6000000000004</v>
          </cell>
          <cell r="CS17">
            <v>30</v>
          </cell>
          <cell r="CT17">
            <v>7</v>
          </cell>
          <cell r="CU17">
            <v>3528</v>
          </cell>
          <cell r="CV17">
            <v>31</v>
          </cell>
          <cell r="CW17">
            <v>7</v>
          </cell>
          <cell r="CX17">
            <v>3645.6000000000004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 t="str">
            <v>AGS-SEB: Incremental</v>
          </cell>
          <cell r="DL17">
            <v>0.7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31</v>
          </cell>
          <cell r="EC17">
            <v>7</v>
          </cell>
          <cell r="ED17">
            <v>3645.6000000000004</v>
          </cell>
          <cell r="EE17">
            <v>30</v>
          </cell>
          <cell r="EF17">
            <v>7</v>
          </cell>
          <cell r="EG17">
            <v>3528</v>
          </cell>
          <cell r="EH17">
            <v>31</v>
          </cell>
          <cell r="EI17">
            <v>7</v>
          </cell>
          <cell r="EJ17">
            <v>3645.6000000000004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 t="str">
            <v>AGS-SEB: Incremental</v>
          </cell>
          <cell r="EX17">
            <v>0.7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31</v>
          </cell>
          <cell r="FO17">
            <v>7</v>
          </cell>
          <cell r="FP17">
            <v>3645.6000000000004</v>
          </cell>
          <cell r="FQ17">
            <v>30</v>
          </cell>
          <cell r="FR17">
            <v>7</v>
          </cell>
          <cell r="FS17">
            <v>3528</v>
          </cell>
          <cell r="FT17">
            <v>31</v>
          </cell>
          <cell r="FU17">
            <v>7</v>
          </cell>
          <cell r="FV17">
            <v>3645.6000000000004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</row>
        <row r="19">
          <cell r="A19" t="str">
            <v>ATR LINE</v>
          </cell>
          <cell r="B19">
            <v>0.167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30</v>
          </cell>
          <cell r="AB19">
            <v>0.5</v>
          </cell>
          <cell r="AC19">
            <v>60.120000000000005</v>
          </cell>
          <cell r="AD19">
            <v>31</v>
          </cell>
          <cell r="AE19">
            <v>0.5</v>
          </cell>
          <cell r="AF19">
            <v>62.12400000000001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 t="str">
            <v>ATR LINE</v>
          </cell>
          <cell r="AN19">
            <v>0.167</v>
          </cell>
          <cell r="AO19">
            <v>0</v>
          </cell>
          <cell r="AP19">
            <v>0</v>
          </cell>
          <cell r="AQ19">
            <v>0</v>
          </cell>
          <cell r="AR19">
            <v>30</v>
          </cell>
          <cell r="AS19">
            <v>0.5</v>
          </cell>
          <cell r="AT19">
            <v>60.120000000000005</v>
          </cell>
          <cell r="AU19">
            <v>31</v>
          </cell>
          <cell r="AV19">
            <v>0.5</v>
          </cell>
          <cell r="AW19">
            <v>62.12400000000001</v>
          </cell>
          <cell r="AX19">
            <v>31</v>
          </cell>
          <cell r="AY19">
            <v>0.5</v>
          </cell>
          <cell r="AZ19">
            <v>62.12400000000001</v>
          </cell>
          <cell r="BA19">
            <v>28</v>
          </cell>
          <cell r="BB19">
            <v>0.5</v>
          </cell>
          <cell r="BC19">
            <v>56.112</v>
          </cell>
          <cell r="BD19">
            <v>31</v>
          </cell>
          <cell r="BE19">
            <v>0.5</v>
          </cell>
          <cell r="BF19">
            <v>62.12400000000001</v>
          </cell>
          <cell r="BG19">
            <v>30</v>
          </cell>
          <cell r="BH19">
            <v>0.5</v>
          </cell>
          <cell r="BI19">
            <v>60.120000000000005</v>
          </cell>
          <cell r="BJ19">
            <v>31</v>
          </cell>
          <cell r="BK19">
            <v>0.5</v>
          </cell>
          <cell r="BL19">
            <v>62.12400000000001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 t="str">
            <v>ATR LINE</v>
          </cell>
          <cell r="BZ19">
            <v>0.167</v>
          </cell>
          <cell r="CA19">
            <v>31</v>
          </cell>
          <cell r="CB19">
            <v>0.5</v>
          </cell>
          <cell r="CC19">
            <v>62.12400000000001</v>
          </cell>
          <cell r="CD19">
            <v>30</v>
          </cell>
          <cell r="CE19">
            <v>0.5</v>
          </cell>
          <cell r="CF19">
            <v>60.120000000000005</v>
          </cell>
          <cell r="CG19">
            <v>31</v>
          </cell>
          <cell r="CH19">
            <v>0.5</v>
          </cell>
          <cell r="CI19">
            <v>62.12400000000001</v>
          </cell>
          <cell r="CJ19">
            <v>31</v>
          </cell>
          <cell r="CK19">
            <v>0.5</v>
          </cell>
          <cell r="CL19">
            <v>62.12400000000001</v>
          </cell>
          <cell r="CM19">
            <v>28</v>
          </cell>
          <cell r="CN19">
            <v>0.5</v>
          </cell>
          <cell r="CO19">
            <v>56.112</v>
          </cell>
          <cell r="CP19">
            <v>31</v>
          </cell>
          <cell r="CQ19">
            <v>0.5</v>
          </cell>
          <cell r="CR19">
            <v>62.12400000000001</v>
          </cell>
          <cell r="CS19">
            <v>30</v>
          </cell>
          <cell r="CT19">
            <v>0.5</v>
          </cell>
          <cell r="CU19">
            <v>60.120000000000005</v>
          </cell>
          <cell r="CV19">
            <v>31</v>
          </cell>
          <cell r="CW19">
            <v>0.5</v>
          </cell>
          <cell r="CX19">
            <v>62.12400000000001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 t="str">
            <v>ATR LINE</v>
          </cell>
          <cell r="DL19">
            <v>0.167</v>
          </cell>
          <cell r="DM19">
            <v>31</v>
          </cell>
          <cell r="DN19">
            <v>0.5</v>
          </cell>
          <cell r="DO19">
            <v>62.12400000000001</v>
          </cell>
          <cell r="DP19">
            <v>30</v>
          </cell>
          <cell r="DQ19">
            <v>0.5</v>
          </cell>
          <cell r="DR19">
            <v>60.120000000000005</v>
          </cell>
          <cell r="DS19">
            <v>31</v>
          </cell>
          <cell r="DT19">
            <v>0.5</v>
          </cell>
          <cell r="DU19">
            <v>62.12400000000001</v>
          </cell>
          <cell r="DV19">
            <v>31</v>
          </cell>
          <cell r="DW19">
            <v>0.5</v>
          </cell>
          <cell r="DX19">
            <v>62.12400000000001</v>
          </cell>
          <cell r="DY19">
            <v>28</v>
          </cell>
          <cell r="DZ19">
            <v>0.5</v>
          </cell>
          <cell r="EA19">
            <v>56.112</v>
          </cell>
          <cell r="EB19">
            <v>31</v>
          </cell>
          <cell r="EC19">
            <v>0.5</v>
          </cell>
          <cell r="ED19">
            <v>62.12400000000001</v>
          </cell>
          <cell r="EE19">
            <v>30</v>
          </cell>
          <cell r="EF19">
            <v>0.5</v>
          </cell>
          <cell r="EG19">
            <v>60.120000000000005</v>
          </cell>
          <cell r="EH19">
            <v>31</v>
          </cell>
          <cell r="EI19">
            <v>0.5</v>
          </cell>
          <cell r="EJ19">
            <v>62.12400000000001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 t="str">
            <v>ATR LINE</v>
          </cell>
          <cell r="EX19">
            <v>0.167</v>
          </cell>
          <cell r="EY19">
            <v>31</v>
          </cell>
          <cell r="EZ19">
            <v>0.5</v>
          </cell>
          <cell r="FA19">
            <v>62.12400000000001</v>
          </cell>
          <cell r="FB19">
            <v>30</v>
          </cell>
          <cell r="FC19">
            <v>0.5</v>
          </cell>
          <cell r="FD19">
            <v>60.120000000000005</v>
          </cell>
          <cell r="FE19">
            <v>31</v>
          </cell>
          <cell r="FF19">
            <v>0.5</v>
          </cell>
          <cell r="FG19">
            <v>62.12400000000001</v>
          </cell>
          <cell r="FH19">
            <v>31</v>
          </cell>
          <cell r="FI19">
            <v>0.5</v>
          </cell>
          <cell r="FJ19">
            <v>62.12400000000001</v>
          </cell>
          <cell r="FK19">
            <v>28</v>
          </cell>
          <cell r="FL19">
            <v>0.5</v>
          </cell>
          <cell r="FM19">
            <v>56.112</v>
          </cell>
          <cell r="FN19">
            <v>31</v>
          </cell>
          <cell r="FO19">
            <v>0.5</v>
          </cell>
          <cell r="FP19">
            <v>62.12400000000001</v>
          </cell>
          <cell r="FQ19">
            <v>30</v>
          </cell>
          <cell r="FR19">
            <v>0.5</v>
          </cell>
          <cell r="FS19">
            <v>60.120000000000005</v>
          </cell>
          <cell r="FT19">
            <v>31</v>
          </cell>
          <cell r="FU19">
            <v>0.5</v>
          </cell>
          <cell r="FV19">
            <v>62.12400000000001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</row>
        <row r="20">
          <cell r="A20" t="str">
            <v>RHIC CRYOGENICS</v>
          </cell>
          <cell r="B20">
            <v>0.95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15</v>
          </cell>
          <cell r="V20">
            <v>9</v>
          </cell>
          <cell r="W20">
            <v>3078</v>
          </cell>
          <cell r="X20">
            <v>31</v>
          </cell>
          <cell r="Y20">
            <v>9</v>
          </cell>
          <cell r="Z20">
            <v>6361.200000000001</v>
          </cell>
          <cell r="AA20">
            <v>30</v>
          </cell>
          <cell r="AB20">
            <v>9</v>
          </cell>
          <cell r="AC20">
            <v>6156</v>
          </cell>
          <cell r="AD20">
            <v>31</v>
          </cell>
          <cell r="AE20">
            <v>9</v>
          </cell>
          <cell r="AF20">
            <v>6361.200000000001</v>
          </cell>
          <cell r="AG20">
            <v>0</v>
          </cell>
          <cell r="AH20">
            <v>7</v>
          </cell>
          <cell r="AI20">
            <v>5208</v>
          </cell>
          <cell r="AJ20">
            <v>0</v>
          </cell>
          <cell r="AK20">
            <v>7</v>
          </cell>
          <cell r="AL20">
            <v>5040</v>
          </cell>
          <cell r="AM20" t="str">
            <v>RHIC CRYOGENICS</v>
          </cell>
          <cell r="AN20">
            <v>0.95</v>
          </cell>
          <cell r="AO20">
            <v>0</v>
          </cell>
          <cell r="AP20">
            <v>7</v>
          </cell>
          <cell r="AQ20">
            <v>5208</v>
          </cell>
          <cell r="AR20">
            <v>30</v>
          </cell>
          <cell r="AS20">
            <v>9</v>
          </cell>
          <cell r="AT20">
            <v>6156</v>
          </cell>
          <cell r="AU20">
            <v>31</v>
          </cell>
          <cell r="AV20">
            <v>9</v>
          </cell>
          <cell r="AW20">
            <v>6361.200000000001</v>
          </cell>
          <cell r="AX20">
            <v>31</v>
          </cell>
          <cell r="AY20">
            <v>9</v>
          </cell>
          <cell r="AZ20">
            <v>6361.200000000001</v>
          </cell>
          <cell r="BA20">
            <v>28</v>
          </cell>
          <cell r="BB20">
            <v>9</v>
          </cell>
          <cell r="BC20">
            <v>5745.599999999999</v>
          </cell>
          <cell r="BD20">
            <v>31</v>
          </cell>
          <cell r="BE20">
            <v>9</v>
          </cell>
          <cell r="BF20">
            <v>6361.200000000001</v>
          </cell>
          <cell r="BG20">
            <v>30</v>
          </cell>
          <cell r="BH20">
            <v>9</v>
          </cell>
          <cell r="BI20">
            <v>6156</v>
          </cell>
          <cell r="BJ20">
            <v>31</v>
          </cell>
          <cell r="BK20">
            <v>9</v>
          </cell>
          <cell r="BL20">
            <v>6361.200000000001</v>
          </cell>
          <cell r="BM20">
            <v>0</v>
          </cell>
          <cell r="BN20">
            <v>7</v>
          </cell>
          <cell r="BO20">
            <v>5040</v>
          </cell>
          <cell r="BP20">
            <v>0</v>
          </cell>
          <cell r="BQ20">
            <v>7</v>
          </cell>
          <cell r="BR20">
            <v>5208</v>
          </cell>
          <cell r="BS20">
            <v>0</v>
          </cell>
          <cell r="BT20">
            <v>7</v>
          </cell>
          <cell r="BU20">
            <v>5208</v>
          </cell>
          <cell r="BV20">
            <v>0</v>
          </cell>
          <cell r="BW20">
            <v>7</v>
          </cell>
          <cell r="BX20">
            <v>5040</v>
          </cell>
          <cell r="BY20" t="str">
            <v>RHIC CRYOGENICS</v>
          </cell>
          <cell r="BZ20">
            <v>0.95</v>
          </cell>
          <cell r="CA20">
            <v>31</v>
          </cell>
          <cell r="CB20">
            <v>9</v>
          </cell>
          <cell r="CC20">
            <v>6361.200000000001</v>
          </cell>
          <cell r="CD20">
            <v>30</v>
          </cell>
          <cell r="CE20">
            <v>9</v>
          </cell>
          <cell r="CF20">
            <v>6156</v>
          </cell>
          <cell r="CG20">
            <v>31</v>
          </cell>
          <cell r="CH20">
            <v>9</v>
          </cell>
          <cell r="CI20">
            <v>6361.200000000001</v>
          </cell>
          <cell r="CJ20">
            <v>31</v>
          </cell>
          <cell r="CK20">
            <v>9</v>
          </cell>
          <cell r="CL20">
            <v>6361.200000000001</v>
          </cell>
          <cell r="CM20">
            <v>28</v>
          </cell>
          <cell r="CN20">
            <v>9</v>
          </cell>
          <cell r="CO20">
            <v>5745.599999999999</v>
          </cell>
          <cell r="CP20">
            <v>31</v>
          </cell>
          <cell r="CQ20">
            <v>9</v>
          </cell>
          <cell r="CR20">
            <v>6361.200000000001</v>
          </cell>
          <cell r="CS20">
            <v>30</v>
          </cell>
          <cell r="CT20">
            <v>9</v>
          </cell>
          <cell r="CU20">
            <v>6156</v>
          </cell>
          <cell r="CV20">
            <v>31</v>
          </cell>
          <cell r="CW20">
            <v>9</v>
          </cell>
          <cell r="CX20">
            <v>6361.200000000001</v>
          </cell>
          <cell r="CY20">
            <v>0</v>
          </cell>
          <cell r="CZ20">
            <v>7</v>
          </cell>
          <cell r="DA20">
            <v>5040</v>
          </cell>
          <cell r="DB20">
            <v>0</v>
          </cell>
          <cell r="DC20">
            <v>7</v>
          </cell>
          <cell r="DD20">
            <v>5208</v>
          </cell>
          <cell r="DE20">
            <v>0</v>
          </cell>
          <cell r="DF20">
            <v>7</v>
          </cell>
          <cell r="DG20">
            <v>5208</v>
          </cell>
          <cell r="DH20">
            <v>0</v>
          </cell>
          <cell r="DI20">
            <v>7</v>
          </cell>
          <cell r="DJ20">
            <v>5040</v>
          </cell>
          <cell r="DK20" t="str">
            <v>RHIC CRYOGENICS</v>
          </cell>
          <cell r="DL20">
            <v>0.95</v>
          </cell>
          <cell r="DM20">
            <v>31</v>
          </cell>
          <cell r="DN20">
            <v>9</v>
          </cell>
          <cell r="DO20">
            <v>6361.200000000001</v>
          </cell>
          <cell r="DP20">
            <v>30</v>
          </cell>
          <cell r="DQ20">
            <v>9</v>
          </cell>
          <cell r="DR20">
            <v>6156</v>
          </cell>
          <cell r="DS20">
            <v>31</v>
          </cell>
          <cell r="DT20">
            <v>9</v>
          </cell>
          <cell r="DU20">
            <v>6361.200000000001</v>
          </cell>
          <cell r="DV20">
            <v>31</v>
          </cell>
          <cell r="DW20">
            <v>9</v>
          </cell>
          <cell r="DX20">
            <v>6361.200000000001</v>
          </cell>
          <cell r="DY20">
            <v>28</v>
          </cell>
          <cell r="DZ20">
            <v>9</v>
          </cell>
          <cell r="EA20">
            <v>5745.599999999999</v>
          </cell>
          <cell r="EB20">
            <v>31</v>
          </cell>
          <cell r="EC20">
            <v>9</v>
          </cell>
          <cell r="ED20">
            <v>6361.200000000001</v>
          </cell>
          <cell r="EE20">
            <v>30</v>
          </cell>
          <cell r="EF20">
            <v>9</v>
          </cell>
          <cell r="EG20">
            <v>6156</v>
          </cell>
          <cell r="EH20">
            <v>31</v>
          </cell>
          <cell r="EI20">
            <v>9</v>
          </cell>
          <cell r="EJ20">
            <v>6361.200000000001</v>
          </cell>
          <cell r="EK20">
            <v>0</v>
          </cell>
          <cell r="EL20">
            <v>7</v>
          </cell>
          <cell r="EM20">
            <v>5040</v>
          </cell>
          <cell r="EN20">
            <v>0</v>
          </cell>
          <cell r="EO20">
            <v>7</v>
          </cell>
          <cell r="EP20">
            <v>5208</v>
          </cell>
          <cell r="EQ20">
            <v>0</v>
          </cell>
          <cell r="ER20">
            <v>7</v>
          </cell>
          <cell r="ES20">
            <v>5208</v>
          </cell>
          <cell r="ET20">
            <v>0</v>
          </cell>
          <cell r="EU20">
            <v>7</v>
          </cell>
          <cell r="EV20">
            <v>5040</v>
          </cell>
          <cell r="EW20" t="str">
            <v>RHIC CRYOGENICS</v>
          </cell>
          <cell r="EX20">
            <v>0.95</v>
          </cell>
          <cell r="EY20">
            <v>31</v>
          </cell>
          <cell r="EZ20">
            <v>9</v>
          </cell>
          <cell r="FA20">
            <v>6361.200000000001</v>
          </cell>
          <cell r="FB20">
            <v>30</v>
          </cell>
          <cell r="FC20">
            <v>9</v>
          </cell>
          <cell r="FD20">
            <v>6156</v>
          </cell>
          <cell r="FE20">
            <v>31</v>
          </cell>
          <cell r="FF20">
            <v>9</v>
          </cell>
          <cell r="FG20">
            <v>6361.200000000001</v>
          </cell>
          <cell r="FH20">
            <v>31</v>
          </cell>
          <cell r="FI20">
            <v>9</v>
          </cell>
          <cell r="FJ20">
            <v>6361.200000000001</v>
          </cell>
          <cell r="FK20">
            <v>28</v>
          </cell>
          <cell r="FL20">
            <v>9</v>
          </cell>
          <cell r="FM20">
            <v>5745.599999999999</v>
          </cell>
          <cell r="FN20">
            <v>31</v>
          </cell>
          <cell r="FO20">
            <v>9</v>
          </cell>
          <cell r="FP20">
            <v>6361.200000000001</v>
          </cell>
          <cell r="FQ20">
            <v>30</v>
          </cell>
          <cell r="FR20">
            <v>9</v>
          </cell>
          <cell r="FS20">
            <v>6156</v>
          </cell>
          <cell r="FT20">
            <v>31</v>
          </cell>
          <cell r="FU20">
            <v>9</v>
          </cell>
          <cell r="FV20">
            <v>6361.200000000001</v>
          </cell>
          <cell r="FW20">
            <v>0</v>
          </cell>
          <cell r="FX20">
            <v>7</v>
          </cell>
          <cell r="FY20">
            <v>5040</v>
          </cell>
          <cell r="FZ20">
            <v>0</v>
          </cell>
          <cell r="GA20">
            <v>7</v>
          </cell>
          <cell r="GB20">
            <v>5208</v>
          </cell>
          <cell r="GC20">
            <v>0</v>
          </cell>
          <cell r="GD20">
            <v>7</v>
          </cell>
          <cell r="GE20">
            <v>5208</v>
          </cell>
          <cell r="GF20">
            <v>0</v>
          </cell>
          <cell r="GG20">
            <v>7</v>
          </cell>
          <cell r="GH20">
            <v>5040</v>
          </cell>
        </row>
        <row r="21">
          <cell r="A21" t="str">
            <v>RHIC MMPS, RF</v>
          </cell>
          <cell r="B21">
            <v>0.9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30</v>
          </cell>
          <cell r="AB21">
            <v>7</v>
          </cell>
          <cell r="AC21">
            <v>4536</v>
          </cell>
          <cell r="AD21">
            <v>31</v>
          </cell>
          <cell r="AE21">
            <v>7</v>
          </cell>
          <cell r="AF21">
            <v>4687.200000000001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 t="str">
            <v>RHIC MMPS, RF</v>
          </cell>
          <cell r="AN21">
            <v>0.9</v>
          </cell>
          <cell r="AO21">
            <v>0</v>
          </cell>
          <cell r="AP21">
            <v>0</v>
          </cell>
          <cell r="AQ21">
            <v>0</v>
          </cell>
          <cell r="AR21">
            <v>30</v>
          </cell>
          <cell r="AS21">
            <v>7</v>
          </cell>
          <cell r="AT21">
            <v>4536</v>
          </cell>
          <cell r="AU21">
            <v>31</v>
          </cell>
          <cell r="AV21">
            <v>7</v>
          </cell>
          <cell r="AW21">
            <v>4687.200000000001</v>
          </cell>
          <cell r="AX21">
            <v>31</v>
          </cell>
          <cell r="AY21">
            <v>7</v>
          </cell>
          <cell r="AZ21">
            <v>4687.200000000001</v>
          </cell>
          <cell r="BA21">
            <v>28</v>
          </cell>
          <cell r="BB21">
            <v>7</v>
          </cell>
          <cell r="BC21">
            <v>4233.6</v>
          </cell>
          <cell r="BD21">
            <v>31</v>
          </cell>
          <cell r="BE21">
            <v>7</v>
          </cell>
          <cell r="BF21">
            <v>4687.200000000001</v>
          </cell>
          <cell r="BG21">
            <v>30</v>
          </cell>
          <cell r="BH21">
            <v>7</v>
          </cell>
          <cell r="BI21">
            <v>4536</v>
          </cell>
          <cell r="BJ21">
            <v>31</v>
          </cell>
          <cell r="BK21">
            <v>7</v>
          </cell>
          <cell r="BL21">
            <v>4687.200000000001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 t="str">
            <v>RHIC MMPS, RF</v>
          </cell>
          <cell r="BZ21">
            <v>0.9</v>
          </cell>
          <cell r="CA21">
            <v>31</v>
          </cell>
          <cell r="CB21">
            <v>7</v>
          </cell>
          <cell r="CC21">
            <v>4687.200000000001</v>
          </cell>
          <cell r="CD21">
            <v>30</v>
          </cell>
          <cell r="CE21">
            <v>7</v>
          </cell>
          <cell r="CF21">
            <v>4536</v>
          </cell>
          <cell r="CG21">
            <v>31</v>
          </cell>
          <cell r="CH21">
            <v>7</v>
          </cell>
          <cell r="CI21">
            <v>4687.200000000001</v>
          </cell>
          <cell r="CJ21">
            <v>31</v>
          </cell>
          <cell r="CK21">
            <v>7</v>
          </cell>
          <cell r="CL21">
            <v>4687.200000000001</v>
          </cell>
          <cell r="CM21">
            <v>28</v>
          </cell>
          <cell r="CN21">
            <v>7</v>
          </cell>
          <cell r="CO21">
            <v>4233.6</v>
          </cell>
          <cell r="CP21">
            <v>31</v>
          </cell>
          <cell r="CQ21">
            <v>7</v>
          </cell>
          <cell r="CR21">
            <v>4687.200000000001</v>
          </cell>
          <cell r="CS21">
            <v>30</v>
          </cell>
          <cell r="CT21">
            <v>7</v>
          </cell>
          <cell r="CU21">
            <v>4536</v>
          </cell>
          <cell r="CV21">
            <v>31</v>
          </cell>
          <cell r="CW21">
            <v>7</v>
          </cell>
          <cell r="CX21">
            <v>4687.200000000001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 t="str">
            <v>RHIC MMPS, RF</v>
          </cell>
          <cell r="DL21">
            <v>0.9</v>
          </cell>
          <cell r="DM21">
            <v>31</v>
          </cell>
          <cell r="DN21">
            <v>7</v>
          </cell>
          <cell r="DO21">
            <v>4687.200000000001</v>
          </cell>
          <cell r="DP21">
            <v>30</v>
          </cell>
          <cell r="DQ21">
            <v>7</v>
          </cell>
          <cell r="DR21">
            <v>4536</v>
          </cell>
          <cell r="DS21">
            <v>31</v>
          </cell>
          <cell r="DT21">
            <v>7</v>
          </cell>
          <cell r="DU21">
            <v>4687.200000000001</v>
          </cell>
          <cell r="DV21">
            <v>31</v>
          </cell>
          <cell r="DW21">
            <v>7</v>
          </cell>
          <cell r="DX21">
            <v>4687.200000000001</v>
          </cell>
          <cell r="DY21">
            <v>28</v>
          </cell>
          <cell r="DZ21">
            <v>7</v>
          </cell>
          <cell r="EA21">
            <v>4233.6</v>
          </cell>
          <cell r="EB21">
            <v>31</v>
          </cell>
          <cell r="EC21">
            <v>7</v>
          </cell>
          <cell r="ED21">
            <v>4687.200000000001</v>
          </cell>
          <cell r="EE21">
            <v>30</v>
          </cell>
          <cell r="EF21">
            <v>7</v>
          </cell>
          <cell r="EG21">
            <v>4536</v>
          </cell>
          <cell r="EH21">
            <v>31</v>
          </cell>
          <cell r="EI21">
            <v>7</v>
          </cell>
          <cell r="EJ21">
            <v>4687.200000000001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 t="str">
            <v>RHIC MMPS, RF</v>
          </cell>
          <cell r="EX21">
            <v>0.9</v>
          </cell>
          <cell r="EY21">
            <v>31</v>
          </cell>
          <cell r="EZ21">
            <v>7</v>
          </cell>
          <cell r="FA21">
            <v>4687.200000000001</v>
          </cell>
          <cell r="FB21">
            <v>30</v>
          </cell>
          <cell r="FC21">
            <v>7</v>
          </cell>
          <cell r="FD21">
            <v>4536</v>
          </cell>
          <cell r="FE21">
            <v>31</v>
          </cell>
          <cell r="FF21">
            <v>7</v>
          </cell>
          <cell r="FG21">
            <v>4687.200000000001</v>
          </cell>
          <cell r="FH21">
            <v>31</v>
          </cell>
          <cell r="FI21">
            <v>7</v>
          </cell>
          <cell r="FJ21">
            <v>4687.200000000001</v>
          </cell>
          <cell r="FK21">
            <v>28</v>
          </cell>
          <cell r="FL21">
            <v>7</v>
          </cell>
          <cell r="FM21">
            <v>4233.6</v>
          </cell>
          <cell r="FN21">
            <v>31</v>
          </cell>
          <cell r="FO21">
            <v>7</v>
          </cell>
          <cell r="FP21">
            <v>4687.200000000001</v>
          </cell>
          <cell r="FQ21">
            <v>30</v>
          </cell>
          <cell r="FR21">
            <v>7</v>
          </cell>
          <cell r="FS21">
            <v>4536</v>
          </cell>
          <cell r="FT21">
            <v>31</v>
          </cell>
          <cell r="FU21">
            <v>7</v>
          </cell>
          <cell r="FV21">
            <v>4687.200000000001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</row>
        <row r="22">
          <cell r="A22" t="str">
            <v>RHIC EXP</v>
          </cell>
          <cell r="B22">
            <v>0.8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30</v>
          </cell>
          <cell r="AB22">
            <v>9.5</v>
          </cell>
          <cell r="AC22">
            <v>5472</v>
          </cell>
          <cell r="AD22">
            <v>31</v>
          </cell>
          <cell r="AE22">
            <v>9.5</v>
          </cell>
          <cell r="AF22">
            <v>5654.4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 t="str">
            <v>RHIC EXP</v>
          </cell>
          <cell r="AN22">
            <v>0.8</v>
          </cell>
          <cell r="AO22">
            <v>0</v>
          </cell>
          <cell r="AP22">
            <v>0</v>
          </cell>
          <cell r="AQ22">
            <v>0</v>
          </cell>
          <cell r="AR22">
            <v>30</v>
          </cell>
          <cell r="AS22">
            <v>9.5</v>
          </cell>
          <cell r="AT22">
            <v>5472</v>
          </cell>
          <cell r="AU22">
            <v>31</v>
          </cell>
          <cell r="AV22">
            <v>9.5</v>
          </cell>
          <cell r="AW22">
            <v>5654.4</v>
          </cell>
          <cell r="AX22">
            <v>31</v>
          </cell>
          <cell r="AY22">
            <v>9.5</v>
          </cell>
          <cell r="AZ22">
            <v>5654.4</v>
          </cell>
          <cell r="BA22">
            <v>28</v>
          </cell>
          <cell r="BB22">
            <v>9.5</v>
          </cell>
          <cell r="BC22">
            <v>5107.200000000001</v>
          </cell>
          <cell r="BD22">
            <v>31</v>
          </cell>
          <cell r="BE22">
            <v>9.5</v>
          </cell>
          <cell r="BF22">
            <v>5654.4</v>
          </cell>
          <cell r="BG22">
            <v>30</v>
          </cell>
          <cell r="BH22">
            <v>9.5</v>
          </cell>
          <cell r="BI22">
            <v>5472</v>
          </cell>
          <cell r="BJ22">
            <v>31</v>
          </cell>
          <cell r="BK22">
            <v>9.5</v>
          </cell>
          <cell r="BL22">
            <v>5654.4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 t="str">
            <v>RHIC EXP</v>
          </cell>
          <cell r="BZ22">
            <v>0.8</v>
          </cell>
          <cell r="CA22">
            <v>31</v>
          </cell>
          <cell r="CB22">
            <v>9.5</v>
          </cell>
          <cell r="CC22">
            <v>5654.4</v>
          </cell>
          <cell r="CD22">
            <v>30</v>
          </cell>
          <cell r="CE22">
            <v>9.5</v>
          </cell>
          <cell r="CF22">
            <v>5472</v>
          </cell>
          <cell r="CG22">
            <v>31</v>
          </cell>
          <cell r="CH22">
            <v>9.5</v>
          </cell>
          <cell r="CI22">
            <v>5654.4</v>
          </cell>
          <cell r="CJ22">
            <v>31</v>
          </cell>
          <cell r="CK22">
            <v>9.5</v>
          </cell>
          <cell r="CL22">
            <v>5654.4</v>
          </cell>
          <cell r="CM22">
            <v>28</v>
          </cell>
          <cell r="CN22">
            <v>9.5</v>
          </cell>
          <cell r="CO22">
            <v>5107.200000000001</v>
          </cell>
          <cell r="CP22">
            <v>31</v>
          </cell>
          <cell r="CQ22">
            <v>9.5</v>
          </cell>
          <cell r="CR22">
            <v>5654.4</v>
          </cell>
          <cell r="CS22">
            <v>30</v>
          </cell>
          <cell r="CT22">
            <v>9.5</v>
          </cell>
          <cell r="CU22">
            <v>5472</v>
          </cell>
          <cell r="CV22">
            <v>31</v>
          </cell>
          <cell r="CW22">
            <v>9.5</v>
          </cell>
          <cell r="CX22">
            <v>5654.4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 t="str">
            <v>RHIC EXP</v>
          </cell>
          <cell r="DL22">
            <v>0.8</v>
          </cell>
          <cell r="DM22">
            <v>31</v>
          </cell>
          <cell r="DN22">
            <v>9.5</v>
          </cell>
          <cell r="DO22">
            <v>5654.4</v>
          </cell>
          <cell r="DP22">
            <v>30</v>
          </cell>
          <cell r="DQ22">
            <v>9.5</v>
          </cell>
          <cell r="DR22">
            <v>5472</v>
          </cell>
          <cell r="DS22">
            <v>31</v>
          </cell>
          <cell r="DT22">
            <v>9.5</v>
          </cell>
          <cell r="DU22">
            <v>5654.4</v>
          </cell>
          <cell r="DV22">
            <v>31</v>
          </cell>
          <cell r="DW22">
            <v>9.5</v>
          </cell>
          <cell r="DX22">
            <v>5654.4</v>
          </cell>
          <cell r="DY22">
            <v>28</v>
          </cell>
          <cell r="DZ22">
            <v>9.5</v>
          </cell>
          <cell r="EA22">
            <v>5107.200000000001</v>
          </cell>
          <cell r="EB22">
            <v>31</v>
          </cell>
          <cell r="EC22">
            <v>9.5</v>
          </cell>
          <cell r="ED22">
            <v>5654.4</v>
          </cell>
          <cell r="EE22">
            <v>30</v>
          </cell>
          <cell r="EF22">
            <v>9.5</v>
          </cell>
          <cell r="EG22">
            <v>5472</v>
          </cell>
          <cell r="EH22">
            <v>31</v>
          </cell>
          <cell r="EI22">
            <v>9.5</v>
          </cell>
          <cell r="EJ22">
            <v>5654.4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 t="str">
            <v>RHIC EXP</v>
          </cell>
          <cell r="EX22">
            <v>0.8</v>
          </cell>
          <cell r="EY22">
            <v>31</v>
          </cell>
          <cell r="EZ22">
            <v>9.5</v>
          </cell>
          <cell r="FA22">
            <v>5654.4</v>
          </cell>
          <cell r="FB22">
            <v>30</v>
          </cell>
          <cell r="FC22">
            <v>9.5</v>
          </cell>
          <cell r="FD22">
            <v>5472</v>
          </cell>
          <cell r="FE22">
            <v>31</v>
          </cell>
          <cell r="FF22">
            <v>9.5</v>
          </cell>
          <cell r="FG22">
            <v>5654.4</v>
          </cell>
          <cell r="FH22">
            <v>31</v>
          </cell>
          <cell r="FI22">
            <v>9.5</v>
          </cell>
          <cell r="FJ22">
            <v>5654.4</v>
          </cell>
          <cell r="FK22">
            <v>28</v>
          </cell>
          <cell r="FL22">
            <v>9.5</v>
          </cell>
          <cell r="FM22">
            <v>5107.200000000001</v>
          </cell>
          <cell r="FN22">
            <v>31</v>
          </cell>
          <cell r="FO22">
            <v>9.5</v>
          </cell>
          <cell r="FP22">
            <v>5654.4</v>
          </cell>
          <cell r="FQ22">
            <v>30</v>
          </cell>
          <cell r="FR22">
            <v>9.5</v>
          </cell>
          <cell r="FS22">
            <v>5472</v>
          </cell>
          <cell r="FT22">
            <v>31</v>
          </cell>
          <cell r="FU22">
            <v>9.5</v>
          </cell>
          <cell r="FV22">
            <v>5654.4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A23" t="str">
            <v>G-2 (N/A)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 t="str">
            <v>G-2 (N/A)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 t="str">
            <v>G-2 (N/A)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 t="str">
            <v>G-2 (N/A)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 t="str">
            <v>G-2 (N/A)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</row>
        <row r="24">
          <cell r="A24" t="str">
            <v>BAF (on-line 2002)</v>
          </cell>
          <cell r="B24">
            <v>0.8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 t="str">
            <v>BAF (on-line 2002)</v>
          </cell>
          <cell r="AN24">
            <v>0.8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 t="str">
            <v>BAF (on-line 2002)</v>
          </cell>
          <cell r="BZ24">
            <v>0.8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 t="str">
            <v>BAF (on-line 2002)</v>
          </cell>
          <cell r="DL24">
            <v>0.8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31</v>
          </cell>
          <cell r="DT24">
            <v>3.5</v>
          </cell>
          <cell r="DU24">
            <v>2083.2</v>
          </cell>
          <cell r="DV24">
            <v>31</v>
          </cell>
          <cell r="DW24">
            <v>3.5</v>
          </cell>
          <cell r="DX24">
            <v>2083.2</v>
          </cell>
          <cell r="DY24">
            <v>28</v>
          </cell>
          <cell r="DZ24">
            <v>3.5</v>
          </cell>
          <cell r="EA24">
            <v>1881.6000000000001</v>
          </cell>
          <cell r="EB24">
            <v>31</v>
          </cell>
          <cell r="EC24">
            <v>3.5</v>
          </cell>
          <cell r="ED24">
            <v>2083.2</v>
          </cell>
          <cell r="EE24">
            <v>30</v>
          </cell>
          <cell r="EF24">
            <v>3.5</v>
          </cell>
          <cell r="EG24">
            <v>2016</v>
          </cell>
          <cell r="EH24">
            <v>31</v>
          </cell>
          <cell r="EI24">
            <v>3.5</v>
          </cell>
          <cell r="EJ24">
            <v>2083.2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 t="str">
            <v>BAF (on-line 2002)</v>
          </cell>
          <cell r="EX24">
            <v>0.8</v>
          </cell>
          <cell r="EY24">
            <v>31</v>
          </cell>
          <cell r="EZ24">
            <v>3.5</v>
          </cell>
          <cell r="FA24">
            <v>2083.2</v>
          </cell>
          <cell r="FB24">
            <v>30</v>
          </cell>
          <cell r="FC24">
            <v>3.5</v>
          </cell>
          <cell r="FD24">
            <v>2016</v>
          </cell>
          <cell r="FE24">
            <v>31</v>
          </cell>
          <cell r="FF24">
            <v>3.5</v>
          </cell>
          <cell r="FG24">
            <v>2083.2</v>
          </cell>
          <cell r="FH24">
            <v>31</v>
          </cell>
          <cell r="FI24">
            <v>3.5</v>
          </cell>
          <cell r="FJ24">
            <v>2083.2</v>
          </cell>
          <cell r="FK24">
            <v>28</v>
          </cell>
          <cell r="FL24">
            <v>3.5</v>
          </cell>
          <cell r="FM24">
            <v>1881.6000000000001</v>
          </cell>
          <cell r="FN24">
            <v>31</v>
          </cell>
          <cell r="FO24">
            <v>3.5</v>
          </cell>
          <cell r="FP24">
            <v>2083.2</v>
          </cell>
          <cell r="FQ24">
            <v>30</v>
          </cell>
          <cell r="FR24">
            <v>3.5</v>
          </cell>
          <cell r="FS24">
            <v>2016</v>
          </cell>
          <cell r="FT24">
            <v>31</v>
          </cell>
          <cell r="FU24">
            <v>3.5</v>
          </cell>
          <cell r="FV24">
            <v>2083.2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</row>
        <row r="25">
          <cell r="A25" t="str">
            <v>RHIC Users Facility (2002)</v>
          </cell>
          <cell r="B25">
            <v>0.8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 t="str">
            <v>RHIC Users Facility (2002)</v>
          </cell>
          <cell r="AN25">
            <v>0.8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 t="str">
            <v>RHIC Users Facility (2002)</v>
          </cell>
          <cell r="BZ25">
            <v>0.8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 t="str">
            <v>RHIC Users Facility (2002)</v>
          </cell>
          <cell r="DL25">
            <v>0.8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31</v>
          </cell>
          <cell r="DT25">
            <v>1</v>
          </cell>
          <cell r="DU25">
            <v>595.2</v>
          </cell>
          <cell r="DV25">
            <v>31</v>
          </cell>
          <cell r="DW25">
            <v>1</v>
          </cell>
          <cell r="DX25">
            <v>595.2</v>
          </cell>
          <cell r="DY25">
            <v>28</v>
          </cell>
          <cell r="DZ25">
            <v>1</v>
          </cell>
          <cell r="EA25">
            <v>537.6</v>
          </cell>
          <cell r="EB25">
            <v>31</v>
          </cell>
          <cell r="EC25">
            <v>1</v>
          </cell>
          <cell r="ED25">
            <v>595.2</v>
          </cell>
          <cell r="EE25">
            <v>30</v>
          </cell>
          <cell r="EF25">
            <v>1</v>
          </cell>
          <cell r="EG25">
            <v>576</v>
          </cell>
          <cell r="EH25">
            <v>31</v>
          </cell>
          <cell r="EI25">
            <v>1</v>
          </cell>
          <cell r="EJ25">
            <v>595.2</v>
          </cell>
          <cell r="EK25">
            <v>30</v>
          </cell>
          <cell r="EL25">
            <v>1</v>
          </cell>
          <cell r="EM25">
            <v>576</v>
          </cell>
          <cell r="EN25">
            <v>31</v>
          </cell>
          <cell r="EO25">
            <v>1</v>
          </cell>
          <cell r="EP25">
            <v>595.2</v>
          </cell>
          <cell r="EQ25">
            <v>31</v>
          </cell>
          <cell r="ER25">
            <v>1</v>
          </cell>
          <cell r="ES25">
            <v>595.2</v>
          </cell>
          <cell r="ET25">
            <v>30</v>
          </cell>
          <cell r="EU25">
            <v>1</v>
          </cell>
          <cell r="EV25">
            <v>576</v>
          </cell>
          <cell r="EW25" t="str">
            <v>RHIC Users Facility (2002)</v>
          </cell>
          <cell r="EX25">
            <v>0.8</v>
          </cell>
          <cell r="EY25">
            <v>31</v>
          </cell>
          <cell r="EZ25">
            <v>1</v>
          </cell>
          <cell r="FA25">
            <v>595.2</v>
          </cell>
          <cell r="FB25">
            <v>30</v>
          </cell>
          <cell r="FC25">
            <v>1</v>
          </cell>
          <cell r="FD25">
            <v>576</v>
          </cell>
          <cell r="FE25">
            <v>31</v>
          </cell>
          <cell r="FF25">
            <v>1</v>
          </cell>
          <cell r="FG25">
            <v>595.2</v>
          </cell>
          <cell r="FH25">
            <v>31</v>
          </cell>
          <cell r="FI25">
            <v>1</v>
          </cell>
          <cell r="FJ25">
            <v>595.2</v>
          </cell>
          <cell r="FK25">
            <v>28</v>
          </cell>
          <cell r="FL25">
            <v>1</v>
          </cell>
          <cell r="FM25">
            <v>537.6</v>
          </cell>
          <cell r="FN25">
            <v>31</v>
          </cell>
          <cell r="FO25">
            <v>1</v>
          </cell>
          <cell r="FP25">
            <v>595.2</v>
          </cell>
          <cell r="FQ25">
            <v>30</v>
          </cell>
          <cell r="FR25">
            <v>1</v>
          </cell>
          <cell r="FS25">
            <v>576</v>
          </cell>
          <cell r="FT25">
            <v>31</v>
          </cell>
          <cell r="FU25">
            <v>1</v>
          </cell>
          <cell r="FV25">
            <v>595.2</v>
          </cell>
          <cell r="FW25">
            <v>30</v>
          </cell>
          <cell r="FX25">
            <v>1</v>
          </cell>
          <cell r="FY25">
            <v>576</v>
          </cell>
          <cell r="FZ25">
            <v>31</v>
          </cell>
          <cell r="GA25">
            <v>1</v>
          </cell>
          <cell r="GB25">
            <v>595.2</v>
          </cell>
          <cell r="GC25">
            <v>31</v>
          </cell>
          <cell r="GD25">
            <v>1</v>
          </cell>
          <cell r="GE25">
            <v>595.2</v>
          </cell>
          <cell r="GF25">
            <v>30</v>
          </cell>
          <cell r="GG25">
            <v>1</v>
          </cell>
          <cell r="GH25">
            <v>576</v>
          </cell>
        </row>
        <row r="26">
          <cell r="A26" t="str">
            <v>RHIC 12 o'clock Hall (2004)</v>
          </cell>
          <cell r="B26">
            <v>0.8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 t="str">
            <v>RHIC 12 o'clock Hall (2004)</v>
          </cell>
          <cell r="AN26">
            <v>0.8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 t="str">
            <v>RHIC 12 o'clock Hall (2004)</v>
          </cell>
          <cell r="BZ26">
            <v>0.8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 t="str">
            <v>RHIC 12 o'clock Hall (2004)</v>
          </cell>
          <cell r="DL26">
            <v>0.8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 t="str">
            <v>RHIC 12 o'clock Hall (2004)</v>
          </cell>
          <cell r="EX26">
            <v>0.8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</row>
        <row r="28">
          <cell r="A28" t="str">
            <v>Incremental energy from</v>
          </cell>
          <cell r="B28">
            <v>0.167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30</v>
          </cell>
          <cell r="AB28">
            <v>3.5</v>
          </cell>
          <cell r="AC28">
            <v>420.8400000000001</v>
          </cell>
          <cell r="AD28">
            <v>31</v>
          </cell>
          <cell r="AE28">
            <v>3.5</v>
          </cell>
          <cell r="AF28">
            <v>434.86800000000005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 t="str">
            <v>Incremental energy from</v>
          </cell>
          <cell r="AN28">
            <v>0.167</v>
          </cell>
          <cell r="AO28">
            <v>0</v>
          </cell>
          <cell r="AP28">
            <v>0</v>
          </cell>
          <cell r="AQ28">
            <v>0</v>
          </cell>
          <cell r="AR28">
            <v>30</v>
          </cell>
          <cell r="AS28">
            <v>3.5</v>
          </cell>
          <cell r="AT28">
            <v>420.8400000000001</v>
          </cell>
          <cell r="AU28">
            <v>31</v>
          </cell>
          <cell r="AV28">
            <v>3.5</v>
          </cell>
          <cell r="AW28">
            <v>434.86800000000005</v>
          </cell>
          <cell r="AX28">
            <v>31</v>
          </cell>
          <cell r="AY28">
            <v>3.5</v>
          </cell>
          <cell r="AZ28">
            <v>434.86800000000005</v>
          </cell>
          <cell r="BA28">
            <v>28</v>
          </cell>
          <cell r="BB28">
            <v>3.5</v>
          </cell>
          <cell r="BC28">
            <v>392.784</v>
          </cell>
          <cell r="BD28">
            <v>31</v>
          </cell>
          <cell r="BE28">
            <v>3.5</v>
          </cell>
          <cell r="BF28">
            <v>434.86800000000005</v>
          </cell>
          <cell r="BG28">
            <v>30</v>
          </cell>
          <cell r="BH28">
            <v>3.5</v>
          </cell>
          <cell r="BI28">
            <v>420.8400000000001</v>
          </cell>
          <cell r="BJ28">
            <v>31</v>
          </cell>
          <cell r="BK28">
            <v>3.5</v>
          </cell>
          <cell r="BL28">
            <v>434.86800000000005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 t="str">
            <v>Incremental energy from</v>
          </cell>
          <cell r="BZ28">
            <v>0.167</v>
          </cell>
          <cell r="CA28">
            <v>31</v>
          </cell>
          <cell r="CB28">
            <v>3.5</v>
          </cell>
          <cell r="CC28">
            <v>434.86800000000005</v>
          </cell>
          <cell r="CD28">
            <v>30</v>
          </cell>
          <cell r="CE28">
            <v>3.5</v>
          </cell>
          <cell r="CF28">
            <v>420.8400000000001</v>
          </cell>
          <cell r="CG28">
            <v>31</v>
          </cell>
          <cell r="CH28">
            <v>3.5</v>
          </cell>
          <cell r="CI28">
            <v>434.86800000000005</v>
          </cell>
          <cell r="CJ28">
            <v>31</v>
          </cell>
          <cell r="CK28">
            <v>3.5</v>
          </cell>
          <cell r="CL28">
            <v>434.86800000000005</v>
          </cell>
          <cell r="CM28">
            <v>28</v>
          </cell>
          <cell r="CN28">
            <v>3.5</v>
          </cell>
          <cell r="CO28">
            <v>392.784</v>
          </cell>
          <cell r="CP28">
            <v>31</v>
          </cell>
          <cell r="CQ28">
            <v>3.5</v>
          </cell>
          <cell r="CR28">
            <v>434.86800000000005</v>
          </cell>
          <cell r="CS28">
            <v>30</v>
          </cell>
          <cell r="CT28">
            <v>3.5</v>
          </cell>
          <cell r="CU28">
            <v>420.8400000000001</v>
          </cell>
          <cell r="CV28">
            <v>31</v>
          </cell>
          <cell r="CW28">
            <v>3.5</v>
          </cell>
          <cell r="CX28">
            <v>434.86800000000005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 t="str">
            <v>Incremental energy from</v>
          </cell>
          <cell r="DL28">
            <v>0.167</v>
          </cell>
          <cell r="DM28">
            <v>31</v>
          </cell>
          <cell r="DN28">
            <v>3.5</v>
          </cell>
          <cell r="DO28">
            <v>434.86800000000005</v>
          </cell>
          <cell r="DP28">
            <v>30</v>
          </cell>
          <cell r="DQ28">
            <v>3.5</v>
          </cell>
          <cell r="DR28">
            <v>420.8400000000001</v>
          </cell>
          <cell r="DS28">
            <v>31</v>
          </cell>
          <cell r="DT28">
            <v>3.5</v>
          </cell>
          <cell r="DU28">
            <v>434.86800000000005</v>
          </cell>
          <cell r="DV28">
            <v>31</v>
          </cell>
          <cell r="DW28">
            <v>3.5</v>
          </cell>
          <cell r="DX28">
            <v>434.86800000000005</v>
          </cell>
          <cell r="DY28">
            <v>28</v>
          </cell>
          <cell r="DZ28">
            <v>3.5</v>
          </cell>
          <cell r="EA28">
            <v>392.784</v>
          </cell>
          <cell r="EB28">
            <v>31</v>
          </cell>
          <cell r="EC28">
            <v>3.5</v>
          </cell>
          <cell r="ED28">
            <v>434.86800000000005</v>
          </cell>
          <cell r="EE28">
            <v>30</v>
          </cell>
          <cell r="EF28">
            <v>3.5</v>
          </cell>
          <cell r="EG28">
            <v>420.8400000000001</v>
          </cell>
          <cell r="EH28">
            <v>31</v>
          </cell>
          <cell r="EI28">
            <v>3.5</v>
          </cell>
          <cell r="EJ28">
            <v>434.86800000000005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 t="str">
            <v>Incremental energy from</v>
          </cell>
          <cell r="EX28">
            <v>0.167</v>
          </cell>
          <cell r="EY28">
            <v>31</v>
          </cell>
          <cell r="EZ28">
            <v>3.5</v>
          </cell>
          <cell r="FA28">
            <v>434.86800000000005</v>
          </cell>
          <cell r="FB28">
            <v>30</v>
          </cell>
          <cell r="FC28">
            <v>3.5</v>
          </cell>
          <cell r="FD28">
            <v>420.8400000000001</v>
          </cell>
          <cell r="FE28">
            <v>31</v>
          </cell>
          <cell r="FF28">
            <v>3.5</v>
          </cell>
          <cell r="FG28">
            <v>434.86800000000005</v>
          </cell>
          <cell r="FH28">
            <v>31</v>
          </cell>
          <cell r="FI28">
            <v>3.5</v>
          </cell>
          <cell r="FJ28">
            <v>434.86800000000005</v>
          </cell>
          <cell r="FK28">
            <v>28</v>
          </cell>
          <cell r="FL28">
            <v>3.5</v>
          </cell>
          <cell r="FM28">
            <v>392.784</v>
          </cell>
          <cell r="FN28">
            <v>31</v>
          </cell>
          <cell r="FO28">
            <v>3.5</v>
          </cell>
          <cell r="FP28">
            <v>434.86800000000005</v>
          </cell>
          <cell r="FQ28">
            <v>30</v>
          </cell>
          <cell r="FR28">
            <v>3.5</v>
          </cell>
          <cell r="FS28">
            <v>420.8400000000001</v>
          </cell>
          <cell r="FT28">
            <v>31</v>
          </cell>
          <cell r="FU28">
            <v>3.5</v>
          </cell>
          <cell r="FV28">
            <v>434.86800000000005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</row>
        <row r="29">
          <cell r="A29" t="str">
            <v>   AGS injection to RHIC</v>
          </cell>
          <cell r="AM29" t="str">
            <v>   AGS injection to RHIC</v>
          </cell>
          <cell r="BY29" t="str">
            <v>   AGS injection to RHIC</v>
          </cell>
          <cell r="DK29" t="str">
            <v>   AGS injection to RHIC</v>
          </cell>
          <cell r="EW29" t="str">
            <v>   AGS injection to RHIC</v>
          </cell>
        </row>
        <row r="31">
          <cell r="A31" t="str">
            <v>AGS Modes (FY98, 99 Only)</v>
          </cell>
          <cell r="AM31" t="str">
            <v>AGS Modes (FY98, 99 Only)</v>
          </cell>
          <cell r="BY31" t="str">
            <v>AGS Modes (FY98, 99 Only)</v>
          </cell>
          <cell r="DK31" t="str">
            <v>AGS Modes (FY98, 99 Only)</v>
          </cell>
          <cell r="EW31" t="str">
            <v>AGS Modes (FY98, 99 Only)</v>
          </cell>
        </row>
        <row r="33">
          <cell r="A33" t="str">
            <v>AGS Base: Booster &amp; Support</v>
          </cell>
          <cell r="B33">
            <v>0.9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 t="str">
            <v>AGS Base: Booster &amp; Support</v>
          </cell>
          <cell r="AN33">
            <v>0.9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 t="str">
            <v>AGS Base: Booster &amp; Support</v>
          </cell>
          <cell r="BZ33">
            <v>0.9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 t="str">
            <v>AGS Base: Booster &amp; Support</v>
          </cell>
          <cell r="DL33">
            <v>0.9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 t="str">
            <v>AGS Base: Booster &amp; Support</v>
          </cell>
          <cell r="EX33">
            <v>0.9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</row>
        <row r="34">
          <cell r="A34" t="str">
            <v>HEP-SEB</v>
          </cell>
          <cell r="B34">
            <v>0.9</v>
          </cell>
          <cell r="C34">
            <v>31</v>
          </cell>
          <cell r="D34">
            <v>26</v>
          </cell>
          <cell r="E34">
            <v>17409.600000000002</v>
          </cell>
          <cell r="F34">
            <v>30</v>
          </cell>
          <cell r="G34">
            <v>26</v>
          </cell>
          <cell r="H34">
            <v>16848</v>
          </cell>
          <cell r="I34">
            <v>31</v>
          </cell>
          <cell r="J34">
            <v>26</v>
          </cell>
          <cell r="K34">
            <v>17409.600000000002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 t="str">
            <v>HEP-SEB</v>
          </cell>
          <cell r="AN34">
            <v>0.9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 t="str">
            <v>HEP-SEB</v>
          </cell>
          <cell r="BZ34">
            <v>0.9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 t="str">
            <v>HEP-SEB</v>
          </cell>
          <cell r="DL34">
            <v>0.9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 t="str">
            <v>HEP-SEB</v>
          </cell>
          <cell r="EX34">
            <v>0.9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</row>
        <row r="35">
          <cell r="A35" t="str">
            <v>HEP-FEB Protons</v>
          </cell>
          <cell r="B35">
            <v>0.9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31</v>
          </cell>
          <cell r="M35">
            <v>15</v>
          </cell>
          <cell r="N35">
            <v>10044.000000000002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14</v>
          </cell>
          <cell r="AH35">
            <v>15</v>
          </cell>
          <cell r="AI35">
            <v>4536</v>
          </cell>
          <cell r="AJ35">
            <v>0</v>
          </cell>
          <cell r="AK35">
            <v>0</v>
          </cell>
          <cell r="AL35">
            <v>0</v>
          </cell>
          <cell r="AM35" t="str">
            <v>HEP-FEB Protons</v>
          </cell>
          <cell r="AN35">
            <v>0.9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 t="str">
            <v>HEP-FEB Protons</v>
          </cell>
          <cell r="BZ35">
            <v>0.9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 t="str">
            <v>HEP-FEB Protons</v>
          </cell>
          <cell r="DL35">
            <v>0.9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 t="str">
            <v>HEP-FEB Protons</v>
          </cell>
          <cell r="EX35">
            <v>0.9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</row>
        <row r="36">
          <cell r="A36" t="str">
            <v>HEP-Polarized Protons</v>
          </cell>
          <cell r="B36">
            <v>0.9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14</v>
          </cell>
          <cell r="P36">
            <v>13</v>
          </cell>
          <cell r="Q36">
            <v>3931.2</v>
          </cell>
          <cell r="R36">
            <v>21</v>
          </cell>
          <cell r="S36">
            <v>13</v>
          </cell>
          <cell r="T36">
            <v>5896.8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 t="str">
            <v>HEP-Polarized Protons</v>
          </cell>
          <cell r="AN36">
            <v>0.9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 t="str">
            <v>HEP-Polarized Protons</v>
          </cell>
          <cell r="BZ36">
            <v>0.9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 t="str">
            <v>HEP-Polarized Protons</v>
          </cell>
          <cell r="DL36">
            <v>0.9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 t="str">
            <v>HEP-Polarized Protons</v>
          </cell>
          <cell r="EX36">
            <v>0.9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</row>
        <row r="37">
          <cell r="A37" t="str">
            <v>HIP-Gold</v>
          </cell>
          <cell r="B37">
            <v>0.9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 t="str">
            <v>HIP-Gold</v>
          </cell>
          <cell r="AN37">
            <v>0.9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 t="str">
            <v>HIP-Gold</v>
          </cell>
          <cell r="BZ37">
            <v>0.9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 t="str">
            <v>HIP-Gold</v>
          </cell>
          <cell r="DL37">
            <v>0.9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 t="str">
            <v>HIP-Gold</v>
          </cell>
          <cell r="EX37">
            <v>0.9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</row>
        <row r="38">
          <cell r="A38" t="str">
            <v>NASA-Fe</v>
          </cell>
          <cell r="B38">
            <v>0.9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</v>
          </cell>
          <cell r="Y38">
            <v>10</v>
          </cell>
          <cell r="Z38">
            <v>1512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 t="str">
            <v>NASA-Fe</v>
          </cell>
          <cell r="AN38">
            <v>0.9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 t="str">
            <v>NASA-Fe</v>
          </cell>
          <cell r="BZ38">
            <v>0.9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 t="str">
            <v>NASA-Fe</v>
          </cell>
          <cell r="DL38">
            <v>0.9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 t="str">
            <v>NASA-Fe</v>
          </cell>
          <cell r="EX38">
            <v>0.9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</row>
        <row r="39">
          <cell r="A39" t="str">
            <v>RHIC/AGS Studies-Gold</v>
          </cell>
          <cell r="B39">
            <v>0.9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 t="str">
            <v>RHIC/AGS Studies-Gold</v>
          </cell>
          <cell r="AN39">
            <v>0.9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 t="str">
            <v>RHIC/AGS Studies-Gold</v>
          </cell>
          <cell r="BZ39">
            <v>0.9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 t="str">
            <v>RHIC/AGS Studies-Gold</v>
          </cell>
          <cell r="DL39">
            <v>0.9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 t="str">
            <v>RHIC/AGS Studies-Gold</v>
          </cell>
          <cell r="EX39">
            <v>0.9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</row>
        <row r="40">
          <cell r="A40" t="str">
            <v>RHIC Injection Studies</v>
          </cell>
          <cell r="B40">
            <v>0.9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15</v>
          </cell>
          <cell r="Y40">
            <v>15</v>
          </cell>
          <cell r="Z40">
            <v>4860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 t="str">
            <v>RHIC Injection Studies</v>
          </cell>
          <cell r="AN40">
            <v>0.9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 t="str">
            <v>RHIC Injection Studies</v>
          </cell>
          <cell r="BZ40">
            <v>0.9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 t="str">
            <v>RHIC Injection Studies</v>
          </cell>
          <cell r="DL40">
            <v>0.9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 t="str">
            <v>RHIC Injection Studies</v>
          </cell>
          <cell r="EX40">
            <v>0.9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</row>
        <row r="42">
          <cell r="A42" t="str">
            <v>AGS Peak</v>
          </cell>
          <cell r="D42">
            <v>26</v>
          </cell>
          <cell r="G42">
            <v>26</v>
          </cell>
          <cell r="J42">
            <v>26</v>
          </cell>
          <cell r="M42">
            <v>15</v>
          </cell>
          <cell r="P42">
            <v>13</v>
          </cell>
          <cell r="S42">
            <v>13</v>
          </cell>
          <cell r="V42">
            <v>0</v>
          </cell>
          <cell r="Y42">
            <v>15</v>
          </cell>
          <cell r="AB42">
            <v>0</v>
          </cell>
          <cell r="AE42">
            <v>0</v>
          </cell>
          <cell r="AH42">
            <v>15</v>
          </cell>
          <cell r="AK42">
            <v>0</v>
          </cell>
          <cell r="AM42" t="str">
            <v>AGS Peak</v>
          </cell>
          <cell r="AP42">
            <v>0</v>
          </cell>
          <cell r="AS42">
            <v>0</v>
          </cell>
          <cell r="AV42">
            <v>0</v>
          </cell>
          <cell r="AY42">
            <v>0</v>
          </cell>
          <cell r="BB42">
            <v>0</v>
          </cell>
          <cell r="BE42">
            <v>0</v>
          </cell>
          <cell r="BH42">
            <v>0</v>
          </cell>
          <cell r="BK42">
            <v>0</v>
          </cell>
          <cell r="BN42">
            <v>0</v>
          </cell>
          <cell r="BQ42">
            <v>0</v>
          </cell>
          <cell r="BT42">
            <v>0</v>
          </cell>
          <cell r="BW42">
            <v>0</v>
          </cell>
          <cell r="BY42" t="str">
            <v>AGS Peak</v>
          </cell>
          <cell r="CB42">
            <v>0</v>
          </cell>
          <cell r="CE42">
            <v>0</v>
          </cell>
          <cell r="CH42">
            <v>0</v>
          </cell>
          <cell r="CK42">
            <v>0</v>
          </cell>
          <cell r="CN42">
            <v>0</v>
          </cell>
          <cell r="CQ42">
            <v>0</v>
          </cell>
          <cell r="CT42">
            <v>0</v>
          </cell>
          <cell r="CW42">
            <v>0</v>
          </cell>
          <cell r="CZ42">
            <v>0</v>
          </cell>
          <cell r="DC42">
            <v>0</v>
          </cell>
          <cell r="DF42">
            <v>0</v>
          </cell>
          <cell r="DI42">
            <v>0</v>
          </cell>
          <cell r="DK42" t="str">
            <v>AGS Peak</v>
          </cell>
          <cell r="DN42">
            <v>0</v>
          </cell>
          <cell r="DQ42">
            <v>0</v>
          </cell>
          <cell r="DT42">
            <v>0</v>
          </cell>
          <cell r="DW42">
            <v>0</v>
          </cell>
          <cell r="DZ42">
            <v>0</v>
          </cell>
          <cell r="EC42">
            <v>0</v>
          </cell>
          <cell r="EF42">
            <v>0</v>
          </cell>
          <cell r="EI42">
            <v>0</v>
          </cell>
          <cell r="EL42">
            <v>0</v>
          </cell>
          <cell r="EO42">
            <v>0</v>
          </cell>
          <cell r="ER42">
            <v>0</v>
          </cell>
          <cell r="EU42">
            <v>0</v>
          </cell>
          <cell r="EW42" t="str">
            <v>AGS Peak</v>
          </cell>
          <cell r="EZ42">
            <v>0</v>
          </cell>
          <cell r="FC42">
            <v>0</v>
          </cell>
          <cell r="FF42">
            <v>0</v>
          </cell>
          <cell r="FI42">
            <v>0</v>
          </cell>
          <cell r="FL42">
            <v>0</v>
          </cell>
          <cell r="FO42">
            <v>0</v>
          </cell>
          <cell r="FR42">
            <v>0</v>
          </cell>
          <cell r="FU42">
            <v>0</v>
          </cell>
          <cell r="FX42">
            <v>0</v>
          </cell>
          <cell r="GA42">
            <v>0</v>
          </cell>
          <cell r="GD42">
            <v>0</v>
          </cell>
          <cell r="GG42">
            <v>0</v>
          </cell>
        </row>
        <row r="44">
          <cell r="A44" t="str">
            <v>RHIC Modes (FY98, 99 Only)</v>
          </cell>
          <cell r="AM44" t="str">
            <v>RHIC Modes (FY98, 99 Only)</v>
          </cell>
          <cell r="AR44" t="str">
            <v> </v>
          </cell>
          <cell r="BY44" t="str">
            <v>RHIC Modes (FY98, 99 Only)</v>
          </cell>
          <cell r="DK44" t="str">
            <v>RHIC Modes (FY98, 99 Only)</v>
          </cell>
          <cell r="EW44" t="str">
            <v>RHIC Modes (FY98, 99 Only)</v>
          </cell>
        </row>
        <row r="46">
          <cell r="A46" t="str">
            <v>STAR</v>
          </cell>
          <cell r="B46">
            <v>0.9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7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 t="str">
            <v>STAR</v>
          </cell>
          <cell r="AN46">
            <v>0.9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 t="str">
            <v>STAR</v>
          </cell>
          <cell r="DK46" t="str">
            <v>STAR</v>
          </cell>
          <cell r="EW46" t="str">
            <v>STAR</v>
          </cell>
        </row>
        <row r="47">
          <cell r="A47" t="str">
            <v>PHENIX</v>
          </cell>
          <cell r="B47">
            <v>0.9</v>
          </cell>
          <cell r="C47">
            <v>0</v>
          </cell>
          <cell r="D47">
            <v>0</v>
          </cell>
          <cell r="E47">
            <v>0</v>
          </cell>
          <cell r="F47">
            <v>7</v>
          </cell>
          <cell r="G47">
            <v>0</v>
          </cell>
          <cell r="H47">
            <v>0</v>
          </cell>
          <cell r="I47">
            <v>7</v>
          </cell>
          <cell r="J47">
            <v>0</v>
          </cell>
          <cell r="K47">
            <v>0</v>
          </cell>
          <cell r="L47">
            <v>7</v>
          </cell>
          <cell r="M47">
            <v>0</v>
          </cell>
          <cell r="N47">
            <v>0</v>
          </cell>
          <cell r="O47">
            <v>28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14</v>
          </cell>
          <cell r="AH47">
            <v>1.6</v>
          </cell>
          <cell r="AI47">
            <v>483.84000000000003</v>
          </cell>
          <cell r="AJ47">
            <v>0</v>
          </cell>
          <cell r="AK47">
            <v>0</v>
          </cell>
          <cell r="AL47">
            <v>0</v>
          </cell>
          <cell r="AM47" t="str">
            <v>PHENIX</v>
          </cell>
          <cell r="AN47">
            <v>0.9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 t="str">
            <v>PHENIX</v>
          </cell>
          <cell r="DK47" t="str">
            <v>PHENIX</v>
          </cell>
          <cell r="EW47" t="str">
            <v>PHENIX</v>
          </cell>
        </row>
        <row r="48">
          <cell r="A48" t="str">
            <v>BRAHMS</v>
          </cell>
          <cell r="B48">
            <v>0.9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14</v>
          </cell>
          <cell r="J48">
            <v>1.3</v>
          </cell>
          <cell r="K48">
            <v>393.12</v>
          </cell>
          <cell r="L48">
            <v>0</v>
          </cell>
          <cell r="M48">
            <v>0</v>
          </cell>
          <cell r="N48">
            <v>0</v>
          </cell>
          <cell r="O48">
            <v>14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 t="str">
            <v>BRAHMS</v>
          </cell>
          <cell r="AN48">
            <v>0.9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 t="str">
            <v>BRAHMS</v>
          </cell>
          <cell r="DK48" t="str">
            <v>BRAHMS</v>
          </cell>
          <cell r="EW48" t="str">
            <v>BRAHMS</v>
          </cell>
        </row>
        <row r="49">
          <cell r="A49" t="str">
            <v>PHOBOS</v>
          </cell>
          <cell r="B49">
            <v>0.9</v>
          </cell>
          <cell r="C49">
            <v>11</v>
          </cell>
          <cell r="D49">
            <v>0.4</v>
          </cell>
          <cell r="E49">
            <v>95.04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14</v>
          </cell>
          <cell r="AH49">
            <v>0.6000000000000001</v>
          </cell>
          <cell r="AI49">
            <v>181.44</v>
          </cell>
          <cell r="AJ49">
            <v>0</v>
          </cell>
          <cell r="AK49">
            <v>0</v>
          </cell>
          <cell r="AL49">
            <v>0</v>
          </cell>
          <cell r="AM49" t="str">
            <v>PHOBOS</v>
          </cell>
          <cell r="AN49">
            <v>0.9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 t="str">
            <v>PHOBOS</v>
          </cell>
          <cell r="DK49" t="str">
            <v>PHOBOS</v>
          </cell>
          <cell r="EW49" t="str">
            <v>PHOBOS</v>
          </cell>
        </row>
        <row r="51">
          <cell r="A51" t="str">
            <v>Peak/Total</v>
          </cell>
          <cell r="D51">
            <v>48.9</v>
          </cell>
          <cell r="E51">
            <v>30394.440000000002</v>
          </cell>
          <cell r="G51">
            <v>48.5</v>
          </cell>
          <cell r="H51">
            <v>28495.8</v>
          </cell>
          <cell r="J51">
            <v>49.8</v>
          </cell>
          <cell r="K51">
            <v>29774.52</v>
          </cell>
          <cell r="M51">
            <v>37.5</v>
          </cell>
          <cell r="N51">
            <v>22933.800000000003</v>
          </cell>
          <cell r="P51">
            <v>35.5</v>
          </cell>
          <cell r="Q51">
            <v>15573.599999999999</v>
          </cell>
          <cell r="S51">
            <v>35.5</v>
          </cell>
          <cell r="T51">
            <v>18786.6</v>
          </cell>
          <cell r="V51">
            <v>31.5</v>
          </cell>
          <cell r="W51">
            <v>15552</v>
          </cell>
          <cell r="Y51">
            <v>46.8</v>
          </cell>
          <cell r="Z51">
            <v>25698.6</v>
          </cell>
          <cell r="AB51">
            <v>61.8</v>
          </cell>
          <cell r="AC51">
            <v>35390.159999999996</v>
          </cell>
          <cell r="AE51">
            <v>61.8</v>
          </cell>
          <cell r="AF51">
            <v>36569.832</v>
          </cell>
          <cell r="AH51">
            <v>46.7</v>
          </cell>
          <cell r="AI51">
            <v>23299.079999999998</v>
          </cell>
          <cell r="AK51">
            <v>29.5</v>
          </cell>
          <cell r="AL51">
            <v>17514</v>
          </cell>
          <cell r="AM51" t="str">
            <v>Peak/Total</v>
          </cell>
          <cell r="AP51">
            <v>44.3</v>
          </cell>
          <cell r="AQ51">
            <v>27368.04</v>
          </cell>
          <cell r="AS51">
            <v>66.8</v>
          </cell>
          <cell r="AT51">
            <v>37263.95999999999</v>
          </cell>
          <cell r="AV51">
            <v>66.8</v>
          </cell>
          <cell r="AW51">
            <v>38441.832</v>
          </cell>
          <cell r="AY51">
            <v>66.8</v>
          </cell>
          <cell r="AZ51">
            <v>39359.832</v>
          </cell>
          <cell r="BB51">
            <v>66.8</v>
          </cell>
          <cell r="BC51">
            <v>35550.81599999999</v>
          </cell>
          <cell r="BE51">
            <v>73.8</v>
          </cell>
          <cell r="BF51">
            <v>43005.43200000001</v>
          </cell>
          <cell r="BH51">
            <v>73.8</v>
          </cell>
          <cell r="BI51">
            <v>41618.159999999996</v>
          </cell>
          <cell r="BK51">
            <v>73.8</v>
          </cell>
          <cell r="BL51">
            <v>43005.43200000001</v>
          </cell>
          <cell r="BN51">
            <v>34.5</v>
          </cell>
          <cell r="BO51">
            <v>20214</v>
          </cell>
          <cell r="BQ51">
            <v>34.5</v>
          </cell>
          <cell r="BR51">
            <v>20887.8</v>
          </cell>
          <cell r="BT51">
            <v>34.5</v>
          </cell>
          <cell r="BU51">
            <v>20887.8</v>
          </cell>
          <cell r="BW51">
            <v>34.5</v>
          </cell>
          <cell r="BX51">
            <v>20214</v>
          </cell>
          <cell r="BY51" t="str">
            <v>Peak/Total</v>
          </cell>
          <cell r="CB51">
            <v>68.8</v>
          </cell>
          <cell r="CC51">
            <v>40550.23200000001</v>
          </cell>
          <cell r="CE51">
            <v>68.8</v>
          </cell>
          <cell r="CF51">
            <v>38070.35999999999</v>
          </cell>
          <cell r="CH51">
            <v>68.8</v>
          </cell>
          <cell r="CI51">
            <v>39248.232</v>
          </cell>
          <cell r="CK51">
            <v>68.8</v>
          </cell>
          <cell r="CL51">
            <v>40550.23200000001</v>
          </cell>
          <cell r="CN51">
            <v>68.8</v>
          </cell>
          <cell r="CO51">
            <v>36626.016</v>
          </cell>
          <cell r="CQ51">
            <v>75.8</v>
          </cell>
          <cell r="CR51">
            <v>44195.832</v>
          </cell>
          <cell r="CT51">
            <v>75.8</v>
          </cell>
          <cell r="CU51">
            <v>42770.159999999996</v>
          </cell>
          <cell r="CW51">
            <v>75.8</v>
          </cell>
          <cell r="CX51">
            <v>44195.832</v>
          </cell>
          <cell r="CZ51">
            <v>36.5</v>
          </cell>
          <cell r="DA51">
            <v>21366</v>
          </cell>
          <cell r="DC51">
            <v>36.5</v>
          </cell>
          <cell r="DD51">
            <v>22078.2</v>
          </cell>
          <cell r="DF51">
            <v>36.5</v>
          </cell>
          <cell r="DG51">
            <v>22078.2</v>
          </cell>
          <cell r="DI51">
            <v>36.5</v>
          </cell>
          <cell r="DJ51">
            <v>21366</v>
          </cell>
          <cell r="DK51" t="str">
            <v>Peak/Total</v>
          </cell>
          <cell r="DN51">
            <v>68.8</v>
          </cell>
          <cell r="DO51">
            <v>40550.23200000001</v>
          </cell>
          <cell r="DQ51">
            <v>68.8</v>
          </cell>
          <cell r="DR51">
            <v>38070.35999999999</v>
          </cell>
          <cell r="DT51">
            <v>73.3</v>
          </cell>
          <cell r="DU51">
            <v>41926.632</v>
          </cell>
          <cell r="DW51">
            <v>73.3</v>
          </cell>
          <cell r="DX51">
            <v>43228.632000000005</v>
          </cell>
          <cell r="DZ51">
            <v>73.3</v>
          </cell>
          <cell r="EA51">
            <v>39045.216</v>
          </cell>
          <cell r="EC51">
            <v>80.3</v>
          </cell>
          <cell r="ED51">
            <v>46874.231999999996</v>
          </cell>
          <cell r="EF51">
            <v>80.3</v>
          </cell>
          <cell r="EG51">
            <v>45362.159999999996</v>
          </cell>
          <cell r="EI51">
            <v>80.3</v>
          </cell>
          <cell r="EJ51">
            <v>46874.231999999996</v>
          </cell>
          <cell r="EL51">
            <v>37.5</v>
          </cell>
          <cell r="EM51">
            <v>21942</v>
          </cell>
          <cell r="EO51">
            <v>37.5</v>
          </cell>
          <cell r="EP51">
            <v>22673.4</v>
          </cell>
          <cell r="ER51">
            <v>37.5</v>
          </cell>
          <cell r="ES51">
            <v>22673.4</v>
          </cell>
          <cell r="EU51">
            <v>37.5</v>
          </cell>
          <cell r="EV51">
            <v>21942</v>
          </cell>
          <cell r="EW51" t="str">
            <v>Peak/Total</v>
          </cell>
          <cell r="EZ51">
            <v>73.3</v>
          </cell>
          <cell r="FA51">
            <v>43228.632000000005</v>
          </cell>
          <cell r="FC51">
            <v>73.3</v>
          </cell>
          <cell r="FD51">
            <v>40662.35999999999</v>
          </cell>
          <cell r="FF51">
            <v>73.3</v>
          </cell>
          <cell r="FG51">
            <v>41926.632</v>
          </cell>
          <cell r="FI51">
            <v>73.3</v>
          </cell>
          <cell r="FJ51">
            <v>43228.632000000005</v>
          </cell>
          <cell r="FL51">
            <v>73.3</v>
          </cell>
          <cell r="FM51">
            <v>39045.216</v>
          </cell>
          <cell r="FO51">
            <v>80.3</v>
          </cell>
          <cell r="FP51">
            <v>46874.231999999996</v>
          </cell>
          <cell r="FR51">
            <v>80.3</v>
          </cell>
          <cell r="FS51">
            <v>45362.159999999996</v>
          </cell>
          <cell r="FU51">
            <v>80.3</v>
          </cell>
          <cell r="FV51">
            <v>46874.231999999996</v>
          </cell>
          <cell r="FX51">
            <v>37.5</v>
          </cell>
          <cell r="FY51">
            <v>21942</v>
          </cell>
          <cell r="GA51">
            <v>37.5</v>
          </cell>
          <cell r="GB51">
            <v>22673.4</v>
          </cell>
          <cell r="GD51">
            <v>37.5</v>
          </cell>
          <cell r="GE51">
            <v>22673.4</v>
          </cell>
          <cell r="GG51">
            <v>37.5</v>
          </cell>
          <cell r="GH51">
            <v>21942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Y195"/>
  <sheetViews>
    <sheetView tabSelected="1" workbookViewId="0" topLeftCell="A76">
      <selection activeCell="J115" sqref="J115"/>
    </sheetView>
  </sheetViews>
  <sheetFormatPr defaultColWidth="9.140625" defaultRowHeight="12.75"/>
  <cols>
    <col min="2" max="2" width="33.00390625" style="0" customWidth="1"/>
    <col min="3" max="3" width="1.8515625" style="0" customWidth="1"/>
    <col min="4" max="4" width="14.7109375" style="0" customWidth="1"/>
    <col min="5" max="5" width="13.00390625" style="0" customWidth="1"/>
    <col min="6" max="6" width="12.28125" style="0" customWidth="1"/>
    <col min="7" max="7" width="12.57421875" style="0" customWidth="1"/>
    <col min="8" max="8" width="12.140625" style="0" customWidth="1"/>
    <col min="9" max="9" width="12.8515625" style="0" customWidth="1"/>
    <col min="10" max="10" width="13.140625" style="0" customWidth="1"/>
    <col min="11" max="19" width="14.7109375" style="0" customWidth="1"/>
    <col min="20" max="20" width="14.421875" style="0" customWidth="1"/>
    <col min="21" max="21" width="12.28125" style="0" customWidth="1"/>
    <col min="22" max="22" width="12.140625" style="0" customWidth="1"/>
  </cols>
  <sheetData>
    <row r="2" ht="13.5" thickBot="1"/>
    <row r="3" spans="2:7" ht="12.75">
      <c r="B3" s="211" t="s">
        <v>375</v>
      </c>
      <c r="C3" s="212"/>
      <c r="D3" s="213"/>
      <c r="E3" s="213"/>
      <c r="F3" s="213"/>
      <c r="G3" s="214"/>
    </row>
    <row r="4" spans="2:7" ht="12.75">
      <c r="B4" s="72" t="s">
        <v>244</v>
      </c>
      <c r="C4" s="4"/>
      <c r="D4" s="37"/>
      <c r="E4" s="37"/>
      <c r="F4" s="37"/>
      <c r="G4" s="73"/>
    </row>
    <row r="5" spans="2:8" ht="12.75">
      <c r="B5" s="130" t="s">
        <v>104</v>
      </c>
      <c r="C5" s="188"/>
      <c r="D5" s="37"/>
      <c r="E5" s="37"/>
      <c r="F5" s="37"/>
      <c r="G5" s="73"/>
      <c r="H5" s="31"/>
    </row>
    <row r="6" spans="2:7" ht="13.5" thickBot="1">
      <c r="B6" s="74" t="s">
        <v>245</v>
      </c>
      <c r="C6" s="189"/>
      <c r="D6" s="75">
        <v>85</v>
      </c>
      <c r="E6" s="76" t="s">
        <v>246</v>
      </c>
      <c r="F6" s="76" t="s">
        <v>293</v>
      </c>
      <c r="G6" s="77"/>
    </row>
    <row r="7" spans="2:20" ht="12.75">
      <c r="B7" s="151">
        <v>38443</v>
      </c>
      <c r="C7" s="190"/>
      <c r="D7" s="113"/>
      <c r="E7" s="128"/>
      <c r="F7" s="113"/>
      <c r="G7" s="114"/>
      <c r="T7" s="5"/>
    </row>
    <row r="8" spans="2:7" ht="12.75">
      <c r="B8" s="72" t="s">
        <v>294</v>
      </c>
      <c r="C8" s="4"/>
      <c r="D8" s="79" t="s">
        <v>247</v>
      </c>
      <c r="E8" s="37"/>
      <c r="F8" s="37"/>
      <c r="G8" s="73"/>
    </row>
    <row r="9" spans="2:20" ht="12.75">
      <c r="B9" s="72" t="s">
        <v>248</v>
      </c>
      <c r="C9" s="4"/>
      <c r="D9" s="56">
        <v>12</v>
      </c>
      <c r="E9" s="80">
        <f>'K0PI0 manpower - NSF'!J17</f>
        <v>1378283.1075</v>
      </c>
      <c r="F9" s="37" t="s">
        <v>295</v>
      </c>
      <c r="G9" s="81"/>
      <c r="T9" s="34"/>
    </row>
    <row r="10" spans="2:20" ht="12.75">
      <c r="B10" s="72" t="s">
        <v>353</v>
      </c>
      <c r="C10" s="4"/>
      <c r="D10" s="56">
        <v>4</v>
      </c>
      <c r="E10" s="80">
        <f>('MECO manpower - NSF'!J25)*4/6</f>
        <v>431566.2</v>
      </c>
      <c r="F10" s="37" t="s">
        <v>295</v>
      </c>
      <c r="G10" s="73"/>
      <c r="H10" s="5" t="s">
        <v>352</v>
      </c>
      <c r="T10" s="34"/>
    </row>
    <row r="11" spans="2:20" ht="12.75">
      <c r="B11" s="72" t="s">
        <v>349</v>
      </c>
      <c r="C11" s="4"/>
      <c r="D11" s="56">
        <v>4</v>
      </c>
      <c r="E11" s="80">
        <v>0</v>
      </c>
      <c r="F11" s="37" t="s">
        <v>295</v>
      </c>
      <c r="G11" s="73"/>
      <c r="T11" s="34"/>
    </row>
    <row r="12" spans="2:20" ht="12.75">
      <c r="B12" s="72" t="s">
        <v>326</v>
      </c>
      <c r="C12" s="4"/>
      <c r="D12" s="56"/>
      <c r="E12" s="89">
        <f>E9+E10+E11</f>
        <v>1809849.3074999999</v>
      </c>
      <c r="F12" s="37"/>
      <c r="G12" s="73"/>
      <c r="T12" s="34"/>
    </row>
    <row r="13" spans="2:20" ht="12.75">
      <c r="B13" s="87" t="s">
        <v>327</v>
      </c>
      <c r="C13" s="184"/>
      <c r="D13" s="56"/>
      <c r="E13" s="80">
        <f>'K0PI0 manpower - NSF'!K17+'K0PI0 manpower - NSF'!L17+('MECO manpower - NSF'!K25+'MECO manpower - NSF'!L25)</f>
        <v>803440.5383940125</v>
      </c>
      <c r="F13" s="37"/>
      <c r="G13" s="73"/>
      <c r="T13" s="34"/>
    </row>
    <row r="14" spans="2:20" ht="12.75">
      <c r="B14" s="87"/>
      <c r="C14" s="184"/>
      <c r="D14" s="56"/>
      <c r="E14" s="80"/>
      <c r="F14" s="37"/>
      <c r="G14" s="73"/>
      <c r="T14" s="34"/>
    </row>
    <row r="15" spans="2:20" ht="13.5" thickBot="1">
      <c r="B15" s="87" t="s">
        <v>331</v>
      </c>
      <c r="C15" s="184"/>
      <c r="D15" s="56"/>
      <c r="E15" s="80">
        <f>0*(SUM(E12:E13))</f>
        <v>0</v>
      </c>
      <c r="F15" s="37"/>
      <c r="G15" s="73"/>
      <c r="T15" s="34"/>
    </row>
    <row r="16" spans="2:20" ht="13.5" thickBot="1">
      <c r="B16" s="16" t="s">
        <v>296</v>
      </c>
      <c r="C16" s="17"/>
      <c r="D16" s="82">
        <f>SUM(D9:D10)</f>
        <v>16</v>
      </c>
      <c r="E16" s="83">
        <f>SUM(E12:E15)</f>
        <v>2613289.8458940126</v>
      </c>
      <c r="F16" s="38"/>
      <c r="G16" s="73"/>
      <c r="T16" s="35"/>
    </row>
    <row r="17" spans="2:20" ht="12.75">
      <c r="B17" s="72"/>
      <c r="C17" s="4"/>
      <c r="D17" s="37"/>
      <c r="E17" s="37"/>
      <c r="F17" s="37"/>
      <c r="G17" s="73"/>
      <c r="T17" s="5"/>
    </row>
    <row r="18" spans="2:7" ht="12.75">
      <c r="B18" s="72" t="s">
        <v>297</v>
      </c>
      <c r="C18" s="4"/>
      <c r="D18" s="4"/>
      <c r="E18" s="37"/>
      <c r="F18" s="37"/>
      <c r="G18" s="73"/>
    </row>
    <row r="19" spans="2:7" ht="12.75">
      <c r="B19" s="72"/>
      <c r="C19" s="4"/>
      <c r="D19" s="4"/>
      <c r="E19" s="37"/>
      <c r="F19" s="37"/>
      <c r="G19" s="73"/>
    </row>
    <row r="20" spans="2:22" ht="12.75">
      <c r="B20" s="72" t="s">
        <v>298</v>
      </c>
      <c r="C20" s="4"/>
      <c r="D20" s="4"/>
      <c r="E20" s="4" t="s">
        <v>249</v>
      </c>
      <c r="F20" s="4" t="s">
        <v>250</v>
      </c>
      <c r="G20" s="81" t="s">
        <v>251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ht="12.75">
      <c r="B21" s="78" t="s">
        <v>196</v>
      </c>
      <c r="C21" s="37"/>
      <c r="D21" s="84"/>
      <c r="E21" s="80">
        <f>'K0PI0 alacart Operations'!B17</f>
        <v>21430.18</v>
      </c>
      <c r="F21" s="85">
        <f>E21/2</f>
        <v>10715.09</v>
      </c>
      <c r="G21" s="86">
        <f>E21/2</f>
        <v>10715.09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9"/>
      <c r="T21" s="34"/>
      <c r="U21" s="34"/>
      <c r="V21" s="34"/>
    </row>
    <row r="22" spans="2:22" ht="12.75">
      <c r="B22" s="78" t="s">
        <v>203</v>
      </c>
      <c r="C22" s="37"/>
      <c r="D22" s="84"/>
      <c r="E22" s="80">
        <f>'K0PI0 alacart Operations'!B18</f>
        <v>54636.35</v>
      </c>
      <c r="F22" s="85">
        <f>E22/2</f>
        <v>27318.175</v>
      </c>
      <c r="G22" s="86">
        <f>E22/2</f>
        <v>27318.175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9"/>
      <c r="T22" s="34"/>
      <c r="U22" s="34"/>
      <c r="V22" s="34"/>
    </row>
    <row r="23" spans="2:22" ht="12.75">
      <c r="B23" s="78" t="s">
        <v>252</v>
      </c>
      <c r="C23" s="37"/>
      <c r="D23" s="84"/>
      <c r="E23" s="80">
        <f>'K0PI0 alacart Operations'!B19</f>
        <v>19669.086000000003</v>
      </c>
      <c r="F23" s="85">
        <f>E23/2</f>
        <v>9834.543000000001</v>
      </c>
      <c r="G23" s="86">
        <f>E23/2</f>
        <v>9834.543000000001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9"/>
      <c r="T23" s="34"/>
      <c r="U23" s="34"/>
      <c r="V23" s="34"/>
    </row>
    <row r="24" spans="2:22" ht="12.75">
      <c r="B24" s="87" t="s">
        <v>255</v>
      </c>
      <c r="C24" s="184"/>
      <c r="D24" s="84"/>
      <c r="E24" s="88">
        <f>SUM('MECO manpower - NSF'!J31:J34)</f>
        <v>7837.452000000001</v>
      </c>
      <c r="F24" s="89">
        <v>0</v>
      </c>
      <c r="G24" s="90"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9"/>
      <c r="T24" s="34"/>
      <c r="U24" s="34"/>
      <c r="V24" s="34"/>
    </row>
    <row r="25" spans="2:22" ht="12.75">
      <c r="B25" s="72" t="s">
        <v>253</v>
      </c>
      <c r="C25" s="4"/>
      <c r="D25" s="84"/>
      <c r="E25" s="89">
        <f>SUM(E21:E24)</f>
        <v>103573.06800000001</v>
      </c>
      <c r="F25" s="89">
        <f>SUM(F21:F24)</f>
        <v>47867.808000000005</v>
      </c>
      <c r="G25" s="90">
        <f>SUM(G21:G24)</f>
        <v>47867.808000000005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9"/>
      <c r="T25" s="35"/>
      <c r="U25" s="35"/>
      <c r="V25" s="35"/>
    </row>
    <row r="26" spans="2:22" ht="12.75">
      <c r="B26" s="87" t="s">
        <v>328</v>
      </c>
      <c r="C26" s="184"/>
      <c r="D26" s="84"/>
      <c r="E26" s="85">
        <f>E22*'Labor and Indirect Rates (NSF)'!$J$69+E21*'Labor and Indirect Rates (NSF)'!$J$55+E23*'Labor and Indirect Rates (NSF)'!$J$82+'K0PI0 manpower - NSF'!J35+'K0PI0 manpower - NSF'!K35+'K0PI0 manpower - NSF'!L35</f>
        <v>30272.47927780428</v>
      </c>
      <c r="F26" s="85">
        <f>F22*'Labor and Indirect Rates (NSF)'!$J$69+F21*'Labor and Indirect Rates (NSF)'!$J$55+F23*'Labor and Indirect Rates (NSF)'!$J$82</f>
        <v>9663.2023455</v>
      </c>
      <c r="G26" s="86">
        <f>G22*'Labor and Indirect Rates (NSF)'!$J$69+G21*'Labor and Indirect Rates (NSF)'!$J$55+G23*'Labor and Indirect Rates (NSF)'!$J$82</f>
        <v>9663.2023455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9"/>
      <c r="T26" s="35"/>
      <c r="U26" s="35"/>
      <c r="V26" s="35"/>
    </row>
    <row r="27" spans="2:22" ht="12.75">
      <c r="B27" s="72" t="s">
        <v>97</v>
      </c>
      <c r="C27" s="4"/>
      <c r="D27" s="84"/>
      <c r="E27" s="89">
        <f>E25+E26</f>
        <v>133845.5472778043</v>
      </c>
      <c r="F27" s="89">
        <f>F25+F26</f>
        <v>57531.010345500006</v>
      </c>
      <c r="G27" s="90">
        <f>G25+G26</f>
        <v>57531.010345500006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9"/>
      <c r="T27" s="35"/>
      <c r="U27" s="35"/>
      <c r="V27" s="35"/>
    </row>
    <row r="28" spans="2:22" ht="12.75">
      <c r="B28" s="72"/>
      <c r="C28" s="4"/>
      <c r="D28" s="84"/>
      <c r="E28" s="89"/>
      <c r="F28" s="89"/>
      <c r="G28" s="90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9"/>
      <c r="T28" s="35"/>
      <c r="U28" s="35"/>
      <c r="V28" s="35"/>
    </row>
    <row r="29" spans="2:22" ht="12.75">
      <c r="B29" s="87" t="s">
        <v>254</v>
      </c>
      <c r="C29" s="184"/>
      <c r="D29" s="84"/>
      <c r="E29" s="91">
        <v>1</v>
      </c>
      <c r="F29" s="91">
        <v>0.8</v>
      </c>
      <c r="G29" s="92">
        <v>0.8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21"/>
      <c r="T29" s="53"/>
      <c r="U29" s="53"/>
      <c r="V29" s="53"/>
    </row>
    <row r="30" spans="2:22" ht="12.75">
      <c r="B30" s="87"/>
      <c r="C30" s="184"/>
      <c r="D30" s="84"/>
      <c r="E30" s="91"/>
      <c r="F30" s="91"/>
      <c r="G30" s="9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21"/>
      <c r="T30" s="53"/>
      <c r="U30" s="53"/>
      <c r="V30" s="53"/>
    </row>
    <row r="31" spans="2:22" ht="12.75">
      <c r="B31" s="93" t="s">
        <v>299</v>
      </c>
      <c r="C31" s="191"/>
      <c r="D31" s="94"/>
      <c r="E31" s="95">
        <f>E29*E27</f>
        <v>133845.5472778043</v>
      </c>
      <c r="F31" s="95">
        <f>F29*F27</f>
        <v>46024.80827640001</v>
      </c>
      <c r="G31" s="96">
        <f>G29*G27</f>
        <v>46024.80827640001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9"/>
      <c r="T31" s="35"/>
      <c r="U31" s="35"/>
      <c r="V31" s="35"/>
    </row>
    <row r="32" spans="2:22" ht="12.75">
      <c r="B32" s="78"/>
      <c r="C32" s="37"/>
      <c r="D32" s="84"/>
      <c r="E32" s="80"/>
      <c r="F32" s="80"/>
      <c r="G32" s="97"/>
      <c r="S32" s="9"/>
      <c r="T32" s="34"/>
      <c r="U32" s="34"/>
      <c r="V32" s="34"/>
    </row>
    <row r="33" spans="2:22" ht="12.75">
      <c r="B33" s="72" t="s">
        <v>256</v>
      </c>
      <c r="C33" s="4"/>
      <c r="D33" s="98"/>
      <c r="E33" s="80"/>
      <c r="F33" s="80"/>
      <c r="G33" s="97"/>
      <c r="S33" s="9"/>
      <c r="T33" s="34"/>
      <c r="U33" s="34"/>
      <c r="V33" s="34"/>
    </row>
    <row r="34" spans="2:22" ht="12.75">
      <c r="B34" s="78" t="s">
        <v>196</v>
      </c>
      <c r="C34" s="37"/>
      <c r="D34" s="84"/>
      <c r="E34" s="80">
        <f>'K0PI0 alacart Operations'!$B$30</f>
        <v>5092.32</v>
      </c>
      <c r="F34" s="80">
        <f>'K0PI0 alacart Operations'!$B$30</f>
        <v>5092.32</v>
      </c>
      <c r="G34" s="86">
        <f>F34/2</f>
        <v>2546.16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9"/>
      <c r="T34" s="34"/>
      <c r="U34" s="34"/>
      <c r="V34" s="34"/>
    </row>
    <row r="35" spans="2:22" ht="12.75">
      <c r="B35" s="78" t="s">
        <v>203</v>
      </c>
      <c r="C35" s="37"/>
      <c r="D35" s="84"/>
      <c r="E35" s="80">
        <f>'K0PI0 alacart Operations'!$B$31</f>
        <v>8699.380000000001</v>
      </c>
      <c r="F35" s="80">
        <f>'K0PI0 alacart Operations'!$B$31</f>
        <v>8699.380000000001</v>
      </c>
      <c r="G35" s="86">
        <f>F35/2</f>
        <v>4349.6900000000005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9"/>
      <c r="T35" s="34"/>
      <c r="U35" s="34"/>
      <c r="V35" s="34"/>
    </row>
    <row r="36" spans="2:22" ht="12.75">
      <c r="B36" s="78" t="s">
        <v>252</v>
      </c>
      <c r="C36" s="37"/>
      <c r="D36" s="84"/>
      <c r="E36" s="80">
        <f>'K0PI0 alacart Operations'!$B$32</f>
        <v>41905.55</v>
      </c>
      <c r="F36" s="80">
        <f>'K0PI0 alacart Operations'!$B$32</f>
        <v>41905.55</v>
      </c>
      <c r="G36" s="86">
        <f>F36/2</f>
        <v>20952.775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9"/>
      <c r="T36" s="34"/>
      <c r="U36" s="34"/>
      <c r="V36" s="34"/>
    </row>
    <row r="37" spans="2:22" ht="12.75">
      <c r="B37" s="78"/>
      <c r="C37" s="37"/>
      <c r="D37" s="84"/>
      <c r="E37" s="80"/>
      <c r="F37" s="80"/>
      <c r="G37" s="86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9"/>
      <c r="T37" s="34"/>
      <c r="U37" s="34"/>
      <c r="V37" s="34"/>
    </row>
    <row r="38" spans="2:22" ht="12.75">
      <c r="B38" s="72" t="s">
        <v>257</v>
      </c>
      <c r="C38" s="4"/>
      <c r="D38" s="4"/>
      <c r="E38" s="89">
        <f>SUM(E34:E36)</f>
        <v>55697.25</v>
      </c>
      <c r="F38" s="89">
        <f>SUM(F34:F36)</f>
        <v>55697.25</v>
      </c>
      <c r="G38" s="99">
        <f>SUM(G34:G36)</f>
        <v>27848.625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9"/>
      <c r="T38" s="34"/>
      <c r="U38" s="34"/>
      <c r="V38" s="34"/>
    </row>
    <row r="39" spans="2:22" ht="12.75">
      <c r="B39" s="87" t="s">
        <v>328</v>
      </c>
      <c r="C39" s="184"/>
      <c r="D39" s="4"/>
      <c r="E39" s="85">
        <f>E35*'Labor and Indirect Rates (NSF)'!$J$69+E34*'Labor and Indirect Rates (NSF)'!$J$55+E36*'Labor and Indirect Rates (NSF)'!$J$82</f>
        <v>8600.530642500004</v>
      </c>
      <c r="F39" s="85">
        <f>F35*'Labor and Indirect Rates (NSF)'!$J$69+F34*'Labor and Indirect Rates (NSF)'!$J$55+F36*'Labor and Indirect Rates (NSF)'!$J$82</f>
        <v>8600.530642500004</v>
      </c>
      <c r="G39" s="86">
        <f>G35*'Labor and Indirect Rates (NSF)'!$J$69+G34*'Labor and Indirect Rates (NSF)'!$J$55+G36*'Labor and Indirect Rates (NSF)'!$J$82</f>
        <v>4300.265321250002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9"/>
      <c r="T39" s="34"/>
      <c r="U39" s="34"/>
      <c r="V39" s="34"/>
    </row>
    <row r="40" spans="2:19" ht="12.75">
      <c r="B40" s="72" t="s">
        <v>97</v>
      </c>
      <c r="C40" s="4"/>
      <c r="D40" s="4"/>
      <c r="E40" s="89">
        <f>SUM(E38:E39)</f>
        <v>64297.7806425</v>
      </c>
      <c r="F40" s="89">
        <f>SUM(F38:F39)</f>
        <v>64297.7806425</v>
      </c>
      <c r="G40" s="90">
        <f>SUM(G38:G39)</f>
        <v>32148.89032125</v>
      </c>
      <c r="S40" s="9"/>
    </row>
    <row r="41" spans="2:22" ht="12.75">
      <c r="B41" s="72"/>
      <c r="C41" s="4"/>
      <c r="D41" s="4"/>
      <c r="E41" s="89"/>
      <c r="F41" s="89"/>
      <c r="G41" s="99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35"/>
      <c r="U41" s="35"/>
      <c r="V41" s="35"/>
    </row>
    <row r="42" spans="2:23" ht="12.75">
      <c r="B42" s="87" t="s">
        <v>258</v>
      </c>
      <c r="C42" s="184"/>
      <c r="D42" s="4"/>
      <c r="E42" s="91">
        <v>1</v>
      </c>
      <c r="F42" s="91">
        <v>1</v>
      </c>
      <c r="G42" s="100">
        <v>0.8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7"/>
      <c r="T42" s="53"/>
      <c r="U42" s="53"/>
      <c r="V42" s="53"/>
      <c r="W42" s="7"/>
    </row>
    <row r="43" spans="2:22" ht="12.75">
      <c r="B43" s="93" t="s">
        <v>300</v>
      </c>
      <c r="C43" s="191"/>
      <c r="D43" s="101"/>
      <c r="E43" s="95">
        <f>E42*E40</f>
        <v>64297.7806425</v>
      </c>
      <c r="F43" s="95">
        <f>F42*F40</f>
        <v>64297.7806425</v>
      </c>
      <c r="G43" s="96">
        <f>G42*G40</f>
        <v>25719.112257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T43" s="35"/>
      <c r="U43" s="35"/>
      <c r="V43" s="35"/>
    </row>
    <row r="44" spans="2:22" ht="12.75">
      <c r="B44" s="72"/>
      <c r="C44" s="4"/>
      <c r="D44" s="37"/>
      <c r="E44" s="89"/>
      <c r="F44" s="89"/>
      <c r="G44" s="90"/>
      <c r="T44" s="35"/>
      <c r="U44" s="35"/>
      <c r="V44" s="35"/>
    </row>
    <row r="45" spans="2:22" ht="12.75">
      <c r="B45" s="102" t="s">
        <v>357</v>
      </c>
      <c r="C45" s="192"/>
      <c r="D45" s="94"/>
      <c r="E45" s="95">
        <f>13895.5/2</f>
        <v>6947.75</v>
      </c>
      <c r="F45" s="95">
        <f>13895.5/2</f>
        <v>6947.75</v>
      </c>
      <c r="G45" s="96">
        <f>13895.5/2</f>
        <v>6947.75</v>
      </c>
      <c r="H45" s="5" t="s">
        <v>356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9"/>
      <c r="T45" s="35"/>
      <c r="U45" s="35"/>
      <c r="V45" s="35"/>
    </row>
    <row r="46" spans="2:22" ht="12.75">
      <c r="B46" s="122" t="s">
        <v>358</v>
      </c>
      <c r="C46" s="173"/>
      <c r="D46" s="84"/>
      <c r="E46" s="89">
        <f>6000/2</f>
        <v>3000</v>
      </c>
      <c r="F46" s="89">
        <f>6000/2</f>
        <v>3000</v>
      </c>
      <c r="G46" s="90">
        <f>6000/2</f>
        <v>3000</v>
      </c>
      <c r="H46" s="5" t="s">
        <v>356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9"/>
      <c r="T46" s="35"/>
      <c r="U46" s="35"/>
      <c r="V46" s="35"/>
    </row>
    <row r="47" spans="2:22" ht="12.75">
      <c r="B47" s="122"/>
      <c r="C47" s="173"/>
      <c r="D47" s="84"/>
      <c r="E47" s="89"/>
      <c r="F47" s="89"/>
      <c r="G47" s="90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9"/>
      <c r="T47" s="35"/>
      <c r="U47" s="35"/>
      <c r="V47" s="35"/>
    </row>
    <row r="48" spans="2:22" ht="12.75">
      <c r="B48" s="87" t="s">
        <v>328</v>
      </c>
      <c r="C48" s="184"/>
      <c r="D48" s="84"/>
      <c r="E48" s="88">
        <f>(E45+E46)*('Labor and Indirect Rates (NSF)'!$H$69+'Labor and Indirect Rates (NSF)'!$G$69)</f>
        <v>2559.0586875</v>
      </c>
      <c r="F48" s="88">
        <f>(F45+F46)*('Labor and Indirect Rates (NSF)'!$H$69+'Labor and Indirect Rates (NSF)'!$G$69)</f>
        <v>2559.0586875</v>
      </c>
      <c r="G48" s="172">
        <f>(G45+G46)*('Labor and Indirect Rates (NSF)'!$H$69+'Labor and Indirect Rates (NSF)'!$G$69)</f>
        <v>2559.0586875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9"/>
      <c r="T48" s="35"/>
      <c r="U48" s="35"/>
      <c r="V48" s="35"/>
    </row>
    <row r="49" spans="2:22" ht="12.75">
      <c r="B49" s="72" t="s">
        <v>97</v>
      </c>
      <c r="C49" s="4"/>
      <c r="D49" s="84"/>
      <c r="E49" s="89">
        <f>SUM(E45:E48)</f>
        <v>12506.8086875</v>
      </c>
      <c r="F49" s="89">
        <f>SUM(F45:F48)</f>
        <v>12506.8086875</v>
      </c>
      <c r="G49" s="90">
        <f>SUM(G45:G48)</f>
        <v>12506.8086875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9"/>
      <c r="T49" s="35"/>
      <c r="U49" s="35"/>
      <c r="V49" s="35"/>
    </row>
    <row r="50" spans="2:22" ht="12.75">
      <c r="B50" s="122"/>
      <c r="C50" s="173"/>
      <c r="D50" s="84"/>
      <c r="E50" s="89"/>
      <c r="F50" s="89"/>
      <c r="G50" s="90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9"/>
      <c r="T50" s="35"/>
      <c r="U50" s="35"/>
      <c r="V50" s="35"/>
    </row>
    <row r="51" spans="2:22" ht="13.5" thickBot="1">
      <c r="B51" s="123" t="s">
        <v>102</v>
      </c>
      <c r="C51" s="193"/>
      <c r="D51" s="131"/>
      <c r="E51" s="132">
        <f>(E49+E43+E31)*0</f>
        <v>0</v>
      </c>
      <c r="F51" s="132">
        <f>(F49+F43+F31)*0</f>
        <v>0</v>
      </c>
      <c r="G51" s="133">
        <f>(G49+G43+G31)*0</f>
        <v>0</v>
      </c>
      <c r="S51" s="9"/>
      <c r="T51" s="35"/>
      <c r="U51" s="35"/>
      <c r="V51" s="35"/>
    </row>
    <row r="52" spans="2:22" ht="13.5" thickBot="1">
      <c r="B52" s="103" t="s">
        <v>301</v>
      </c>
      <c r="C52" s="194"/>
      <c r="D52" s="104"/>
      <c r="E52" s="105">
        <f>E49+E43+E31+E51</f>
        <v>210650.13660780428</v>
      </c>
      <c r="F52" s="105">
        <f>F49+F43+F31+F51</f>
        <v>122829.39760640002</v>
      </c>
      <c r="G52" s="106">
        <f>G49+G43+G31+G51</f>
        <v>84250.72922090002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9"/>
      <c r="T52" s="35"/>
      <c r="U52" s="35"/>
      <c r="V52" s="35"/>
    </row>
    <row r="53" spans="2:22" ht="12.75">
      <c r="B53" s="171"/>
      <c r="C53" s="195"/>
      <c r="D53" s="180"/>
      <c r="E53" s="139"/>
      <c r="F53" s="139"/>
      <c r="G53" s="18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9"/>
      <c r="T53" s="35"/>
      <c r="U53" s="35"/>
      <c r="V53" s="35"/>
    </row>
    <row r="54" spans="2:22" ht="12.75">
      <c r="B54" s="148" t="s">
        <v>359</v>
      </c>
      <c r="C54" s="196"/>
      <c r="D54" s="177"/>
      <c r="E54" s="137"/>
      <c r="F54" s="137"/>
      <c r="G54" s="99"/>
      <c r="H54" s="35" t="s">
        <v>354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9"/>
      <c r="T54" s="35"/>
      <c r="U54" s="35"/>
      <c r="V54" s="35"/>
    </row>
    <row r="55" spans="2:22" ht="12.75">
      <c r="B55" s="178" t="s">
        <v>339</v>
      </c>
      <c r="C55" s="197"/>
      <c r="D55" s="177"/>
      <c r="E55" s="179">
        <f>0.4*$D$6*168*0</f>
        <v>0</v>
      </c>
      <c r="F55" s="179">
        <f>0.4*$D$6*168*0</f>
        <v>0</v>
      </c>
      <c r="G55" s="170">
        <f>0.4*$D$6*168*0</f>
        <v>0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9"/>
      <c r="T55" s="35"/>
      <c r="U55" s="35"/>
      <c r="V55" s="35"/>
    </row>
    <row r="56" spans="2:22" ht="12.75">
      <c r="B56" s="178" t="s">
        <v>340</v>
      </c>
      <c r="C56" s="197"/>
      <c r="D56" s="177"/>
      <c r="E56" s="179">
        <f>200*0.07*168*0</f>
        <v>0</v>
      </c>
      <c r="F56" s="179">
        <f>200*0.07*168*0</f>
        <v>0</v>
      </c>
      <c r="G56" s="170">
        <f>200*0.07*168*0</f>
        <v>0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9"/>
      <c r="T56" s="35"/>
      <c r="U56" s="35"/>
      <c r="V56" s="35"/>
    </row>
    <row r="57" spans="2:22" ht="12.75">
      <c r="B57" s="178" t="s">
        <v>335</v>
      </c>
      <c r="C57" s="197"/>
      <c r="D57" s="160"/>
      <c r="E57" s="179">
        <f>(8000+10000+20000)/52*0</f>
        <v>0</v>
      </c>
      <c r="F57" s="179">
        <f>(8000+10000+20000)/52*0</f>
        <v>0</v>
      </c>
      <c r="G57" s="170">
        <f>(8000+10000+20000)/52*0</f>
        <v>0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9"/>
      <c r="T57" s="35"/>
      <c r="U57" s="35"/>
      <c r="V57" s="35"/>
    </row>
    <row r="58" spans="2:22" ht="12.75">
      <c r="B58" s="178"/>
      <c r="C58" s="197"/>
      <c r="D58" s="160"/>
      <c r="E58" s="179"/>
      <c r="F58" s="179"/>
      <c r="G58" s="170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9"/>
      <c r="T58" s="35"/>
      <c r="U58" s="35"/>
      <c r="V58" s="35"/>
    </row>
    <row r="59" spans="2:22" ht="12.75">
      <c r="B59" s="178" t="s">
        <v>336</v>
      </c>
      <c r="C59" s="197"/>
      <c r="D59" s="160"/>
      <c r="E59" s="88">
        <f>(E56+E57)*('Labor and Indirect Rates (NSF)'!$H$69+'Labor and Indirect Rates (NSF)'!$G$69)</f>
        <v>0</v>
      </c>
      <c r="F59" s="187">
        <f>(F56+F57)*('Labor and Indirect Rates (NSF)'!$H$69+'Labor and Indirect Rates (NSF)'!$G$69)</f>
        <v>0</v>
      </c>
      <c r="G59" s="172">
        <f>(G56+G57)*('Labor and Indirect Rates (NSF)'!$H$69+'Labor and Indirect Rates (NSF)'!$G$69)</f>
        <v>0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9"/>
      <c r="T59" s="35"/>
      <c r="U59" s="35"/>
      <c r="V59" s="35"/>
    </row>
    <row r="60" spans="2:22" ht="13.5" thickBot="1">
      <c r="B60" s="74" t="s">
        <v>97</v>
      </c>
      <c r="C60" s="189"/>
      <c r="D60" s="182"/>
      <c r="E60" s="167">
        <f>SUM(E55:E59)</f>
        <v>0</v>
      </c>
      <c r="F60" s="167">
        <f>SUM(F55:F59)</f>
        <v>0</v>
      </c>
      <c r="G60" s="168">
        <f>SUM(G55:G59)</f>
        <v>0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9"/>
      <c r="T60" s="35"/>
      <c r="U60" s="35"/>
      <c r="V60" s="35"/>
    </row>
    <row r="61" spans="2:22" ht="12.75">
      <c r="B61" s="125"/>
      <c r="C61" s="128"/>
      <c r="D61" s="183"/>
      <c r="E61" s="139"/>
      <c r="F61" s="139"/>
      <c r="G61" s="181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9"/>
      <c r="T61" s="35"/>
      <c r="U61" s="35"/>
      <c r="V61" s="35"/>
    </row>
    <row r="62" spans="2:22" ht="12.75">
      <c r="B62" s="148" t="s">
        <v>360</v>
      </c>
      <c r="C62" s="196"/>
      <c r="D62" s="177"/>
      <c r="E62" s="137"/>
      <c r="F62" s="137"/>
      <c r="G62" s="99"/>
      <c r="H62" s="35" t="s">
        <v>355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9"/>
      <c r="T62" s="35"/>
      <c r="U62" s="35"/>
      <c r="V62" s="35"/>
    </row>
    <row r="63" spans="2:22" ht="12.75">
      <c r="B63" s="178" t="s">
        <v>343</v>
      </c>
      <c r="C63" s="197"/>
      <c r="D63" s="177"/>
      <c r="E63" s="179"/>
      <c r="F63" s="179"/>
      <c r="G63" s="170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9"/>
      <c r="T63" s="35"/>
      <c r="U63" s="35"/>
      <c r="V63" s="35"/>
    </row>
    <row r="64" spans="2:22" ht="12.75">
      <c r="B64" s="178" t="s">
        <v>338</v>
      </c>
      <c r="C64" s="197"/>
      <c r="D64" s="177"/>
      <c r="E64" s="179">
        <f>(300-200)*0.07*168*0</f>
        <v>0</v>
      </c>
      <c r="F64" s="179">
        <f>(300-200)*0.07*168*0</f>
        <v>0</v>
      </c>
      <c r="G64" s="170">
        <f>(300-200)*0.07*168*0</f>
        <v>0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9"/>
      <c r="T64" s="35"/>
      <c r="U64" s="35"/>
      <c r="V64" s="35"/>
    </row>
    <row r="65" spans="2:22" ht="12.75">
      <c r="B65" s="178" t="s">
        <v>337</v>
      </c>
      <c r="C65" s="197"/>
      <c r="D65" s="160"/>
      <c r="E65" s="179">
        <v>0</v>
      </c>
      <c r="F65" s="179">
        <v>0</v>
      </c>
      <c r="G65" s="170">
        <v>0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9"/>
      <c r="T65" s="35"/>
      <c r="U65" s="35"/>
      <c r="V65" s="35"/>
    </row>
    <row r="66" spans="2:22" ht="12.75">
      <c r="B66" s="178"/>
      <c r="C66" s="197"/>
      <c r="D66" s="160"/>
      <c r="E66" s="179"/>
      <c r="F66" s="179"/>
      <c r="G66" s="170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9"/>
      <c r="T66" s="35"/>
      <c r="U66" s="35"/>
      <c r="V66" s="35"/>
    </row>
    <row r="67" spans="2:22" ht="12.75">
      <c r="B67" s="178" t="s">
        <v>336</v>
      </c>
      <c r="C67" s="197"/>
      <c r="D67" s="160"/>
      <c r="E67" s="88">
        <f>(E64+E65)*('Labor and Indirect Rates (NSF)'!$H$69+'Labor and Indirect Rates (NSF)'!$G$69)</f>
        <v>0</v>
      </c>
      <c r="F67" s="88">
        <f>(F64+F65)*('Labor and Indirect Rates (NSF)'!$H$69+'Labor and Indirect Rates (NSF)'!$G$69)</f>
        <v>0</v>
      </c>
      <c r="G67" s="172">
        <f>(G64+G65)*('Labor and Indirect Rates (NSF)'!$H$69+'Labor and Indirect Rates (NSF)'!$G$69)</f>
        <v>0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9"/>
      <c r="T67" s="35"/>
      <c r="U67" s="35"/>
      <c r="V67" s="35"/>
    </row>
    <row r="68" spans="2:22" ht="13.5" thickBot="1">
      <c r="B68" s="74" t="s">
        <v>97</v>
      </c>
      <c r="C68" s="189"/>
      <c r="D68" s="182"/>
      <c r="E68" s="167">
        <f>SUM(E63:E67)</f>
        <v>0</v>
      </c>
      <c r="F68" s="167">
        <f>SUM(F63:F67)</f>
        <v>0</v>
      </c>
      <c r="G68" s="168">
        <f>SUM(G63:G67)</f>
        <v>0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9"/>
      <c r="T68" s="35"/>
      <c r="U68" s="35"/>
      <c r="V68" s="35"/>
    </row>
    <row r="69" spans="2:7" ht="13.5" thickBot="1">
      <c r="B69" s="87"/>
      <c r="C69" s="184"/>
      <c r="D69" s="84"/>
      <c r="E69" s="89"/>
      <c r="F69" s="89"/>
      <c r="G69" s="90"/>
    </row>
    <row r="70" spans="2:22" ht="12.75">
      <c r="B70" s="174" t="s">
        <v>361</v>
      </c>
      <c r="C70" s="198"/>
      <c r="D70" s="175"/>
      <c r="E70" s="225">
        <v>5000</v>
      </c>
      <c r="F70" s="225">
        <v>5000</v>
      </c>
      <c r="G70" s="226">
        <v>5000</v>
      </c>
      <c r="H70" s="5" t="s">
        <v>356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9"/>
      <c r="T70" s="35"/>
      <c r="U70" s="35"/>
      <c r="V70" s="35"/>
    </row>
    <row r="71" spans="2:22" ht="12.75">
      <c r="B71" s="122" t="s">
        <v>358</v>
      </c>
      <c r="C71" s="173"/>
      <c r="D71" s="84"/>
      <c r="E71" s="227">
        <v>1000</v>
      </c>
      <c r="F71" s="227">
        <v>1000</v>
      </c>
      <c r="G71" s="228">
        <v>1000</v>
      </c>
      <c r="H71" s="5" t="s">
        <v>356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9"/>
      <c r="T71" s="35"/>
      <c r="U71" s="35"/>
      <c r="V71" s="35"/>
    </row>
    <row r="72" spans="2:22" ht="12.75">
      <c r="B72" s="122"/>
      <c r="C72" s="173"/>
      <c r="D72" s="84"/>
      <c r="E72" s="89"/>
      <c r="F72" s="89"/>
      <c r="G72" s="9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9"/>
      <c r="T72" s="35"/>
      <c r="U72" s="35"/>
      <c r="V72" s="35"/>
    </row>
    <row r="73" spans="2:22" ht="12.75">
      <c r="B73" s="87" t="s">
        <v>328</v>
      </c>
      <c r="C73" s="184"/>
      <c r="D73" s="84"/>
      <c r="E73" s="88">
        <f>(E70+E71)*('Labor and Indirect Rates (NSF)'!$H$69+'Labor and Indirect Rates (NSF)'!$G$69)</f>
        <v>1543.4999999999998</v>
      </c>
      <c r="F73" s="88">
        <f>(F70+F71)*('Labor and Indirect Rates (NSF)'!$H$69+'Labor and Indirect Rates (NSF)'!$G$69)</f>
        <v>1543.4999999999998</v>
      </c>
      <c r="G73" s="172">
        <f>(G70+G71)*('Labor and Indirect Rates (NSF)'!$H$69+'Labor and Indirect Rates (NSF)'!$G$69)</f>
        <v>1543.4999999999998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9"/>
      <c r="T73" s="35"/>
      <c r="U73" s="35"/>
      <c r="V73" s="35"/>
    </row>
    <row r="74" spans="2:22" ht="13.5" thickBot="1">
      <c r="B74" s="74" t="s">
        <v>97</v>
      </c>
      <c r="C74" s="189"/>
      <c r="D74" s="131"/>
      <c r="E74" s="132">
        <f>SUM(E70:E73)</f>
        <v>7543.5</v>
      </c>
      <c r="F74" s="132">
        <f>SUM(F70:F73)</f>
        <v>7543.5</v>
      </c>
      <c r="G74" s="133">
        <f>SUM(G70:G73)</f>
        <v>7543.5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9"/>
      <c r="T74" s="35"/>
      <c r="U74" s="35"/>
      <c r="V74" s="35"/>
    </row>
    <row r="75" spans="2:7" ht="12.75">
      <c r="B75" s="78"/>
      <c r="C75" s="37"/>
      <c r="D75" s="37"/>
      <c r="E75" s="37"/>
      <c r="F75" s="37"/>
      <c r="G75" s="73"/>
    </row>
    <row r="76" spans="2:7" ht="12.75">
      <c r="B76" s="72" t="s">
        <v>259</v>
      </c>
      <c r="C76" s="4"/>
      <c r="D76" s="37"/>
      <c r="E76" s="37"/>
      <c r="F76" s="37"/>
      <c r="G76" s="73"/>
    </row>
    <row r="77" spans="2:8" ht="12.75">
      <c r="B77" s="178" t="s">
        <v>342</v>
      </c>
      <c r="C77" s="197"/>
      <c r="D77" s="37"/>
      <c r="E77" s="37">
        <f>(0.62-0.4)*0</f>
        <v>0</v>
      </c>
      <c r="F77" s="37">
        <f>(0.62-0.4)*0</f>
        <v>0</v>
      </c>
      <c r="G77" s="73">
        <f>(0.62-0.4)*0</f>
        <v>0</v>
      </c>
      <c r="H77" s="5" t="s">
        <v>378</v>
      </c>
    </row>
    <row r="78" spans="2:8" ht="12.75">
      <c r="B78" s="87" t="s">
        <v>341</v>
      </c>
      <c r="C78" s="184"/>
      <c r="D78" s="37"/>
      <c r="E78" s="37">
        <f>0.5/2</f>
        <v>0.25</v>
      </c>
      <c r="F78" s="37">
        <f>0.5/2</f>
        <v>0.25</v>
      </c>
      <c r="G78" s="73">
        <f>0.5/2</f>
        <v>0.25</v>
      </c>
      <c r="H78" s="5" t="s">
        <v>356</v>
      </c>
    </row>
    <row r="79" spans="2:7" ht="12.75">
      <c r="B79" s="87" t="s">
        <v>325</v>
      </c>
      <c r="C79" s="184"/>
      <c r="D79" s="37"/>
      <c r="E79" s="37">
        <v>4.8</v>
      </c>
      <c r="F79" s="37">
        <v>0.3</v>
      </c>
      <c r="G79" s="73">
        <v>0.3</v>
      </c>
    </row>
    <row r="80" spans="2:7" ht="12.75">
      <c r="B80" s="87" t="s">
        <v>256</v>
      </c>
      <c r="C80" s="184"/>
      <c r="D80" s="37"/>
      <c r="E80" s="37">
        <v>2</v>
      </c>
      <c r="F80" s="37">
        <v>2</v>
      </c>
      <c r="G80" s="73">
        <v>0</v>
      </c>
    </row>
    <row r="81" spans="2:8" ht="12.75">
      <c r="B81" s="87" t="s">
        <v>322</v>
      </c>
      <c r="C81" s="184"/>
      <c r="D81" s="37"/>
      <c r="E81" s="38">
        <v>0.6</v>
      </c>
      <c r="F81" s="38">
        <v>0.6</v>
      </c>
      <c r="G81" s="73">
        <v>0.6</v>
      </c>
      <c r="H81" s="5" t="s">
        <v>377</v>
      </c>
    </row>
    <row r="82" spans="2:7" ht="12.75">
      <c r="B82" s="87" t="s">
        <v>323</v>
      </c>
      <c r="C82" s="184"/>
      <c r="D82" s="37"/>
      <c r="E82" s="38">
        <v>0</v>
      </c>
      <c r="F82" s="38">
        <v>0</v>
      </c>
      <c r="G82" s="73">
        <v>0</v>
      </c>
    </row>
    <row r="83" spans="2:22" ht="12.75">
      <c r="B83" s="72" t="s">
        <v>97</v>
      </c>
      <c r="C83" s="4"/>
      <c r="D83" s="4"/>
      <c r="E83" s="4">
        <f>SUM(E77:E82)</f>
        <v>7.6499999999999995</v>
      </c>
      <c r="F83" s="4">
        <f>SUM(F77:F82)</f>
        <v>3.15</v>
      </c>
      <c r="G83" s="81">
        <f>SUM(G77:G82)</f>
        <v>1.15</v>
      </c>
      <c r="T83" s="5"/>
      <c r="U83" s="5"/>
      <c r="V83" s="5"/>
    </row>
    <row r="84" spans="2:7" ht="12.75">
      <c r="B84" s="87"/>
      <c r="C84" s="184"/>
      <c r="D84" s="37"/>
      <c r="E84" s="37"/>
      <c r="F84" s="37"/>
      <c r="G84" s="73"/>
    </row>
    <row r="85" spans="2:7" ht="12.75">
      <c r="B85" s="72" t="s">
        <v>260</v>
      </c>
      <c r="C85" s="4"/>
      <c r="D85" s="37"/>
      <c r="E85" s="37"/>
      <c r="F85" s="37"/>
      <c r="G85" s="73"/>
    </row>
    <row r="86" spans="2:22" ht="12.75">
      <c r="B86" s="78" t="s">
        <v>261</v>
      </c>
      <c r="C86" s="37"/>
      <c r="D86" s="107"/>
      <c r="E86" s="80">
        <f>$D$6</f>
        <v>85</v>
      </c>
      <c r="F86" s="80">
        <f>$D$6</f>
        <v>85</v>
      </c>
      <c r="G86" s="97">
        <f>$D$6</f>
        <v>85</v>
      </c>
      <c r="S86" s="14"/>
      <c r="T86" s="34"/>
      <c r="U86" s="34"/>
      <c r="V86" s="34"/>
    </row>
    <row r="87" spans="2:22" ht="12.75">
      <c r="B87" s="78" t="s">
        <v>262</v>
      </c>
      <c r="C87" s="37"/>
      <c r="D87" s="107"/>
      <c r="E87" s="107">
        <v>1</v>
      </c>
      <c r="F87" s="107">
        <v>0.8</v>
      </c>
      <c r="G87" s="108">
        <v>0.8</v>
      </c>
      <c r="T87" s="14"/>
      <c r="U87" s="14"/>
      <c r="V87" s="14"/>
    </row>
    <row r="88" spans="2:22" ht="12.75">
      <c r="B88" s="93" t="s">
        <v>302</v>
      </c>
      <c r="C88" s="191"/>
      <c r="D88" s="109"/>
      <c r="E88" s="95">
        <f>(E87*(E79+E81+E82)+(E77+E78+E80))*E86*168</f>
        <v>109242</v>
      </c>
      <c r="F88" s="95">
        <f>(F87*(F79+F81+F82)+(F77+F78+F80))*F86*168</f>
        <v>42411.6</v>
      </c>
      <c r="G88" s="96">
        <f>(G87*(G79+G81+G82)+(G77+G78+G80))*G86*168</f>
        <v>13851.6</v>
      </c>
      <c r="S88" s="14"/>
      <c r="T88" s="35"/>
      <c r="U88" s="35"/>
      <c r="V88" s="35"/>
    </row>
    <row r="89" spans="2:22" ht="12.75">
      <c r="B89" s="72"/>
      <c r="C89" s="4"/>
      <c r="D89" s="107"/>
      <c r="E89" s="89"/>
      <c r="F89" s="89"/>
      <c r="G89" s="90"/>
      <c r="S89" s="14"/>
      <c r="T89" s="35"/>
      <c r="U89" s="35"/>
      <c r="V89" s="35"/>
    </row>
    <row r="90" spans="2:7" ht="13.5" thickBot="1">
      <c r="B90" s="123" t="s">
        <v>103</v>
      </c>
      <c r="C90" s="193"/>
      <c r="D90" s="76"/>
      <c r="E90" s="124">
        <f>0*(E88+E74+E68)</f>
        <v>0</v>
      </c>
      <c r="F90" s="124">
        <f>0*(F88+F74+F68)</f>
        <v>0</v>
      </c>
      <c r="G90" s="126">
        <f>0*(G88+G74+G68)</f>
        <v>0</v>
      </c>
    </row>
    <row r="91" spans="2:24" ht="13.5" thickBot="1">
      <c r="B91" s="110" t="s">
        <v>99</v>
      </c>
      <c r="C91" s="199"/>
      <c r="D91" s="111"/>
      <c r="E91" s="105">
        <f>E88+E74+E90+E68</f>
        <v>116785.5</v>
      </c>
      <c r="F91" s="105">
        <f>F88+F74+F90+F68</f>
        <v>49955.1</v>
      </c>
      <c r="G91" s="106">
        <f>G88+G74+G90+G68</f>
        <v>21395.1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35"/>
      <c r="U91" s="35"/>
      <c r="V91" s="35"/>
      <c r="W91" s="5"/>
      <c r="X91" s="5"/>
    </row>
    <row r="92" spans="2:24" ht="13.5" thickBot="1">
      <c r="B92" s="110" t="s">
        <v>344</v>
      </c>
      <c r="C92" s="200"/>
      <c r="D92" s="185"/>
      <c r="E92" s="186">
        <f>E60*52*1.03</f>
        <v>0</v>
      </c>
      <c r="F92" s="186">
        <f>F60*52*1.03</f>
        <v>0</v>
      </c>
      <c r="G92" s="249">
        <f>G60*52*1.03</f>
        <v>0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35"/>
      <c r="U92" s="35"/>
      <c r="V92" s="35"/>
      <c r="W92" s="5"/>
      <c r="X92" s="5"/>
    </row>
    <row r="93" spans="2:24" ht="13.5" thickBot="1">
      <c r="B93" s="110"/>
      <c r="C93" s="199"/>
      <c r="D93" s="111"/>
      <c r="E93" s="105"/>
      <c r="F93" s="105"/>
      <c r="G93" s="10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35"/>
      <c r="U93" s="35"/>
      <c r="V93" s="35"/>
      <c r="W93" s="5"/>
      <c r="X93" s="5"/>
    </row>
    <row r="94" spans="2:24" ht="13.5" thickBot="1">
      <c r="B94" s="125"/>
      <c r="C94" s="128"/>
      <c r="D94" s="113"/>
      <c r="E94" s="127"/>
      <c r="F94" s="128"/>
      <c r="G94" s="12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8" ht="12.75">
      <c r="B95" s="174" t="s">
        <v>362</v>
      </c>
      <c r="C95" s="198"/>
      <c r="D95" s="175"/>
      <c r="E95" s="127">
        <f>'K0PI0 alacart Operations'!B25/2</f>
        <v>5941.04</v>
      </c>
      <c r="F95" s="127">
        <f>'K0PI0 alacart Operations'!B25/2</f>
        <v>5941.04</v>
      </c>
      <c r="G95" s="176">
        <f>'K0PI0 alacart Operations'!B25/2</f>
        <v>5941.04</v>
      </c>
      <c r="H95" s="5" t="s">
        <v>356</v>
      </c>
    </row>
    <row r="96" spans="2:8" ht="12.75">
      <c r="B96" s="122" t="s">
        <v>358</v>
      </c>
      <c r="C96" s="173"/>
      <c r="D96" s="84"/>
      <c r="E96" s="227">
        <v>1000</v>
      </c>
      <c r="F96" s="227">
        <v>1000</v>
      </c>
      <c r="G96" s="228">
        <v>1000</v>
      </c>
      <c r="H96" s="5" t="s">
        <v>356</v>
      </c>
    </row>
    <row r="97" spans="2:7" ht="12.75">
      <c r="B97" s="122"/>
      <c r="C97" s="173"/>
      <c r="D97" s="84"/>
      <c r="E97" s="89"/>
      <c r="F97" s="89"/>
      <c r="G97" s="90"/>
    </row>
    <row r="98" spans="2:7" ht="12.75">
      <c r="B98" s="87" t="s">
        <v>328</v>
      </c>
      <c r="C98" s="184"/>
      <c r="D98" s="84"/>
      <c r="E98" s="88">
        <f>(E95+E96)*('Labor and Indirect Rates (NSF)'!$H$69+'Labor and Indirect Rates (NSF)'!$G$69)</f>
        <v>1785.5825399999999</v>
      </c>
      <c r="F98" s="88">
        <f>F95*('Labor and Indirect Rates (NSF)'!$H$69+'Labor and Indirect Rates (NSF)'!$G$69)</f>
        <v>1528.3325399999999</v>
      </c>
      <c r="G98" s="172">
        <f>G95*('Labor and Indirect Rates (NSF)'!$H$69+'Labor and Indirect Rates (NSF)'!$G$69)</f>
        <v>1528.3325399999999</v>
      </c>
    </row>
    <row r="99" spans="2:7" ht="13.5" thickBot="1">
      <c r="B99" s="74" t="s">
        <v>97</v>
      </c>
      <c r="C99" s="189"/>
      <c r="D99" s="131"/>
      <c r="E99" s="132">
        <f>SUM(E95:E98)</f>
        <v>8726.62254</v>
      </c>
      <c r="F99" s="132">
        <f>SUM(F95:F98)</f>
        <v>8469.37254</v>
      </c>
      <c r="G99" s="133">
        <f>SUM(G95:G98)</f>
        <v>8469.37254</v>
      </c>
    </row>
    <row r="100" spans="2:7" ht="12.75">
      <c r="B100" s="78"/>
      <c r="C100" s="37"/>
      <c r="D100" s="37"/>
      <c r="E100" s="37"/>
      <c r="F100" s="37"/>
      <c r="G100" s="73"/>
    </row>
    <row r="101" spans="2:7" ht="12.75">
      <c r="B101" s="72" t="s">
        <v>259</v>
      </c>
      <c r="C101" s="4"/>
      <c r="D101" s="37"/>
      <c r="E101" s="37"/>
      <c r="F101" s="37"/>
      <c r="G101" s="73"/>
    </row>
    <row r="102" spans="2:8" ht="12.75">
      <c r="B102" s="87" t="s">
        <v>324</v>
      </c>
      <c r="C102" s="184"/>
      <c r="D102" s="37"/>
      <c r="E102" s="37">
        <f>0.5/2</f>
        <v>0.25</v>
      </c>
      <c r="F102" s="37">
        <f>0.5/2</f>
        <v>0.25</v>
      </c>
      <c r="G102" s="73">
        <f>0.5/2</f>
        <v>0.25</v>
      </c>
      <c r="H102" s="5" t="s">
        <v>356</v>
      </c>
    </row>
    <row r="103" spans="2:7" ht="12.75">
      <c r="B103" s="87" t="s">
        <v>325</v>
      </c>
      <c r="C103" s="184"/>
      <c r="D103" s="37"/>
      <c r="E103" s="37">
        <v>8.3</v>
      </c>
      <c r="F103" s="37">
        <v>3.8</v>
      </c>
      <c r="G103" s="73">
        <v>3.8</v>
      </c>
    </row>
    <row r="104" spans="2:7" ht="12.75">
      <c r="B104" s="87" t="s">
        <v>256</v>
      </c>
      <c r="C104" s="184"/>
      <c r="D104" s="37"/>
      <c r="E104" s="37">
        <v>2</v>
      </c>
      <c r="F104" s="37">
        <v>2</v>
      </c>
      <c r="G104" s="73">
        <v>0</v>
      </c>
    </row>
    <row r="105" spans="2:7" ht="12.75">
      <c r="B105" s="87" t="s">
        <v>322</v>
      </c>
      <c r="C105" s="184"/>
      <c r="D105" s="37"/>
      <c r="E105" s="38">
        <v>0.5</v>
      </c>
      <c r="F105" s="38">
        <v>0.5</v>
      </c>
      <c r="G105" s="73">
        <v>0.5</v>
      </c>
    </row>
    <row r="106" spans="2:8" ht="12.75">
      <c r="B106" s="87" t="s">
        <v>334</v>
      </c>
      <c r="C106" s="184"/>
      <c r="D106" s="37"/>
      <c r="E106" s="38">
        <v>3.5</v>
      </c>
      <c r="F106" s="38">
        <v>3.5</v>
      </c>
      <c r="G106" s="73">
        <v>3.5</v>
      </c>
      <c r="H106" s="5" t="s">
        <v>379</v>
      </c>
    </row>
    <row r="107" spans="2:7" ht="12.75">
      <c r="B107" s="72" t="s">
        <v>97</v>
      </c>
      <c r="C107" s="4"/>
      <c r="D107" s="4"/>
      <c r="E107" s="4">
        <f>SUM(E102:E106)</f>
        <v>14.55</v>
      </c>
      <c r="F107" s="4">
        <f>SUM(F102:F106)</f>
        <v>10.05</v>
      </c>
      <c r="G107" s="81">
        <f>SUM(G102:G106)</f>
        <v>8.05</v>
      </c>
    </row>
    <row r="108" spans="2:7" ht="12.75">
      <c r="B108" s="87"/>
      <c r="C108" s="184"/>
      <c r="D108" s="37"/>
      <c r="E108" s="37"/>
      <c r="F108" s="37"/>
      <c r="G108" s="73"/>
    </row>
    <row r="109" spans="2:7" ht="12.75">
      <c r="B109" s="72" t="s">
        <v>260</v>
      </c>
      <c r="C109" s="4"/>
      <c r="D109" s="37"/>
      <c r="E109" s="37"/>
      <c r="F109" s="37"/>
      <c r="G109" s="73"/>
    </row>
    <row r="110" spans="2:7" ht="12.75">
      <c r="B110" s="78" t="s">
        <v>261</v>
      </c>
      <c r="C110" s="37"/>
      <c r="D110" s="107"/>
      <c r="E110" s="80">
        <f>$D$6</f>
        <v>85</v>
      </c>
      <c r="F110" s="80">
        <f>$D$6</f>
        <v>85</v>
      </c>
      <c r="G110" s="97">
        <f>$D$6</f>
        <v>85</v>
      </c>
    </row>
    <row r="111" spans="2:7" ht="12.75">
      <c r="B111" s="78" t="s">
        <v>262</v>
      </c>
      <c r="C111" s="37"/>
      <c r="D111" s="107"/>
      <c r="E111" s="107">
        <v>1</v>
      </c>
      <c r="F111" s="107">
        <v>0.8</v>
      </c>
      <c r="G111" s="108">
        <v>0.8</v>
      </c>
    </row>
    <row r="112" spans="2:7" ht="12.75">
      <c r="B112" s="93" t="s">
        <v>303</v>
      </c>
      <c r="C112" s="191"/>
      <c r="D112" s="109"/>
      <c r="E112" s="95">
        <f>(E111*(E103+E105+E106)+(E102+E104))*E110*168</f>
        <v>207774</v>
      </c>
      <c r="F112" s="95">
        <f>(F111*(F103+F105+F106)+(F102+F104))*F110*168</f>
        <v>121237.2</v>
      </c>
      <c r="G112" s="96">
        <f>(G111*(G103+G105+G106)+(G102+G104))*G110*168</f>
        <v>92677.2</v>
      </c>
    </row>
    <row r="113" spans="2:7" ht="12.75">
      <c r="B113" s="72"/>
      <c r="C113" s="4"/>
      <c r="D113" s="107"/>
      <c r="E113" s="89"/>
      <c r="F113" s="89"/>
      <c r="G113" s="90"/>
    </row>
    <row r="114" spans="2:7" ht="13.5" thickBot="1">
      <c r="B114" s="123" t="s">
        <v>103</v>
      </c>
      <c r="C114" s="193"/>
      <c r="D114" s="76"/>
      <c r="E114" s="124">
        <f>0*(E112+E99)</f>
        <v>0</v>
      </c>
      <c r="F114" s="124">
        <f>0*(F112+F99)</f>
        <v>0</v>
      </c>
      <c r="G114" s="126">
        <f>0*(G112+G99)</f>
        <v>0</v>
      </c>
    </row>
    <row r="115" spans="2:7" ht="13.5" thickBot="1">
      <c r="B115" s="110" t="s">
        <v>100</v>
      </c>
      <c r="C115" s="199"/>
      <c r="D115" s="111"/>
      <c r="E115" s="105">
        <f>E114+E99+E112</f>
        <v>216500.62254</v>
      </c>
      <c r="F115" s="105">
        <f>F114+F99+F112</f>
        <v>129706.57254</v>
      </c>
      <c r="G115" s="106">
        <f>G114+G99+G112</f>
        <v>101146.57254</v>
      </c>
    </row>
    <row r="116" spans="2:7" ht="13.5" thickBot="1">
      <c r="B116" s="78"/>
      <c r="C116" s="37"/>
      <c r="D116" s="37"/>
      <c r="E116" s="37"/>
      <c r="F116" s="37"/>
      <c r="G116" s="73"/>
    </row>
    <row r="117" spans="2:7" ht="13.5" thickBot="1">
      <c r="B117" s="112" t="s">
        <v>304</v>
      </c>
      <c r="C117" s="200"/>
      <c r="D117" s="113"/>
      <c r="E117" s="128" t="s">
        <v>249</v>
      </c>
      <c r="F117" s="128" t="s">
        <v>250</v>
      </c>
      <c r="G117" s="129" t="s">
        <v>251</v>
      </c>
    </row>
    <row r="118" spans="2:7" ht="12.75">
      <c r="B118" s="72" t="s">
        <v>305</v>
      </c>
      <c r="C118" s="4"/>
      <c r="D118" s="115">
        <f>D119+D120</f>
        <v>20</v>
      </c>
      <c r="E118" s="80">
        <f>D118*$E$52</f>
        <v>4213002.732156086</v>
      </c>
      <c r="F118" s="80">
        <f>D118*$F$52</f>
        <v>2456587.9521280006</v>
      </c>
      <c r="G118" s="97">
        <f>D118*$G$52</f>
        <v>1685014.5844180002</v>
      </c>
    </row>
    <row r="119" spans="2:7" ht="12.75">
      <c r="B119" s="72" t="s">
        <v>350</v>
      </c>
      <c r="C119" s="4"/>
      <c r="D119" s="116">
        <v>10</v>
      </c>
      <c r="E119" s="80">
        <f>D119*$E$115</f>
        <v>2165006.2254</v>
      </c>
      <c r="F119" s="80">
        <f>D119*$F$115</f>
        <v>1297065.7253999999</v>
      </c>
      <c r="G119" s="97">
        <f>D119*$G$115</f>
        <v>1011465.7253999999</v>
      </c>
    </row>
    <row r="120" spans="2:7" ht="12.75">
      <c r="B120" s="72" t="s">
        <v>351</v>
      </c>
      <c r="C120" s="4"/>
      <c r="D120" s="116">
        <v>10</v>
      </c>
      <c r="E120" s="80">
        <f>D120*$E$91+E92</f>
        <v>1167855</v>
      </c>
      <c r="F120" s="80">
        <f>D120*$F$91+F92</f>
        <v>499551</v>
      </c>
      <c r="G120" s="97">
        <f>D120*$G$91+G92</f>
        <v>213951</v>
      </c>
    </row>
    <row r="121" spans="2:7" ht="13.5" thickBot="1">
      <c r="B121" s="72" t="s">
        <v>306</v>
      </c>
      <c r="C121" s="4"/>
      <c r="D121" s="115">
        <v>18</v>
      </c>
      <c r="E121" s="80">
        <f>E16</f>
        <v>2613289.8458940126</v>
      </c>
      <c r="F121" s="80">
        <f>E16</f>
        <v>2613289.8458940126</v>
      </c>
      <c r="G121" s="97">
        <f>E16</f>
        <v>2613289.8458940126</v>
      </c>
    </row>
    <row r="122" spans="2:7" ht="13.5" thickBot="1">
      <c r="B122" s="110" t="s">
        <v>307</v>
      </c>
      <c r="C122" s="199"/>
      <c r="D122" s="111"/>
      <c r="E122" s="105">
        <f>SUM(E118:E121)</f>
        <v>10159153.803450098</v>
      </c>
      <c r="F122" s="105">
        <f>SUM(F118:F121)</f>
        <v>6866494.523422013</v>
      </c>
      <c r="G122" s="106">
        <f>SUM(G118:G121)</f>
        <v>5523721.155712012</v>
      </c>
    </row>
    <row r="123" spans="2:9" ht="13.5" thickBot="1">
      <c r="B123" s="250"/>
      <c r="C123" s="251"/>
      <c r="D123" s="252"/>
      <c r="E123" s="167"/>
      <c r="F123" s="167"/>
      <c r="G123" s="168"/>
      <c r="H123" s="254"/>
      <c r="I123" s="255"/>
    </row>
    <row r="124" spans="2:25" ht="13.5" thickBot="1">
      <c r="B124" s="112" t="s">
        <v>381</v>
      </c>
      <c r="C124" s="200"/>
      <c r="D124" s="138"/>
      <c r="E124" s="139"/>
      <c r="F124" s="139"/>
      <c r="G124" s="139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2:19" ht="12.75">
      <c r="B125" s="140" t="s">
        <v>131</v>
      </c>
      <c r="C125" s="117"/>
      <c r="D125" s="38"/>
      <c r="E125" s="137"/>
      <c r="F125" s="137"/>
      <c r="G125" s="1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</row>
    <row r="126" spans="2:19" ht="12.75">
      <c r="B126" s="141" t="s">
        <v>132</v>
      </c>
      <c r="C126" s="201"/>
      <c r="D126" s="38"/>
      <c r="E126" s="137"/>
      <c r="F126" s="137"/>
      <c r="G126" s="1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2:19" ht="12.75">
      <c r="B127" s="141" t="s">
        <v>134</v>
      </c>
      <c r="C127" s="201"/>
      <c r="D127" s="38"/>
      <c r="E127" s="137"/>
      <c r="F127" s="137"/>
      <c r="G127" s="1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</row>
    <row r="128" spans="2:19" ht="12.75">
      <c r="B128" s="141" t="s">
        <v>133</v>
      </c>
      <c r="C128" s="201"/>
      <c r="D128" s="38"/>
      <c r="E128" s="137"/>
      <c r="F128" s="137"/>
      <c r="G128" s="1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</row>
    <row r="129" spans="2:19" ht="12.75">
      <c r="B129" s="141" t="s">
        <v>380</v>
      </c>
      <c r="C129" s="201"/>
      <c r="D129" s="38"/>
      <c r="E129" s="137"/>
      <c r="F129" s="137"/>
      <c r="G129" s="1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</row>
    <row r="130" spans="2:19" ht="13.5" thickBot="1">
      <c r="B130" s="78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2:19" ht="13.5" thickBot="1">
      <c r="B131" s="112" t="s">
        <v>376</v>
      </c>
      <c r="C131" s="202"/>
      <c r="D131" s="142"/>
      <c r="E131" s="143"/>
      <c r="F131" s="79"/>
      <c r="G131" s="142"/>
      <c r="H131" s="4"/>
      <c r="I131" s="4"/>
      <c r="J131" s="4"/>
      <c r="K131" s="37"/>
      <c r="L131" s="37"/>
      <c r="M131" s="37"/>
      <c r="N131" s="37"/>
      <c r="O131" s="37"/>
      <c r="P131" s="37"/>
      <c r="Q131" s="37"/>
      <c r="R131" s="37"/>
      <c r="S131" s="37"/>
    </row>
    <row r="132" spans="2:19" ht="12.75">
      <c r="B132" s="152"/>
      <c r="C132" s="113"/>
      <c r="D132" s="232" t="s">
        <v>363</v>
      </c>
      <c r="E132" s="154" t="s">
        <v>364</v>
      </c>
      <c r="F132" s="155" t="s">
        <v>365</v>
      </c>
      <c r="G132" s="153" t="s">
        <v>366</v>
      </c>
      <c r="H132" s="155" t="s">
        <v>367</v>
      </c>
      <c r="I132" s="233" t="s">
        <v>368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</row>
    <row r="133" spans="2:18" ht="12.75">
      <c r="B133" s="72" t="s">
        <v>105</v>
      </c>
      <c r="C133" s="4"/>
      <c r="D133" s="234">
        <v>27</v>
      </c>
      <c r="E133" s="144">
        <v>27</v>
      </c>
      <c r="F133" s="79">
        <v>27</v>
      </c>
      <c r="G133" s="142" t="s">
        <v>106</v>
      </c>
      <c r="H133" s="79">
        <v>27</v>
      </c>
      <c r="I133" s="235">
        <v>27</v>
      </c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2:18" ht="12.75">
      <c r="B134" s="145" t="s">
        <v>107</v>
      </c>
      <c r="C134" s="203"/>
      <c r="D134" s="236">
        <v>10</v>
      </c>
      <c r="E134" s="146">
        <v>10</v>
      </c>
      <c r="F134" s="146">
        <v>10</v>
      </c>
      <c r="G134" s="146">
        <v>10</v>
      </c>
      <c r="H134" s="146">
        <v>10</v>
      </c>
      <c r="I134" s="237">
        <v>10</v>
      </c>
      <c r="J134" s="37"/>
      <c r="K134" s="149"/>
      <c r="L134" s="149"/>
      <c r="M134" s="149"/>
      <c r="N134" s="149"/>
      <c r="O134" s="149"/>
      <c r="P134" s="149"/>
      <c r="Q134" s="149"/>
      <c r="R134" s="149"/>
    </row>
    <row r="135" spans="2:18" ht="12.75">
      <c r="B135" s="145" t="s">
        <v>108</v>
      </c>
      <c r="C135" s="203"/>
      <c r="D135" s="236">
        <v>5</v>
      </c>
      <c r="E135" s="146">
        <v>5</v>
      </c>
      <c r="F135" s="146">
        <v>5</v>
      </c>
      <c r="G135" s="146">
        <v>5</v>
      </c>
      <c r="H135" s="146">
        <v>5</v>
      </c>
      <c r="I135" s="237">
        <v>5</v>
      </c>
      <c r="J135" s="37"/>
      <c r="K135" s="149"/>
      <c r="L135" s="149"/>
      <c r="M135" s="149"/>
      <c r="N135" s="149"/>
      <c r="O135" s="149"/>
      <c r="P135" s="149"/>
      <c r="Q135" s="149"/>
      <c r="R135" s="149"/>
    </row>
    <row r="136" spans="2:18" ht="12.75">
      <c r="B136" s="145" t="s">
        <v>123</v>
      </c>
      <c r="C136" s="203"/>
      <c r="D136" s="236">
        <v>10</v>
      </c>
      <c r="E136" s="146">
        <v>10</v>
      </c>
      <c r="F136" s="146">
        <v>10</v>
      </c>
      <c r="G136" s="146">
        <v>10</v>
      </c>
      <c r="H136" s="146">
        <v>10</v>
      </c>
      <c r="I136" s="237">
        <v>10</v>
      </c>
      <c r="J136" s="37"/>
      <c r="K136" s="37"/>
      <c r="L136" s="37"/>
      <c r="M136" s="37"/>
      <c r="N136" s="37"/>
      <c r="O136" s="37"/>
      <c r="P136" s="37"/>
      <c r="Q136" s="37"/>
      <c r="R136" s="37"/>
    </row>
    <row r="137" spans="2:18" ht="12.75">
      <c r="B137" s="145"/>
      <c r="C137" s="203"/>
      <c r="D137" s="236"/>
      <c r="E137" s="146"/>
      <c r="F137" s="146"/>
      <c r="G137" s="146"/>
      <c r="H137" s="146"/>
      <c r="I137" s="237"/>
      <c r="J137" s="37"/>
      <c r="K137" s="37"/>
      <c r="L137" s="37"/>
      <c r="M137" s="37"/>
      <c r="N137" s="37"/>
      <c r="O137" s="37"/>
      <c r="P137" s="37"/>
      <c r="Q137" s="37"/>
      <c r="R137" s="37"/>
    </row>
    <row r="138" spans="2:18" ht="12.75">
      <c r="B138" s="157" t="s">
        <v>124</v>
      </c>
      <c r="C138" s="231"/>
      <c r="D138" s="238">
        <f>D136+D135+D134</f>
        <v>25</v>
      </c>
      <c r="E138" s="156">
        <f>E136+E135+E134</f>
        <v>25</v>
      </c>
      <c r="F138" s="156">
        <f>F136+F135+F134</f>
        <v>25</v>
      </c>
      <c r="G138" s="156">
        <f>G136+G135+G134</f>
        <v>25</v>
      </c>
      <c r="H138" s="156">
        <f>H136+H135+H134</f>
        <v>25</v>
      </c>
      <c r="I138" s="239">
        <f>I136+I135+I134</f>
        <v>25</v>
      </c>
      <c r="J138" s="37"/>
      <c r="K138" s="166"/>
      <c r="L138" s="166"/>
      <c r="M138" s="166"/>
      <c r="N138" s="166"/>
      <c r="O138" s="166"/>
      <c r="P138" s="166"/>
      <c r="Q138" s="253"/>
      <c r="R138" s="149"/>
    </row>
    <row r="139" spans="2:18" ht="12.75">
      <c r="B139" s="140" t="s">
        <v>317</v>
      </c>
      <c r="C139" s="117"/>
      <c r="D139" s="240">
        <f aca="true" t="shared" si="0" ref="D139:I139">D143+D146+D149</f>
        <v>0</v>
      </c>
      <c r="E139" s="150">
        <f t="shared" si="0"/>
        <v>0</v>
      </c>
      <c r="F139" s="150">
        <f t="shared" si="0"/>
        <v>0</v>
      </c>
      <c r="G139" s="150">
        <f t="shared" si="0"/>
        <v>0</v>
      </c>
      <c r="H139" s="150">
        <f t="shared" si="0"/>
        <v>4</v>
      </c>
      <c r="I139" s="241">
        <f t="shared" si="0"/>
        <v>0</v>
      </c>
      <c r="J139" s="37"/>
      <c r="K139" s="149"/>
      <c r="L139" s="149"/>
      <c r="M139" s="149"/>
      <c r="N139" s="149"/>
      <c r="O139" s="149"/>
      <c r="P139" s="149"/>
      <c r="Q139" s="149"/>
      <c r="R139" s="149"/>
    </row>
    <row r="140" spans="2:11" ht="12.75">
      <c r="B140" s="140" t="s">
        <v>318</v>
      </c>
      <c r="C140" s="117"/>
      <c r="D140" s="240">
        <f aca="true" t="shared" si="1" ref="D140:I140">D144+D147+D150</f>
        <v>0</v>
      </c>
      <c r="E140" s="150">
        <f t="shared" si="1"/>
        <v>0</v>
      </c>
      <c r="F140" s="150">
        <f t="shared" si="1"/>
        <v>0</v>
      </c>
      <c r="G140" s="150">
        <f t="shared" si="1"/>
        <v>0</v>
      </c>
      <c r="H140" s="150">
        <f t="shared" si="1"/>
        <v>4</v>
      </c>
      <c r="I140" s="241">
        <f t="shared" si="1"/>
        <v>0</v>
      </c>
      <c r="J140" s="37"/>
      <c r="K140" s="37"/>
    </row>
    <row r="141" spans="2:11" ht="12.75">
      <c r="B141" s="140"/>
      <c r="C141" s="117"/>
      <c r="D141" s="242"/>
      <c r="E141" s="120"/>
      <c r="F141" s="120"/>
      <c r="G141" s="120"/>
      <c r="H141" s="120"/>
      <c r="I141" s="243"/>
      <c r="J141" s="37"/>
      <c r="K141" s="37"/>
    </row>
    <row r="142" spans="2:11" ht="12.75">
      <c r="B142" s="158" t="s">
        <v>314</v>
      </c>
      <c r="C142" s="204"/>
      <c r="D142" s="78"/>
      <c r="E142" s="37"/>
      <c r="F142" s="37"/>
      <c r="G142" s="37"/>
      <c r="H142" s="37"/>
      <c r="I142" s="73"/>
      <c r="J142" s="37"/>
      <c r="K142" s="37"/>
    </row>
    <row r="143" spans="2:11" ht="12.75">
      <c r="B143" s="147" t="s">
        <v>200</v>
      </c>
      <c r="C143" s="205"/>
      <c r="D143" s="244">
        <v>0</v>
      </c>
      <c r="E143" s="56">
        <v>0</v>
      </c>
      <c r="F143" s="56">
        <v>0</v>
      </c>
      <c r="G143" s="56">
        <v>0</v>
      </c>
      <c r="H143" s="56">
        <v>0</v>
      </c>
      <c r="I143" s="207">
        <v>0</v>
      </c>
      <c r="J143" s="37"/>
      <c r="K143" s="37"/>
    </row>
    <row r="144" spans="2:11" ht="12.75">
      <c r="B144" s="147" t="s">
        <v>201</v>
      </c>
      <c r="C144" s="205"/>
      <c r="D144" s="244">
        <v>0</v>
      </c>
      <c r="E144" s="56">
        <v>0</v>
      </c>
      <c r="F144" s="56">
        <v>0</v>
      </c>
      <c r="G144" s="56">
        <v>0</v>
      </c>
      <c r="H144" s="56">
        <v>0</v>
      </c>
      <c r="I144" s="207">
        <v>0</v>
      </c>
      <c r="J144" s="37"/>
      <c r="K144" s="37"/>
    </row>
    <row r="145" spans="2:11" ht="12.75">
      <c r="B145" s="158" t="s">
        <v>312</v>
      </c>
      <c r="C145" s="204"/>
      <c r="D145" s="244"/>
      <c r="E145" s="56"/>
      <c r="F145" s="56"/>
      <c r="G145" s="56"/>
      <c r="H145" s="56"/>
      <c r="I145" s="207"/>
      <c r="J145" s="37"/>
      <c r="K145" s="37"/>
    </row>
    <row r="146" spans="2:11" ht="12.75">
      <c r="B146" s="147" t="s">
        <v>200</v>
      </c>
      <c r="C146" s="205"/>
      <c r="D146" s="244">
        <v>0</v>
      </c>
      <c r="E146" s="56">
        <v>0</v>
      </c>
      <c r="F146" s="56">
        <v>0</v>
      </c>
      <c r="G146" s="56">
        <v>0</v>
      </c>
      <c r="H146" s="56">
        <v>2</v>
      </c>
      <c r="I146" s="207">
        <v>0</v>
      </c>
      <c r="J146" s="37"/>
      <c r="K146" s="37"/>
    </row>
    <row r="147" spans="2:11" ht="12.75">
      <c r="B147" s="147" t="s">
        <v>201</v>
      </c>
      <c r="C147" s="205"/>
      <c r="D147" s="244">
        <v>0</v>
      </c>
      <c r="E147" s="56">
        <v>0</v>
      </c>
      <c r="F147" s="56">
        <v>0</v>
      </c>
      <c r="G147" s="56">
        <v>0</v>
      </c>
      <c r="H147" s="56">
        <v>2</v>
      </c>
      <c r="I147" s="207">
        <v>0</v>
      </c>
      <c r="J147" s="37"/>
      <c r="K147" s="37"/>
    </row>
    <row r="148" spans="2:11" ht="12.75">
      <c r="B148" s="158" t="s">
        <v>313</v>
      </c>
      <c r="C148" s="204"/>
      <c r="D148" s="244"/>
      <c r="E148" s="56"/>
      <c r="F148" s="56"/>
      <c r="G148" s="56"/>
      <c r="H148" s="56"/>
      <c r="I148" s="207"/>
      <c r="J148" s="37"/>
      <c r="K148" s="37"/>
    </row>
    <row r="149" spans="2:11" ht="12.75">
      <c r="B149" s="147" t="s">
        <v>200</v>
      </c>
      <c r="C149" s="205"/>
      <c r="D149" s="244">
        <v>0</v>
      </c>
      <c r="E149" s="56">
        <v>0</v>
      </c>
      <c r="F149" s="56">
        <v>0</v>
      </c>
      <c r="G149" s="56">
        <v>0</v>
      </c>
      <c r="H149" s="56">
        <v>2</v>
      </c>
      <c r="I149" s="207">
        <v>0</v>
      </c>
      <c r="J149" s="37"/>
      <c r="K149" s="37"/>
    </row>
    <row r="150" spans="2:11" ht="13.5" thickBot="1">
      <c r="B150" s="147" t="s">
        <v>201</v>
      </c>
      <c r="C150" s="205"/>
      <c r="D150" s="244">
        <v>0</v>
      </c>
      <c r="E150" s="56">
        <v>0</v>
      </c>
      <c r="F150" s="56">
        <v>0</v>
      </c>
      <c r="G150" s="56">
        <v>0</v>
      </c>
      <c r="H150" s="56">
        <v>2</v>
      </c>
      <c r="I150" s="207">
        <v>0</v>
      </c>
      <c r="J150" s="37"/>
      <c r="K150" s="37"/>
    </row>
    <row r="151" spans="2:11" ht="13.5" thickBot="1">
      <c r="B151" s="164" t="s">
        <v>332</v>
      </c>
      <c r="C151" s="206"/>
      <c r="D151" s="165">
        <f aca="true" t="shared" si="2" ref="D151:I151">SUM(D143:D150)</f>
        <v>0</v>
      </c>
      <c r="E151" s="165">
        <f t="shared" si="2"/>
        <v>0</v>
      </c>
      <c r="F151" s="165">
        <f t="shared" si="2"/>
        <v>0</v>
      </c>
      <c r="G151" s="165">
        <f t="shared" si="2"/>
        <v>0</v>
      </c>
      <c r="H151" s="165">
        <f t="shared" si="2"/>
        <v>8</v>
      </c>
      <c r="I151" s="245">
        <f t="shared" si="2"/>
        <v>0</v>
      </c>
      <c r="J151" s="37"/>
      <c r="K151" s="37"/>
    </row>
    <row r="152" spans="2:11" ht="13.5" thickBot="1">
      <c r="B152" s="208" t="s">
        <v>348</v>
      </c>
      <c r="C152" s="209"/>
      <c r="D152" s="246">
        <v>0</v>
      </c>
      <c r="E152" s="247">
        <v>0</v>
      </c>
      <c r="F152" s="247">
        <v>0</v>
      </c>
      <c r="G152" s="247">
        <v>0</v>
      </c>
      <c r="H152" s="247">
        <v>0</v>
      </c>
      <c r="I152" s="248">
        <v>0</v>
      </c>
      <c r="J152" s="37"/>
      <c r="K152" s="37"/>
    </row>
    <row r="153" spans="2:11" ht="12.75">
      <c r="B153" s="152"/>
      <c r="C153" s="113"/>
      <c r="D153" s="153" t="s">
        <v>363</v>
      </c>
      <c r="E153" s="154" t="s">
        <v>364</v>
      </c>
      <c r="F153" s="155" t="s">
        <v>365</v>
      </c>
      <c r="G153" s="153" t="s">
        <v>366</v>
      </c>
      <c r="H153" s="155" t="s">
        <v>367</v>
      </c>
      <c r="I153" s="155" t="s">
        <v>368</v>
      </c>
      <c r="J153" s="233" t="s">
        <v>97</v>
      </c>
      <c r="K153" s="37"/>
    </row>
    <row r="154" spans="2:11" ht="12.75">
      <c r="B154" s="148" t="s">
        <v>315</v>
      </c>
      <c r="C154" s="205"/>
      <c r="D154" s="80">
        <f aca="true" t="shared" si="3" ref="D154:I154">IF(D151&gt;0,$E$12,0)</f>
        <v>0</v>
      </c>
      <c r="E154" s="80">
        <f t="shared" si="3"/>
        <v>0</v>
      </c>
      <c r="F154" s="80">
        <f t="shared" si="3"/>
        <v>0</v>
      </c>
      <c r="G154" s="80">
        <f t="shared" si="3"/>
        <v>0</v>
      </c>
      <c r="H154" s="80">
        <f t="shared" si="3"/>
        <v>1809849.3074999999</v>
      </c>
      <c r="I154" s="80">
        <f t="shared" si="3"/>
        <v>0</v>
      </c>
      <c r="J154" s="90">
        <f>SUM(D154:I154)</f>
        <v>1809849.3074999999</v>
      </c>
      <c r="K154" s="37"/>
    </row>
    <row r="155" spans="2:11" ht="12.75">
      <c r="B155" s="148" t="s">
        <v>330</v>
      </c>
      <c r="C155" s="205"/>
      <c r="D155" s="80">
        <f aca="true" t="shared" si="4" ref="D155:I155">(D143*$E$24+D144*$E$24)</f>
        <v>0</v>
      </c>
      <c r="E155" s="80">
        <f t="shared" si="4"/>
        <v>0</v>
      </c>
      <c r="F155" s="80">
        <f t="shared" si="4"/>
        <v>0</v>
      </c>
      <c r="G155" s="80">
        <f t="shared" si="4"/>
        <v>0</v>
      </c>
      <c r="H155" s="80">
        <f t="shared" si="4"/>
        <v>0</v>
      </c>
      <c r="I155" s="80">
        <f t="shared" si="4"/>
        <v>0</v>
      </c>
      <c r="J155" s="90">
        <f aca="true" t="shared" si="5" ref="J155:J162">SUM(D155:I155)</f>
        <v>0</v>
      </c>
      <c r="K155" s="37"/>
    </row>
    <row r="156" spans="2:11" ht="12.75">
      <c r="B156" s="148" t="s">
        <v>130</v>
      </c>
      <c r="C156" s="205"/>
      <c r="D156" s="80">
        <f aca="true" t="shared" si="6" ref="D156:I156">(D143*$E$112+D144*$E$88+D146*$F$112+D147*$F$88+D149*$G$112+D150*$G$88)</f>
        <v>0</v>
      </c>
      <c r="E156" s="80">
        <f t="shared" si="6"/>
        <v>0</v>
      </c>
      <c r="F156" s="80">
        <f t="shared" si="6"/>
        <v>0</v>
      </c>
      <c r="G156" s="80">
        <f t="shared" si="6"/>
        <v>0</v>
      </c>
      <c r="H156" s="80">
        <f t="shared" si="6"/>
        <v>540355.2</v>
      </c>
      <c r="I156" s="80">
        <f t="shared" si="6"/>
        <v>0</v>
      </c>
      <c r="J156" s="90">
        <f t="shared" si="5"/>
        <v>540355.2</v>
      </c>
      <c r="K156" s="37"/>
    </row>
    <row r="157" spans="2:11" ht="12.75">
      <c r="B157" s="148" t="s">
        <v>196</v>
      </c>
      <c r="C157" s="205"/>
      <c r="D157" s="80">
        <f aca="true" t="shared" si="7" ref="D157:I157">D143*($E$21*$E$29+$E$34*$E$42)+D144*($E$21*$E$29+$E$34*$E$42)+D146*($F$21*$F$29+$F$34*$F$42)+D147*($F$21*$F$29+$F$34*$F$42)+D149*($G$21*$G$29+$G$34*$G$42)+D150*($G$21*$G$29+$G$34*$G$42)</f>
        <v>0</v>
      </c>
      <c r="E157" s="80">
        <f t="shared" si="7"/>
        <v>0</v>
      </c>
      <c r="F157" s="80">
        <f t="shared" si="7"/>
        <v>0</v>
      </c>
      <c r="G157" s="80">
        <f t="shared" si="7"/>
        <v>0</v>
      </c>
      <c r="H157" s="80">
        <f t="shared" si="7"/>
        <v>97093.568</v>
      </c>
      <c r="I157" s="80">
        <f t="shared" si="7"/>
        <v>0</v>
      </c>
      <c r="J157" s="90">
        <f t="shared" si="5"/>
        <v>97093.568</v>
      </c>
      <c r="K157" s="37"/>
    </row>
    <row r="158" spans="2:11" ht="12.75">
      <c r="B158" s="148" t="s">
        <v>252</v>
      </c>
      <c r="C158" s="205"/>
      <c r="D158" s="80">
        <f aca="true" t="shared" si="8" ref="D158:I158">D143*($E$23*$E$29+$E$36*$E$42)+D144*($E$23*$E$29+$E$36*$E$42)+D146*($F$23*$F$29+$F$36*$F$42)+D147*($F$23*$F$29+$F$36*$F$42)+D149*($G$23*$G$29+$G$36*$G$42)+D150*($G$23*$G$29+$G$36*$G$42)</f>
        <v>0</v>
      </c>
      <c r="E158" s="80">
        <f t="shared" si="8"/>
        <v>0</v>
      </c>
      <c r="F158" s="80">
        <f t="shared" si="8"/>
        <v>0</v>
      </c>
      <c r="G158" s="80">
        <f t="shared" si="8"/>
        <v>0</v>
      </c>
      <c r="H158" s="80">
        <f t="shared" si="8"/>
        <v>297612.15520000004</v>
      </c>
      <c r="I158" s="80">
        <f t="shared" si="8"/>
        <v>0</v>
      </c>
      <c r="J158" s="90">
        <f t="shared" si="5"/>
        <v>297612.15520000004</v>
      </c>
      <c r="K158" s="37"/>
    </row>
    <row r="159" spans="2:11" ht="12.75">
      <c r="B159" s="148" t="s">
        <v>203</v>
      </c>
      <c r="C159" s="205"/>
      <c r="D159" s="80">
        <f aca="true" t="shared" si="9" ref="D159:I159">D143*($E$95+$E$96)+(D143+D144)*($E$35*$E$42+$E$22*$E$29+$E$45+$E$46)+D144*($E$70+$E$71+$E$64+$E$65)+D146*($F$95+$F$96)+(D146+D147)*($F$35*$F$42+$F$22*$F$29+$F$45+$F$46)+D147*($F$70+$F$71+$F$64+$F$65)+D149*($G$95+$G$96)+(D149+D150)*($G$35*$G$42+$G$22*$G$29+$G$45+$G$46)+D150*($G$70+$G$71+$G$64+$G$65)</f>
        <v>0</v>
      </c>
      <c r="E159" s="80">
        <f t="shared" si="9"/>
        <v>0</v>
      </c>
      <c r="F159" s="80">
        <f t="shared" si="9"/>
        <v>0</v>
      </c>
      <c r="G159" s="80">
        <f t="shared" si="9"/>
        <v>0</v>
      </c>
      <c r="H159" s="80">
        <f t="shared" si="9"/>
        <v>354899.008</v>
      </c>
      <c r="I159" s="80">
        <f t="shared" si="9"/>
        <v>0</v>
      </c>
      <c r="J159" s="90">
        <f t="shared" si="5"/>
        <v>354899.008</v>
      </c>
      <c r="K159" s="37"/>
    </row>
    <row r="160" spans="2:11" ht="12.75">
      <c r="B160" s="148" t="s">
        <v>347</v>
      </c>
      <c r="C160" s="205"/>
      <c r="D160" s="80">
        <f aca="true" t="shared" si="10" ref="D160:I160">SUM($E$55:$E$57)*52*D152</f>
        <v>0</v>
      </c>
      <c r="E160" s="80">
        <f t="shared" si="10"/>
        <v>0</v>
      </c>
      <c r="F160" s="80">
        <f t="shared" si="10"/>
        <v>0</v>
      </c>
      <c r="G160" s="80">
        <f t="shared" si="10"/>
        <v>0</v>
      </c>
      <c r="H160" s="80">
        <f t="shared" si="10"/>
        <v>0</v>
      </c>
      <c r="I160" s="80">
        <f t="shared" si="10"/>
        <v>0</v>
      </c>
      <c r="J160" s="90">
        <f t="shared" si="5"/>
        <v>0</v>
      </c>
      <c r="K160" s="37"/>
    </row>
    <row r="161" spans="2:11" ht="12.75">
      <c r="B161" s="148" t="s">
        <v>173</v>
      </c>
      <c r="C161" s="205"/>
      <c r="D161" s="80">
        <f>SUM(D143:D144)*($E$26*$E$29+$E$39*$E$42+$E$48)+D143*$E$98+D144*($E$67+$E$73)+SUM(D146:D147)*($F$26*$F$29+$F$39*$F$42+$F$48)+D146*$F$98+D147*($F$67+$F$73)+SUM(D149:D150)*($G$26*$G$29+$G$39*$G$42+$G$48)+D149*$G$98+D150*($G$67+$G$73)+IF(D151&gt;0,$E$13,0)+52*$E$59*D152</f>
        <v>0</v>
      </c>
      <c r="E161" s="80">
        <f>SUM(E143:E144)*($E$26*$E$29+$E$39*$E$42+$E$48)+E143*$E$98+E144*($E$67+$E$73)+SUM(E146:E147)*($F$26*$F$29+$F$39*$F$42+$F$48)+E146*$F$98+E147*($F$67+$F$73)+SUM(E149:E150)*($G$26*$G$29+$G$39*$G$42+$G$48)+E149*$G$98+E150*($G$67+$G$73)+IF(E151&gt;0,$E$13,0)+52*$E$59*E152</f>
        <v>0</v>
      </c>
      <c r="F161" s="80">
        <f>SUM(F143:F144)*($E$26*$E$29+$E$39*$E$42+$E$48)+F143*$E$98+F144*($E$67+$E$73)+SUM(F146:F147)*($F$26*$F$29+$F$39*$F$42+$F$48)+F146*$F$98+F147*($F$67+$F$73)+SUM(F149:F150)*($G$26*$G$29+$G$39*$G$42+$G$48)+F149*$G$98+F150*($G$67+$G$73)+IF(F151&gt;0,$E$13,0)+52*$E$59*F152</f>
        <v>0</v>
      </c>
      <c r="G161" s="80">
        <f>SUM(G143:G144)*($E$26*$E$29+$E$39*$E$42+$E$48)+G143*$E$98+G144*($E$67+$E$73)+SUM(G146:G147)*($F$26*$F$29+$F$39*$F$42+$F$48)+G146*$F$98+G147*($F$67+$F$73)+SUM(G149:G150)*($G$26*$G$29+$G$39*$G$42+$G$48)+G149*$G$98+G150*($G$67+$G$73)+IF(G151&gt;0,$E$13,0)+52*$E$59*G152</f>
        <v>0</v>
      </c>
      <c r="H161" s="80">
        <f>SUM(H143:H144)*($E$26*$E$29+$E$39*$E$42+$E$48)+H143*$E$98+H144*($E$67+$E$73)+SUM(H146:H147)*($F$26*$F$29+$F$39*$F$42+$F$48)+H146*$F$98+H147*($F$67+$F$73)+SUM(H149:H150)*($G$26*$G$29+$G$39*$G$42+$G$48)+H149*$G$98+H150*($G$67+$G$73)+IF(H151&gt;0,$E$13,0)+52*$E$59*H152</f>
        <v>946207.8046632125</v>
      </c>
      <c r="I161" s="80">
        <f>SUM(I143:I144)*($E$26*$E$29+$E$39*$E$42+$E$48)+I143*$E$98+I144*($E$67+$E$73)+SUM(I146:I147)*($F$26*$F$29+$F$39*$F$42+$F$48)+I146*$F$98+I147*($F$67+$F$73)+SUM(I149:I150)*($G$26*$G$29+$G$39*$G$42+$G$48)+I149*$G$98+I150*($G$67+$G$73)+IF(I151&gt;0,$E$13,0)+52*$E$59*I152</f>
        <v>0</v>
      </c>
      <c r="J161" s="90">
        <f t="shared" si="5"/>
        <v>946207.8046632125</v>
      </c>
      <c r="K161" s="37"/>
    </row>
    <row r="162" spans="2:11" ht="12.75">
      <c r="B162" s="148" t="s">
        <v>329</v>
      </c>
      <c r="C162" s="205"/>
      <c r="D162" s="80">
        <f aca="true" t="shared" si="11" ref="D162:I162">SUM(D154:D161)*0.03</f>
        <v>0</v>
      </c>
      <c r="E162" s="80">
        <f t="shared" si="11"/>
        <v>0</v>
      </c>
      <c r="F162" s="80">
        <f t="shared" si="11"/>
        <v>0</v>
      </c>
      <c r="G162" s="80">
        <f t="shared" si="11"/>
        <v>0</v>
      </c>
      <c r="H162" s="80">
        <f>SUM(H154:H161)*0</f>
        <v>0</v>
      </c>
      <c r="I162" s="80">
        <f t="shared" si="11"/>
        <v>0</v>
      </c>
      <c r="J162" s="90">
        <f t="shared" si="5"/>
        <v>0</v>
      </c>
      <c r="K162" s="37"/>
    </row>
    <row r="163" spans="2:11" ht="12.75">
      <c r="B163" s="210"/>
      <c r="C163" s="37"/>
      <c r="D163" s="37"/>
      <c r="E163" s="37"/>
      <c r="F163" s="37"/>
      <c r="G163" s="37"/>
      <c r="H163" s="37"/>
      <c r="I163" s="37"/>
      <c r="J163" s="73"/>
      <c r="K163" s="37"/>
    </row>
    <row r="164" spans="2:11" ht="12.75">
      <c r="B164" s="122" t="s">
        <v>97</v>
      </c>
      <c r="C164" s="79"/>
      <c r="D164" s="89">
        <f aca="true" t="shared" si="12" ref="D164:I164">SUM(D154:D163)</f>
        <v>0</v>
      </c>
      <c r="E164" s="89">
        <f t="shared" si="12"/>
        <v>0</v>
      </c>
      <c r="F164" s="89">
        <f t="shared" si="12"/>
        <v>0</v>
      </c>
      <c r="G164" s="89">
        <f t="shared" si="12"/>
        <v>0</v>
      </c>
      <c r="H164" s="89">
        <f t="shared" si="12"/>
        <v>4046017.043363212</v>
      </c>
      <c r="I164" s="89">
        <f t="shared" si="12"/>
        <v>0</v>
      </c>
      <c r="J164" s="90">
        <f>SUM(D164:I164)</f>
        <v>4046017.043363212</v>
      </c>
      <c r="K164" s="37"/>
    </row>
    <row r="165" spans="2:11" ht="12.75">
      <c r="B165" s="78"/>
      <c r="C165" s="37"/>
      <c r="D165" s="37"/>
      <c r="E165" s="37"/>
      <c r="F165" s="37"/>
      <c r="G165" s="37"/>
      <c r="H165" s="37"/>
      <c r="I165" s="37"/>
      <c r="J165" s="73"/>
      <c r="K165" s="37"/>
    </row>
    <row r="166" spans="2:11" ht="12.75">
      <c r="B166" s="72"/>
      <c r="C166" s="4"/>
      <c r="D166" s="169"/>
      <c r="E166" s="169"/>
      <c r="F166" s="169"/>
      <c r="G166" s="169"/>
      <c r="H166" s="169"/>
      <c r="I166" s="169"/>
      <c r="J166" s="73"/>
      <c r="K166" s="37"/>
    </row>
    <row r="167" spans="2:11" ht="12.75">
      <c r="B167" s="122"/>
      <c r="C167" s="173"/>
      <c r="D167" s="37"/>
      <c r="E167" s="37"/>
      <c r="F167" s="37"/>
      <c r="G167" s="37"/>
      <c r="H167" s="37"/>
      <c r="I167" s="37"/>
      <c r="J167" s="73"/>
      <c r="K167" s="37"/>
    </row>
    <row r="168" spans="2:11" ht="13.5" thickBot="1">
      <c r="B168" s="74"/>
      <c r="C168" s="189"/>
      <c r="D168" s="76"/>
      <c r="E168" s="76"/>
      <c r="F168" s="76"/>
      <c r="G168" s="76"/>
      <c r="H168" s="76"/>
      <c r="I168" s="76"/>
      <c r="J168" s="77"/>
      <c r="K168" s="37"/>
    </row>
    <row r="170" ht="12.75">
      <c r="D170" s="13"/>
    </row>
    <row r="171" spans="2:3" ht="12.75">
      <c r="B171" s="5"/>
      <c r="C171" s="5"/>
    </row>
    <row r="172" spans="2:3" ht="12.75">
      <c r="B172" s="5"/>
      <c r="C172" s="5"/>
    </row>
    <row r="173" spans="2:9" ht="12.75">
      <c r="B173" s="5"/>
      <c r="C173" s="5"/>
      <c r="D173" s="34"/>
      <c r="E173" s="34"/>
      <c r="F173" s="34"/>
      <c r="G173" s="34"/>
      <c r="H173" s="34"/>
      <c r="I173" s="159"/>
    </row>
    <row r="174" spans="2:9" ht="12.75">
      <c r="B174" s="5"/>
      <c r="C174" s="5"/>
      <c r="D174" s="34"/>
      <c r="E174" s="34"/>
      <c r="F174" s="34"/>
      <c r="G174" s="34"/>
      <c r="H174" s="34"/>
      <c r="I174" s="159"/>
    </row>
    <row r="175" spans="2:9" ht="12.75">
      <c r="B175" s="5"/>
      <c r="C175" s="5"/>
      <c r="D175" s="34"/>
      <c r="E175" s="34"/>
      <c r="F175" s="34"/>
      <c r="G175" s="34"/>
      <c r="H175" s="34"/>
      <c r="I175" s="159"/>
    </row>
    <row r="176" spans="2:9" ht="12.75">
      <c r="B176" s="5"/>
      <c r="C176" s="5"/>
      <c r="D176" s="34"/>
      <c r="E176" s="34"/>
      <c r="F176" s="34"/>
      <c r="G176" s="34"/>
      <c r="H176" s="34"/>
      <c r="I176" s="159"/>
    </row>
    <row r="177" spans="2:9" ht="12.75">
      <c r="B177" s="5"/>
      <c r="C177" s="5"/>
      <c r="D177" s="34"/>
      <c r="E177" s="34"/>
      <c r="F177" s="34"/>
      <c r="G177" s="34"/>
      <c r="H177" s="34"/>
      <c r="I177" s="159"/>
    </row>
    <row r="178" spans="2:9" ht="12.75">
      <c r="B178" s="5"/>
      <c r="C178" s="5"/>
      <c r="D178" s="34"/>
      <c r="E178" s="34"/>
      <c r="F178" s="34"/>
      <c r="G178" s="34"/>
      <c r="H178" s="34"/>
      <c r="I178" s="159"/>
    </row>
    <row r="188" spans="2:3" ht="12.75">
      <c r="B188" s="5"/>
      <c r="C188" s="5"/>
    </row>
    <row r="189" spans="2:3" ht="12.75">
      <c r="B189" s="5"/>
      <c r="C189" s="5"/>
    </row>
    <row r="190" spans="2:9" ht="12.75">
      <c r="B190" s="5"/>
      <c r="C190" s="5"/>
      <c r="D190" s="34"/>
      <c r="E190" s="34"/>
      <c r="F190" s="34"/>
      <c r="G190" s="34"/>
      <c r="H190" s="34"/>
      <c r="I190" s="159"/>
    </row>
    <row r="191" spans="2:9" ht="12.75">
      <c r="B191" s="5"/>
      <c r="C191" s="5"/>
      <c r="D191" s="34"/>
      <c r="E191" s="34"/>
      <c r="F191" s="34"/>
      <c r="G191" s="34"/>
      <c r="H191" s="34"/>
      <c r="I191" s="159"/>
    </row>
    <row r="192" spans="2:9" ht="12.75">
      <c r="B192" s="5"/>
      <c r="C192" s="5"/>
      <c r="D192" s="34"/>
      <c r="E192" s="34"/>
      <c r="F192" s="34"/>
      <c r="G192" s="34"/>
      <c r="H192" s="34"/>
      <c r="I192" s="159"/>
    </row>
    <row r="193" spans="2:9" ht="12.75">
      <c r="B193" s="5"/>
      <c r="C193" s="5"/>
      <c r="D193" s="34"/>
      <c r="E193" s="34"/>
      <c r="F193" s="34"/>
      <c r="G193" s="34"/>
      <c r="H193" s="34"/>
      <c r="I193" s="159"/>
    </row>
    <row r="194" spans="2:9" ht="12.75">
      <c r="B194" s="5"/>
      <c r="C194" s="5"/>
      <c r="D194" s="34"/>
      <c r="E194" s="34"/>
      <c r="F194" s="34"/>
      <c r="G194" s="34"/>
      <c r="H194" s="34"/>
      <c r="I194" s="159"/>
    </row>
    <row r="195" spans="2:9" ht="12.75">
      <c r="B195" s="5"/>
      <c r="C195" s="5"/>
      <c r="D195" s="34"/>
      <c r="E195" s="34"/>
      <c r="F195" s="34"/>
      <c r="G195" s="34"/>
      <c r="H195" s="34"/>
      <c r="I195" s="159"/>
    </row>
  </sheetData>
  <mergeCells count="1">
    <mergeCell ref="B3:G3"/>
  </mergeCells>
  <printOptions gridLines="1"/>
  <pageMargins left="0.75" right="0.75" top="1" bottom="3.96" header="0.5" footer="0.5"/>
  <pageSetup fitToHeight="3" fitToWidth="1" horizontalDpi="300" verticalDpi="3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31">
      <selection activeCell="E33" sqref="E33"/>
    </sheetView>
  </sheetViews>
  <sheetFormatPr defaultColWidth="9.140625" defaultRowHeight="12.75"/>
  <cols>
    <col min="1" max="1" width="13.00390625" style="0" customWidth="1"/>
    <col min="2" max="2" width="34.421875" style="0" bestFit="1" customWidth="1"/>
    <col min="3" max="3" width="5.28125" style="0" bestFit="1" customWidth="1"/>
    <col min="4" max="4" width="12.57421875" style="0" bestFit="1" customWidth="1"/>
    <col min="5" max="5" width="9.28125" style="0" bestFit="1" customWidth="1"/>
  </cols>
  <sheetData>
    <row r="1" spans="1:5" ht="15.75">
      <c r="A1" s="215" t="s">
        <v>1</v>
      </c>
      <c r="B1" s="215"/>
      <c r="C1" s="215"/>
      <c r="D1" s="215"/>
      <c r="E1" s="215"/>
    </row>
    <row r="2" spans="1:5" ht="15.75">
      <c r="A2" s="215" t="s">
        <v>92</v>
      </c>
      <c r="B2" s="215"/>
      <c r="C2" s="215"/>
      <c r="D2" s="215"/>
      <c r="E2" s="215"/>
    </row>
    <row r="4" spans="1:5" ht="12.75">
      <c r="A4" s="33" t="s">
        <v>2</v>
      </c>
      <c r="B4" s="33"/>
      <c r="C4" s="33" t="s">
        <v>3</v>
      </c>
      <c r="D4" s="33" t="s">
        <v>136</v>
      </c>
      <c r="E4" s="33" t="s">
        <v>4</v>
      </c>
    </row>
    <row r="6" ht="12.75">
      <c r="A6" t="s">
        <v>96</v>
      </c>
    </row>
    <row r="7" spans="2:5" ht="12.75">
      <c r="B7" t="s">
        <v>195</v>
      </c>
      <c r="C7" t="s">
        <v>5</v>
      </c>
      <c r="D7" s="118">
        <v>89.23</v>
      </c>
      <c r="E7" s="9">
        <v>0.3947</v>
      </c>
    </row>
    <row r="8" spans="2:5" ht="12.75">
      <c r="B8" t="s">
        <v>6</v>
      </c>
      <c r="C8" t="s">
        <v>7</v>
      </c>
      <c r="D8" s="118">
        <v>66.86</v>
      </c>
      <c r="E8" s="9">
        <v>0.3947</v>
      </c>
    </row>
    <row r="9" spans="2:5" ht="12.75">
      <c r="B9" t="s">
        <v>8</v>
      </c>
      <c r="C9" t="s">
        <v>9</v>
      </c>
      <c r="D9" s="118">
        <v>66.86</v>
      </c>
      <c r="E9" s="9">
        <v>0.3947</v>
      </c>
    </row>
    <row r="10" spans="2:5" ht="12.75">
      <c r="B10" t="s">
        <v>10</v>
      </c>
      <c r="C10" t="s">
        <v>11</v>
      </c>
      <c r="D10" s="118">
        <v>55.96</v>
      </c>
      <c r="E10" s="9">
        <v>0.3947</v>
      </c>
    </row>
    <row r="11" spans="2:5" ht="12.75">
      <c r="B11" t="s">
        <v>12</v>
      </c>
      <c r="C11" t="s">
        <v>13</v>
      </c>
      <c r="D11" s="118">
        <v>55.96</v>
      </c>
      <c r="E11" s="9">
        <v>0.3947</v>
      </c>
    </row>
    <row r="12" spans="2:5" ht="12.75">
      <c r="B12" t="s">
        <v>14</v>
      </c>
      <c r="C12" t="s">
        <v>15</v>
      </c>
      <c r="D12" s="118">
        <v>69.28</v>
      </c>
      <c r="E12" s="9">
        <v>0.3947</v>
      </c>
    </row>
    <row r="13" spans="2:5" ht="12.75">
      <c r="B13" t="s">
        <v>16</v>
      </c>
      <c r="C13" t="s">
        <v>17</v>
      </c>
      <c r="D13" s="118">
        <v>47.54</v>
      </c>
      <c r="E13" s="9">
        <v>0.3947</v>
      </c>
    </row>
    <row r="14" spans="2:5" ht="12.75">
      <c r="B14" t="s">
        <v>18</v>
      </c>
      <c r="C14" t="s">
        <v>19</v>
      </c>
      <c r="D14" s="118">
        <v>106.07</v>
      </c>
      <c r="E14" s="9">
        <v>0.3947</v>
      </c>
    </row>
    <row r="15" spans="2:5" ht="12.75">
      <c r="B15" t="s">
        <v>20</v>
      </c>
      <c r="C15" t="s">
        <v>21</v>
      </c>
      <c r="D15" s="118">
        <v>88.86</v>
      </c>
      <c r="E15" s="9">
        <v>0.3947</v>
      </c>
    </row>
    <row r="16" spans="2:5" ht="12.75">
      <c r="B16" t="s">
        <v>22</v>
      </c>
      <c r="C16" t="s">
        <v>23</v>
      </c>
      <c r="D16" s="118">
        <v>52.25</v>
      </c>
      <c r="E16" s="9">
        <v>0.3947</v>
      </c>
    </row>
    <row r="17" spans="2:5" ht="12.75">
      <c r="B17" t="s">
        <v>24</v>
      </c>
      <c r="C17" t="s">
        <v>25</v>
      </c>
      <c r="D17" s="118">
        <v>52.25</v>
      </c>
      <c r="E17" s="9">
        <v>0.3947</v>
      </c>
    </row>
    <row r="18" spans="2:5" ht="12.75">
      <c r="B18" t="s">
        <v>26</v>
      </c>
      <c r="C18" t="s">
        <v>27</v>
      </c>
      <c r="D18" s="118">
        <v>52.25</v>
      </c>
      <c r="E18" s="9">
        <v>0.3947</v>
      </c>
    </row>
    <row r="19" spans="2:5" ht="12.75">
      <c r="B19" t="s">
        <v>28</v>
      </c>
      <c r="C19" t="s">
        <v>29</v>
      </c>
      <c r="D19" s="118">
        <v>52.25</v>
      </c>
      <c r="E19" s="9">
        <v>0.3947</v>
      </c>
    </row>
    <row r="20" spans="2:5" ht="12.75">
      <c r="B20" t="s">
        <v>30</v>
      </c>
      <c r="C20" t="s">
        <v>31</v>
      </c>
      <c r="D20" s="118">
        <v>52.25</v>
      </c>
      <c r="E20" s="9">
        <v>0.3947</v>
      </c>
    </row>
    <row r="21" spans="2:5" ht="12.75">
      <c r="B21" t="s">
        <v>32</v>
      </c>
      <c r="C21" t="s">
        <v>33</v>
      </c>
      <c r="D21" s="118">
        <v>66.86</v>
      </c>
      <c r="E21" s="9">
        <v>0.3947</v>
      </c>
    </row>
    <row r="22" spans="2:5" ht="12.75">
      <c r="B22" t="s">
        <v>34</v>
      </c>
      <c r="C22" t="s">
        <v>35</v>
      </c>
      <c r="D22" s="118">
        <v>69.28</v>
      </c>
      <c r="E22" s="9">
        <v>0.3947</v>
      </c>
    </row>
    <row r="23" spans="2:5" ht="12.75">
      <c r="B23" t="s">
        <v>36</v>
      </c>
      <c r="C23" t="s">
        <v>37</v>
      </c>
      <c r="D23" s="118">
        <v>52.25</v>
      </c>
      <c r="E23" s="9">
        <v>0.3947</v>
      </c>
    </row>
    <row r="24" spans="2:5" ht="12.75">
      <c r="B24" t="s">
        <v>38</v>
      </c>
      <c r="C24" t="s">
        <v>39</v>
      </c>
      <c r="D24" s="118">
        <v>52.25</v>
      </c>
      <c r="E24" s="9">
        <v>0.3947</v>
      </c>
    </row>
    <row r="25" spans="2:5" ht="12.75">
      <c r="B25" t="s">
        <v>40</v>
      </c>
      <c r="C25" t="s">
        <v>41</v>
      </c>
      <c r="D25" s="118">
        <v>52.25</v>
      </c>
      <c r="E25" s="9">
        <v>0.3947</v>
      </c>
    </row>
    <row r="26" spans="2:5" ht="12.75">
      <c r="B26" t="s">
        <v>42</v>
      </c>
      <c r="C26" t="s">
        <v>43</v>
      </c>
      <c r="D26" s="118">
        <v>52.25</v>
      </c>
      <c r="E26" s="9">
        <v>0.3947</v>
      </c>
    </row>
    <row r="27" spans="2:5" ht="12.75">
      <c r="B27" t="s">
        <v>44</v>
      </c>
      <c r="C27" t="s">
        <v>45</v>
      </c>
      <c r="D27" s="118">
        <v>52.25</v>
      </c>
      <c r="E27" s="9">
        <v>0.3947</v>
      </c>
    </row>
    <row r="28" spans="2:5" ht="12.75">
      <c r="B28" t="s">
        <v>46</v>
      </c>
      <c r="C28" t="s">
        <v>47</v>
      </c>
      <c r="D28" s="118">
        <v>52.25</v>
      </c>
      <c r="E28" s="9">
        <v>0.3947</v>
      </c>
    </row>
    <row r="29" spans="2:5" ht="12.75">
      <c r="B29" t="s">
        <v>48</v>
      </c>
      <c r="C29" t="s">
        <v>49</v>
      </c>
      <c r="D29" s="118">
        <v>52.25</v>
      </c>
      <c r="E29" s="9">
        <v>0.3947</v>
      </c>
    </row>
    <row r="30" spans="2:5" ht="12.75">
      <c r="B30" t="s">
        <v>50</v>
      </c>
      <c r="C30" t="s">
        <v>51</v>
      </c>
      <c r="D30" s="118">
        <v>52.25</v>
      </c>
      <c r="E30" s="9">
        <v>0.3947</v>
      </c>
    </row>
    <row r="31" spans="2:5" ht="12.75">
      <c r="B31" t="s">
        <v>52</v>
      </c>
      <c r="C31" t="s">
        <v>53</v>
      </c>
      <c r="D31" s="118">
        <v>52.25</v>
      </c>
      <c r="E31" s="9">
        <v>0.3947</v>
      </c>
    </row>
    <row r="32" spans="2:5" ht="12.75">
      <c r="B32" t="s">
        <v>54</v>
      </c>
      <c r="C32" t="s">
        <v>55</v>
      </c>
      <c r="D32" s="118">
        <v>52.25</v>
      </c>
      <c r="E32" s="9">
        <v>0.3947</v>
      </c>
    </row>
    <row r="33" spans="2:5" ht="12.75">
      <c r="B33" t="s">
        <v>56</v>
      </c>
      <c r="C33" t="s">
        <v>57</v>
      </c>
      <c r="D33" s="118">
        <v>52.25</v>
      </c>
      <c r="E33" s="9">
        <v>0.3947</v>
      </c>
    </row>
    <row r="34" spans="2:5" ht="12.75">
      <c r="B34" t="s">
        <v>58</v>
      </c>
      <c r="C34" t="s">
        <v>59</v>
      </c>
      <c r="D34" s="118">
        <v>42.25</v>
      </c>
      <c r="E34" s="9">
        <v>0.3947</v>
      </c>
    </row>
    <row r="35" spans="4:5" ht="12.75">
      <c r="D35" s="118"/>
      <c r="E35" s="9"/>
    </row>
    <row r="36" spans="1:5" ht="12.75">
      <c r="A36" t="s">
        <v>60</v>
      </c>
      <c r="D36" s="118"/>
      <c r="E36" s="9"/>
    </row>
    <row r="37" spans="2:5" ht="12.75">
      <c r="B37" t="s">
        <v>61</v>
      </c>
      <c r="C37" t="s">
        <v>62</v>
      </c>
      <c r="D37" s="118">
        <v>131.05</v>
      </c>
      <c r="E37" s="9">
        <v>0.1705</v>
      </c>
    </row>
    <row r="38" spans="2:5" ht="12.75">
      <c r="B38" t="s">
        <v>63</v>
      </c>
      <c r="C38" t="s">
        <v>64</v>
      </c>
      <c r="D38" s="119" t="s">
        <v>65</v>
      </c>
      <c r="E38" s="9">
        <v>0.1705</v>
      </c>
    </row>
    <row r="39" spans="2:5" ht="12.75">
      <c r="B39" t="s">
        <v>66</v>
      </c>
      <c r="C39" t="s">
        <v>67</v>
      </c>
      <c r="D39" s="119" t="s">
        <v>65</v>
      </c>
      <c r="E39" s="9">
        <v>0.1705</v>
      </c>
    </row>
    <row r="40" spans="4:5" ht="12.75">
      <c r="D40" s="118"/>
      <c r="E40" s="9"/>
    </row>
    <row r="41" spans="1:5" ht="12.75">
      <c r="A41" t="s">
        <v>68</v>
      </c>
      <c r="D41" s="118"/>
      <c r="E41" s="9"/>
    </row>
    <row r="42" spans="2:5" ht="12.75">
      <c r="B42" t="s">
        <v>69</v>
      </c>
      <c r="C42" t="s">
        <v>70</v>
      </c>
      <c r="D42" s="118">
        <v>92.83</v>
      </c>
      <c r="E42" s="9">
        <v>0.1205</v>
      </c>
    </row>
    <row r="43" spans="2:5" ht="12.75">
      <c r="B43" t="s">
        <v>71</v>
      </c>
      <c r="C43" t="s">
        <v>72</v>
      </c>
      <c r="D43" s="118">
        <v>78.35</v>
      </c>
      <c r="E43" s="9">
        <v>0.1205</v>
      </c>
    </row>
    <row r="44" spans="2:5" ht="12.75">
      <c r="B44" t="s">
        <v>73</v>
      </c>
      <c r="C44" t="s">
        <v>74</v>
      </c>
      <c r="D44" s="118">
        <v>94.65</v>
      </c>
      <c r="E44" s="9">
        <v>0.1205</v>
      </c>
    </row>
    <row r="45" spans="2:5" ht="12.75">
      <c r="B45" t="s">
        <v>75</v>
      </c>
      <c r="C45" t="s">
        <v>76</v>
      </c>
      <c r="D45" s="118">
        <v>78.35</v>
      </c>
      <c r="E45" s="9">
        <v>0.1205</v>
      </c>
    </row>
    <row r="46" spans="2:5" ht="12.75">
      <c r="B46" t="s">
        <v>77</v>
      </c>
      <c r="C46" t="s">
        <v>74</v>
      </c>
      <c r="D46" s="118">
        <v>78.35</v>
      </c>
      <c r="E46" s="9">
        <v>0.1205</v>
      </c>
    </row>
    <row r="47" spans="2:5" ht="12.75">
      <c r="B47" t="s">
        <v>78</v>
      </c>
      <c r="C47" t="s">
        <v>79</v>
      </c>
      <c r="D47" s="118">
        <v>78.35</v>
      </c>
      <c r="E47" s="9">
        <v>0.1205</v>
      </c>
    </row>
    <row r="48" spans="4:5" ht="12.75">
      <c r="D48" s="118"/>
      <c r="E48" s="9"/>
    </row>
    <row r="49" spans="1:5" ht="12.75">
      <c r="A49" t="s">
        <v>98</v>
      </c>
      <c r="D49" s="118"/>
      <c r="E49" s="9"/>
    </row>
    <row r="50" spans="2:5" ht="12.75">
      <c r="B50" t="s">
        <v>80</v>
      </c>
      <c r="C50" t="s">
        <v>81</v>
      </c>
      <c r="D50" s="119" t="s">
        <v>82</v>
      </c>
      <c r="E50" s="9">
        <v>0.2524</v>
      </c>
    </row>
    <row r="51" spans="2:5" ht="12.75">
      <c r="B51" t="s">
        <v>83</v>
      </c>
      <c r="C51" t="s">
        <v>84</v>
      </c>
      <c r="D51" s="119" t="s">
        <v>82</v>
      </c>
      <c r="E51" s="9">
        <v>0.1319</v>
      </c>
    </row>
    <row r="52" spans="2:6" ht="12.75">
      <c r="B52" t="s">
        <v>85</v>
      </c>
      <c r="C52" t="s">
        <v>86</v>
      </c>
      <c r="D52" s="119" t="s">
        <v>82</v>
      </c>
      <c r="E52" s="9">
        <v>0.1319</v>
      </c>
      <c r="F52" t="s">
        <v>87</v>
      </c>
    </row>
    <row r="53" spans="2:5" ht="12.75">
      <c r="B53" t="s">
        <v>88</v>
      </c>
      <c r="C53" t="s">
        <v>89</v>
      </c>
      <c r="D53" s="119" t="s">
        <v>82</v>
      </c>
      <c r="E53" s="9">
        <v>0.0819</v>
      </c>
    </row>
    <row r="54" spans="4:5" ht="12.75">
      <c r="D54" s="118"/>
      <c r="E54" s="9"/>
    </row>
    <row r="55" spans="1:5" ht="12.75">
      <c r="A55" t="s">
        <v>316</v>
      </c>
      <c r="B55" t="s">
        <v>0</v>
      </c>
      <c r="C55" t="s">
        <v>90</v>
      </c>
      <c r="D55" s="119" t="s">
        <v>91</v>
      </c>
      <c r="E55" s="9">
        <v>0.2524</v>
      </c>
    </row>
  </sheetData>
  <mergeCells count="2">
    <mergeCell ref="A1:E1"/>
    <mergeCell ref="A2:E2"/>
  </mergeCells>
  <printOptions/>
  <pageMargins left="0.75" right="0.43" top="0.18" bottom="0.17" header="0.18" footer="0.17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4"/>
  <sheetViews>
    <sheetView workbookViewId="0" topLeftCell="A1">
      <selection activeCell="J20" sqref="J20"/>
    </sheetView>
  </sheetViews>
  <sheetFormatPr defaultColWidth="9.140625" defaultRowHeight="12.75"/>
  <cols>
    <col min="1" max="1" width="2.7109375" style="0" customWidth="1"/>
    <col min="2" max="2" width="21.57421875" style="0" customWidth="1"/>
    <col min="3" max="3" width="9.57421875" style="0" customWidth="1"/>
    <col min="4" max="4" width="15.140625" style="0" customWidth="1"/>
    <col min="5" max="5" width="9.28125" style="9" bestFit="1" customWidth="1"/>
    <col min="6" max="6" width="16.8515625" style="0" customWidth="1"/>
    <col min="7" max="7" width="17.8515625" style="0" customWidth="1"/>
    <col min="8" max="8" width="11.8515625" style="0" customWidth="1"/>
    <col min="9" max="9" width="10.00390625" style="0" customWidth="1"/>
    <col min="10" max="10" width="15.57421875" style="0" customWidth="1"/>
    <col min="11" max="11" width="11.28125" style="0" customWidth="1"/>
    <col min="12" max="12" width="7.421875" style="0" customWidth="1"/>
    <col min="13" max="13" width="16.421875" style="0" customWidth="1"/>
    <col min="14" max="14" width="13.421875" style="0" customWidth="1"/>
  </cols>
  <sheetData>
    <row r="2" ht="18">
      <c r="B2" s="8" t="s">
        <v>369</v>
      </c>
    </row>
    <row r="3" spans="2:6" ht="12.75">
      <c r="B3" s="1" t="s">
        <v>370</v>
      </c>
      <c r="F3" s="10" t="s">
        <v>371</v>
      </c>
    </row>
    <row r="4" spans="1:8" ht="12.75">
      <c r="A4" s="1" t="s">
        <v>207</v>
      </c>
      <c r="B4" s="3"/>
      <c r="H4" s="5"/>
    </row>
    <row r="5" spans="1:13" ht="12.75">
      <c r="A5" s="1" t="s">
        <v>208</v>
      </c>
      <c r="F5" s="11"/>
      <c r="H5" s="1"/>
      <c r="M5" s="11"/>
    </row>
    <row r="6" spans="6:13" ht="12.75">
      <c r="F6" s="11"/>
      <c r="H6" t="s">
        <v>136</v>
      </c>
      <c r="M6" s="11"/>
    </row>
    <row r="7" spans="2:13" ht="12.75">
      <c r="B7" t="s">
        <v>137</v>
      </c>
      <c r="D7" s="12"/>
      <c r="F7" s="13">
        <v>59849.78</v>
      </c>
      <c r="M7" s="13"/>
    </row>
    <row r="8" spans="2:13" ht="12.75">
      <c r="B8" t="s">
        <v>138</v>
      </c>
      <c r="E8" s="9">
        <v>0.185</v>
      </c>
      <c r="F8" s="13">
        <f>F7*E8</f>
        <v>11072.2093</v>
      </c>
      <c r="L8" s="14"/>
      <c r="M8" s="13"/>
    </row>
    <row r="9" spans="2:13" ht="12.75">
      <c r="B9" t="s">
        <v>139</v>
      </c>
      <c r="E9" s="9">
        <v>0.41</v>
      </c>
      <c r="F9" s="13">
        <f>SUM(F7:F8)*E9</f>
        <v>29078.015613</v>
      </c>
      <c r="L9" s="14"/>
      <c r="M9" s="13"/>
    </row>
    <row r="10" spans="2:14" ht="12.75">
      <c r="B10" s="5" t="s">
        <v>140</v>
      </c>
      <c r="F10" s="13"/>
      <c r="G10" s="15">
        <f>SUM(F7:F9)</f>
        <v>100000.004913</v>
      </c>
      <c r="H10">
        <v>1</v>
      </c>
      <c r="J10" s="20">
        <f>F7/G10</f>
        <v>0.5984977705958046</v>
      </c>
      <c r="L10" s="14"/>
      <c r="M10" s="13"/>
      <c r="N10" s="13"/>
    </row>
    <row r="11" spans="2:13" ht="12.75">
      <c r="B11" t="s">
        <v>141</v>
      </c>
      <c r="E11" s="229">
        <v>0.0178</v>
      </c>
      <c r="F11" s="13">
        <f>E11*G10</f>
        <v>1780.0000874513998</v>
      </c>
      <c r="L11" s="9"/>
      <c r="M11" s="13"/>
    </row>
    <row r="12" spans="2:13" ht="12.75">
      <c r="B12" t="s">
        <v>209</v>
      </c>
      <c r="E12" s="9">
        <v>0.166</v>
      </c>
      <c r="F12" s="13">
        <f>E12*F11</f>
        <v>295.4800145169324</v>
      </c>
      <c r="L12" s="9"/>
      <c r="M12" s="13"/>
    </row>
    <row r="13" spans="2:13" ht="12.75">
      <c r="B13" t="s">
        <v>142</v>
      </c>
      <c r="E13" s="229">
        <v>0.0868</v>
      </c>
      <c r="F13" s="13">
        <f>SUM(F7:F9)*E13</f>
        <v>8680.0004264484</v>
      </c>
      <c r="L13" s="9"/>
      <c r="M13" s="13"/>
    </row>
    <row r="14" spans="2:13" ht="12.75">
      <c r="B14" t="s">
        <v>143</v>
      </c>
      <c r="E14" s="229">
        <v>0.0257</v>
      </c>
      <c r="F14" s="13">
        <f>SUM(F7:F9)*E14</f>
        <v>2570.0001262641</v>
      </c>
      <c r="L14" s="9"/>
      <c r="M14" s="13"/>
    </row>
    <row r="15" spans="2:13" ht="12.75">
      <c r="B15" t="s">
        <v>144</v>
      </c>
      <c r="E15" s="229">
        <v>0</v>
      </c>
      <c r="F15" s="13">
        <f>SUM(F7:F9)*E15</f>
        <v>0</v>
      </c>
      <c r="L15" s="9"/>
      <c r="M15" s="13"/>
    </row>
    <row r="16" spans="2:13" ht="12.75">
      <c r="B16" t="s">
        <v>145</v>
      </c>
      <c r="E16" s="229">
        <v>0.0195</v>
      </c>
      <c r="F16" s="13">
        <f>SUM(F7:F9)*E16</f>
        <v>1950.0000958035</v>
      </c>
      <c r="L16" s="9"/>
      <c r="M16" s="13"/>
    </row>
    <row r="17" spans="2:13" ht="12.75">
      <c r="B17" t="s">
        <v>146</v>
      </c>
      <c r="E17" s="229">
        <v>0.0079</v>
      </c>
      <c r="F17" s="13">
        <f>SUM(F7:F9)*E17</f>
        <v>790.0000388127</v>
      </c>
      <c r="L17" s="9"/>
      <c r="M17" s="13"/>
    </row>
    <row r="18" spans="2:13" ht="12.75">
      <c r="B18" t="s">
        <v>147</v>
      </c>
      <c r="E18" s="229">
        <v>0.0318</v>
      </c>
      <c r="F18" s="13">
        <f>SUM(F7:F9)*E18</f>
        <v>3180.0001562334</v>
      </c>
      <c r="L18" s="9"/>
      <c r="M18" s="13"/>
    </row>
    <row r="19" spans="2:13" ht="12.75">
      <c r="B19" s="4" t="s">
        <v>148</v>
      </c>
      <c r="F19" s="13"/>
      <c r="G19" s="15">
        <f>SUM(F11:F18)</f>
        <v>19245.48094553043</v>
      </c>
      <c r="H19" s="9">
        <f>G19/G10</f>
        <v>0.19245479999999998</v>
      </c>
      <c r="L19" s="9"/>
      <c r="M19" s="13"/>
    </row>
    <row r="20" spans="2:13" ht="12.75">
      <c r="B20" t="s">
        <v>149</v>
      </c>
      <c r="E20" s="9">
        <v>0.175</v>
      </c>
      <c r="F20" s="13">
        <f>E20*F7</f>
        <v>10473.7115</v>
      </c>
      <c r="H20" s="9"/>
      <c r="L20" s="9"/>
      <c r="M20" s="13"/>
    </row>
    <row r="21" spans="2:13" ht="12.75">
      <c r="B21" t="s">
        <v>150</v>
      </c>
      <c r="E21" s="9">
        <v>0.175</v>
      </c>
      <c r="F21" s="13">
        <f>E21*F8</f>
        <v>1937.6366275</v>
      </c>
      <c r="H21" s="9"/>
      <c r="L21" s="9"/>
      <c r="M21" s="13"/>
    </row>
    <row r="22" spans="2:13" ht="12.75">
      <c r="B22" t="s">
        <v>151</v>
      </c>
      <c r="E22" s="9">
        <v>0.175</v>
      </c>
      <c r="F22" s="13">
        <f>E22*F9</f>
        <v>5088.652732275</v>
      </c>
      <c r="H22" s="9"/>
      <c r="L22" s="9"/>
      <c r="M22" s="13"/>
    </row>
    <row r="23" spans="2:13" ht="12.75">
      <c r="B23" t="s">
        <v>152</v>
      </c>
      <c r="E23" s="9">
        <v>0.175</v>
      </c>
      <c r="F23" s="13">
        <f>E23*F11</f>
        <v>311.5000153039949</v>
      </c>
      <c r="H23" s="9"/>
      <c r="L23" s="9"/>
      <c r="M23" s="13"/>
    </row>
    <row r="24" spans="2:13" ht="12.75">
      <c r="B24" t="s">
        <v>210</v>
      </c>
      <c r="E24" s="9">
        <v>0.175</v>
      </c>
      <c r="F24" s="13">
        <f>E24*F12</f>
        <v>51.70900254046317</v>
      </c>
      <c r="H24" s="9"/>
      <c r="L24" s="9"/>
      <c r="M24" s="13"/>
    </row>
    <row r="25" spans="2:13" ht="12.75">
      <c r="B25" t="s">
        <v>153</v>
      </c>
      <c r="E25" s="9">
        <v>0.175</v>
      </c>
      <c r="F25" s="13">
        <f>E25*F13</f>
        <v>1519.0000746284697</v>
      </c>
      <c r="H25" s="9"/>
      <c r="L25" s="9"/>
      <c r="M25" s="13"/>
    </row>
    <row r="26" spans="2:13" ht="12.75">
      <c r="B26" t="s">
        <v>154</v>
      </c>
      <c r="E26" s="9">
        <v>0.175</v>
      </c>
      <c r="F26" s="13">
        <f>E26*SUM(F15:F18)</f>
        <v>1036.00005089868</v>
      </c>
      <c r="H26" s="9"/>
      <c r="L26" s="9"/>
      <c r="M26" s="13"/>
    </row>
    <row r="27" spans="2:13" ht="12.75">
      <c r="B27" t="s">
        <v>155</v>
      </c>
      <c r="E27" s="9">
        <v>0</v>
      </c>
      <c r="F27" s="13">
        <f>E27*F14</f>
        <v>0</v>
      </c>
      <c r="H27" s="9"/>
      <c r="L27" s="14"/>
      <c r="M27" s="13"/>
    </row>
    <row r="28" spans="2:13" ht="12.75">
      <c r="B28" s="4" t="s">
        <v>156</v>
      </c>
      <c r="F28" s="13"/>
      <c r="G28" s="15">
        <f>SUM(F20:F27)</f>
        <v>20418.210003146607</v>
      </c>
      <c r="H28" s="9">
        <f>G28/G10</f>
        <v>0.20418208999999998</v>
      </c>
      <c r="L28" s="14"/>
      <c r="M28" s="13"/>
    </row>
    <row r="29" spans="2:8" ht="12.75">
      <c r="B29" s="5" t="s">
        <v>157</v>
      </c>
      <c r="G29" s="15">
        <f>SUM(F11:F27)</f>
        <v>39663.69094867704</v>
      </c>
      <c r="H29" s="9">
        <f>G29/G10</f>
        <v>0.39663688999999996</v>
      </c>
    </row>
    <row r="30" spans="2:13" ht="12.75">
      <c r="B30" t="s">
        <v>135</v>
      </c>
      <c r="F30" s="13">
        <f>SUM(F7:F29)</f>
        <v>139663.69586167703</v>
      </c>
      <c r="H30" s="9"/>
      <c r="M30" s="13"/>
    </row>
    <row r="31" spans="2:8" ht="12.75">
      <c r="B31" s="5" t="s">
        <v>158</v>
      </c>
      <c r="E31" s="9">
        <v>0</v>
      </c>
      <c r="F31" s="13">
        <f>F30*E31</f>
        <v>0</v>
      </c>
      <c r="G31" s="15">
        <f>F31</f>
        <v>0</v>
      </c>
      <c r="H31" s="9">
        <f>G31/G10</f>
        <v>0</v>
      </c>
    </row>
    <row r="32" spans="2:8" ht="12.75">
      <c r="B32" s="5" t="s">
        <v>159</v>
      </c>
      <c r="F32" s="13"/>
      <c r="G32" s="15">
        <f>G28+G19+G31</f>
        <v>39663.69094867704</v>
      </c>
      <c r="H32" s="9">
        <f>G32/G10</f>
        <v>0.39663688999999996</v>
      </c>
    </row>
    <row r="33" spans="2:8" ht="12.75">
      <c r="B33" s="5"/>
      <c r="F33" s="13"/>
      <c r="G33" s="15"/>
      <c r="H33" s="9"/>
    </row>
    <row r="34" spans="2:8" ht="12.75">
      <c r="B34" s="5" t="s">
        <v>97</v>
      </c>
      <c r="F34" s="13">
        <f>SUM(F30:F31)</f>
        <v>139663.69586167703</v>
      </c>
      <c r="G34" s="15">
        <f>F34</f>
        <v>139663.69586167703</v>
      </c>
      <c r="H34" s="9"/>
    </row>
    <row r="35" ht="13.5" thickBot="1"/>
    <row r="36" spans="2:13" ht="13.5" thickBot="1">
      <c r="B36" s="16" t="s">
        <v>160</v>
      </c>
      <c r="C36" s="17"/>
      <c r="D36" s="17"/>
      <c r="E36" s="18"/>
      <c r="F36" s="19">
        <f>F34/SUM(F7:F9)-1</f>
        <v>0.3966368899999999</v>
      </c>
      <c r="G36" s="5"/>
      <c r="H36" s="5"/>
      <c r="I36" s="5"/>
      <c r="J36" s="5"/>
      <c r="K36" s="5"/>
      <c r="L36" s="5"/>
      <c r="M36" s="20"/>
    </row>
    <row r="38" spans="1:13" ht="12.75">
      <c r="A38" s="1" t="s">
        <v>161</v>
      </c>
      <c r="F38" s="13"/>
      <c r="G38" s="1" t="s">
        <v>162</v>
      </c>
      <c r="H38" s="1" t="s">
        <v>163</v>
      </c>
      <c r="I38" s="1" t="s">
        <v>164</v>
      </c>
      <c r="J38" s="1" t="s">
        <v>97</v>
      </c>
      <c r="M38" s="13"/>
    </row>
    <row r="39" spans="6:13" ht="12.75">
      <c r="F39" s="13"/>
      <c r="M39" s="13"/>
    </row>
    <row r="40" spans="2:13" ht="12.75">
      <c r="B40" t="s">
        <v>165</v>
      </c>
      <c r="F40" s="13">
        <v>100000</v>
      </c>
      <c r="M40" s="13"/>
    </row>
    <row r="41" spans="2:13" ht="12.75">
      <c r="B41" t="s">
        <v>149</v>
      </c>
      <c r="E41" s="9">
        <v>0.175</v>
      </c>
      <c r="F41" s="13">
        <f>F40*E41</f>
        <v>17500</v>
      </c>
      <c r="L41" s="9"/>
      <c r="M41" s="13"/>
    </row>
    <row r="42" spans="6:13" ht="12.75">
      <c r="F42" s="13"/>
      <c r="L42" s="9"/>
      <c r="M42" s="13"/>
    </row>
    <row r="43" spans="2:13" ht="12.75">
      <c r="B43" t="s">
        <v>135</v>
      </c>
      <c r="F43" s="13">
        <f>SUM(F40:F42)</f>
        <v>117500</v>
      </c>
      <c r="G43" s="9">
        <v>0</v>
      </c>
      <c r="H43" s="9">
        <f>F41/F40</f>
        <v>0.175</v>
      </c>
      <c r="J43" s="9">
        <f>F41/F40</f>
        <v>0.175</v>
      </c>
      <c r="L43" s="9"/>
      <c r="M43" s="13"/>
    </row>
    <row r="44" spans="2:13" ht="12.75">
      <c r="B44" t="s">
        <v>166</v>
      </c>
      <c r="E44" s="9">
        <v>0</v>
      </c>
      <c r="F44" s="13">
        <f>F43*E44</f>
        <v>0</v>
      </c>
      <c r="L44" s="9"/>
      <c r="M44" s="13"/>
    </row>
    <row r="45" spans="2:13" ht="12.75">
      <c r="B45" t="s">
        <v>97</v>
      </c>
      <c r="F45" s="13">
        <f>SUM(F43:F44)</f>
        <v>117500</v>
      </c>
      <c r="L45" s="9"/>
      <c r="M45" s="13"/>
    </row>
    <row r="46" spans="6:13" ht="13.5" thickBot="1">
      <c r="F46" s="13"/>
      <c r="L46" s="9"/>
      <c r="M46" s="13"/>
    </row>
    <row r="47" spans="2:13" ht="13.5" thickBot="1">
      <c r="B47" s="16" t="s">
        <v>167</v>
      </c>
      <c r="C47" s="17"/>
      <c r="D47" s="17"/>
      <c r="E47" s="18"/>
      <c r="F47" s="19">
        <f>F45/F40-1</f>
        <v>0.17500000000000004</v>
      </c>
      <c r="G47" s="9">
        <v>0</v>
      </c>
      <c r="H47" s="9">
        <f>E41</f>
        <v>0.175</v>
      </c>
      <c r="I47" s="9">
        <f>F44/F40</f>
        <v>0</v>
      </c>
      <c r="J47" s="5"/>
      <c r="K47" s="5"/>
      <c r="L47" s="20"/>
      <c r="M47" s="20"/>
    </row>
    <row r="48" spans="2:13" ht="12.75">
      <c r="B48" s="5"/>
      <c r="C48" s="5"/>
      <c r="D48" s="5"/>
      <c r="E48" s="20"/>
      <c r="F48" s="20"/>
      <c r="G48" s="20"/>
      <c r="H48" s="5"/>
      <c r="I48" s="5"/>
      <c r="J48" s="5"/>
      <c r="K48" s="5"/>
      <c r="L48" s="20"/>
      <c r="M48" s="20"/>
    </row>
    <row r="49" spans="2:13" ht="12.75">
      <c r="B49" s="5"/>
      <c r="C49" s="5"/>
      <c r="D49" s="5"/>
      <c r="E49" s="20"/>
      <c r="F49" s="20"/>
      <c r="G49" s="20"/>
      <c r="H49" s="5"/>
      <c r="I49" s="5"/>
      <c r="J49" s="5"/>
      <c r="K49" s="5"/>
      <c r="L49" s="20"/>
      <c r="M49" s="20"/>
    </row>
    <row r="50" spans="1:13" ht="12.75">
      <c r="A50" s="1" t="s">
        <v>168</v>
      </c>
      <c r="F50" s="13"/>
      <c r="G50" s="9"/>
      <c r="H50" s="1"/>
      <c r="M50" s="13"/>
    </row>
    <row r="51" spans="6:13" ht="12.75">
      <c r="F51" s="13"/>
      <c r="G51" s="9"/>
      <c r="M51" s="13"/>
    </row>
    <row r="52" spans="2:13" ht="12.75">
      <c r="B52" t="s">
        <v>165</v>
      </c>
      <c r="F52" s="13">
        <v>100000</v>
      </c>
      <c r="G52" s="9"/>
      <c r="M52" s="13"/>
    </row>
    <row r="53" spans="2:13" ht="12.75">
      <c r="B53" t="s">
        <v>149</v>
      </c>
      <c r="E53" s="9">
        <v>0.12</v>
      </c>
      <c r="F53" s="13">
        <f>F52*E53</f>
        <v>12000</v>
      </c>
      <c r="G53" s="9"/>
      <c r="L53" s="9"/>
      <c r="M53" s="13"/>
    </row>
    <row r="54" spans="6:13" ht="12.75">
      <c r="F54" s="13"/>
      <c r="G54" s="9"/>
      <c r="L54" s="9"/>
      <c r="M54" s="13"/>
    </row>
    <row r="55" spans="2:13" ht="12.75">
      <c r="B55" t="s">
        <v>135</v>
      </c>
      <c r="F55" s="13">
        <f>SUM(F52:F54)</f>
        <v>112000</v>
      </c>
      <c r="G55" s="9">
        <v>0</v>
      </c>
      <c r="H55" s="9">
        <f>F53/F52</f>
        <v>0.12</v>
      </c>
      <c r="J55" s="9">
        <f>F53/F52</f>
        <v>0.12</v>
      </c>
      <c r="L55" s="9"/>
      <c r="M55" s="13"/>
    </row>
    <row r="56" spans="2:13" ht="12.75">
      <c r="B56" t="s">
        <v>166</v>
      </c>
      <c r="E56" s="9">
        <v>0</v>
      </c>
      <c r="F56" s="13">
        <f>F55*E56</f>
        <v>0</v>
      </c>
      <c r="G56" s="9"/>
      <c r="L56" s="9"/>
      <c r="M56" s="13"/>
    </row>
    <row r="57" spans="2:13" ht="12.75">
      <c r="B57" t="s">
        <v>97</v>
      </c>
      <c r="F57" s="13">
        <f>SUM(F55:F56)</f>
        <v>112000</v>
      </c>
      <c r="G57" s="9"/>
      <c r="L57" s="9"/>
      <c r="M57" s="13"/>
    </row>
    <row r="58" spans="6:13" ht="13.5" thickBot="1">
      <c r="F58" s="13"/>
      <c r="G58" s="9"/>
      <c r="L58" s="9"/>
      <c r="M58" s="13"/>
    </row>
    <row r="59" spans="2:13" ht="13.5" thickBot="1">
      <c r="B59" s="16" t="s">
        <v>167</v>
      </c>
      <c r="C59" s="17"/>
      <c r="D59" s="17"/>
      <c r="E59" s="18"/>
      <c r="F59" s="19">
        <f>F57/F52-1</f>
        <v>0.1200000000000001</v>
      </c>
      <c r="G59" s="21">
        <v>0</v>
      </c>
      <c r="H59" s="21">
        <f>E53</f>
        <v>0.12</v>
      </c>
      <c r="I59" s="7">
        <f>F56/F52</f>
        <v>0</v>
      </c>
      <c r="J59" s="5"/>
      <c r="K59" s="5"/>
      <c r="L59" s="20"/>
      <c r="M59" s="20"/>
    </row>
    <row r="60" spans="2:13" ht="12.75">
      <c r="B60" s="5"/>
      <c r="C60" s="5"/>
      <c r="D60" s="5"/>
      <c r="E60" s="20"/>
      <c r="F60" s="20"/>
      <c r="G60" s="5"/>
      <c r="H60" s="5"/>
      <c r="I60" s="5"/>
      <c r="J60" s="5"/>
      <c r="K60" s="5"/>
      <c r="L60" s="20"/>
      <c r="M60" s="20"/>
    </row>
    <row r="61" spans="6:12" ht="12.75">
      <c r="F61" s="13"/>
      <c r="L61" s="9"/>
    </row>
    <row r="62" spans="1:13" ht="12.75">
      <c r="A62" s="1" t="s">
        <v>169</v>
      </c>
      <c r="F62" s="13"/>
      <c r="H62" s="1"/>
      <c r="L62" s="9"/>
      <c r="M62" s="13"/>
    </row>
    <row r="63" spans="6:13" ht="12.75">
      <c r="F63" s="13"/>
      <c r="L63" s="9"/>
      <c r="M63" s="13"/>
    </row>
    <row r="64" spans="2:13" ht="12.75">
      <c r="B64" t="s">
        <v>170</v>
      </c>
      <c r="F64" s="13">
        <v>100000</v>
      </c>
      <c r="L64" s="9"/>
      <c r="M64" s="13"/>
    </row>
    <row r="65" spans="2:13" ht="12.75">
      <c r="B65" t="s">
        <v>171</v>
      </c>
      <c r="E65" s="9">
        <v>0.07</v>
      </c>
      <c r="F65" s="13">
        <f>F64*E65</f>
        <v>7000.000000000001</v>
      </c>
      <c r="G65" s="9"/>
      <c r="L65" s="9"/>
      <c r="M65" s="13"/>
    </row>
    <row r="66" spans="2:13" ht="12.75">
      <c r="B66" t="s">
        <v>149</v>
      </c>
      <c r="E66" s="9">
        <v>0.175</v>
      </c>
      <c r="F66" s="13">
        <f>E66*F64</f>
        <v>17500</v>
      </c>
      <c r="L66" s="9"/>
      <c r="M66" s="13"/>
    </row>
    <row r="67" spans="2:13" ht="12.75">
      <c r="B67" t="s">
        <v>172</v>
      </c>
      <c r="E67" s="9">
        <v>0.175</v>
      </c>
      <c r="F67" s="13">
        <f>E67*F65</f>
        <v>1225</v>
      </c>
      <c r="L67" s="9"/>
      <c r="M67" s="13"/>
    </row>
    <row r="68" spans="6:13" ht="12.75">
      <c r="F68" s="13"/>
      <c r="L68" s="9"/>
      <c r="M68" s="13"/>
    </row>
    <row r="69" spans="2:13" ht="12.75">
      <c r="B69" t="s">
        <v>135</v>
      </c>
      <c r="F69" s="13">
        <f>SUM(F64:F68)</f>
        <v>125725</v>
      </c>
      <c r="G69" s="9">
        <f>E65</f>
        <v>0.07</v>
      </c>
      <c r="H69" s="9">
        <f>(F69-F64-F65)/F64</f>
        <v>0.18725</v>
      </c>
      <c r="J69" s="9">
        <f>F69/F64-1</f>
        <v>0.25725</v>
      </c>
      <c r="L69" s="9"/>
      <c r="M69" s="13"/>
    </row>
    <row r="70" spans="2:13" ht="12.75">
      <c r="B70" t="s">
        <v>166</v>
      </c>
      <c r="E70" s="9">
        <v>0</v>
      </c>
      <c r="F70" s="13">
        <f>F69*E70</f>
        <v>0</v>
      </c>
      <c r="L70" s="9"/>
      <c r="M70" s="13"/>
    </row>
    <row r="71" spans="2:13" ht="12.75">
      <c r="B71" t="s">
        <v>97</v>
      </c>
      <c r="F71" s="13">
        <f>SUM(F69:F70)</f>
        <v>125725</v>
      </c>
      <c r="L71" s="9"/>
      <c r="M71" s="13"/>
    </row>
    <row r="72" spans="6:13" ht="13.5" thickBot="1">
      <c r="F72" s="13"/>
      <c r="L72" s="9"/>
      <c r="M72" s="13"/>
    </row>
    <row r="73" spans="2:13" ht="13.5" thickBot="1">
      <c r="B73" s="16" t="s">
        <v>173</v>
      </c>
      <c r="C73" s="17"/>
      <c r="D73" s="17"/>
      <c r="E73" s="18"/>
      <c r="F73" s="19">
        <f>F71/F64-1</f>
        <v>0.25725</v>
      </c>
      <c r="G73" s="5"/>
      <c r="H73" s="5"/>
      <c r="I73" s="9">
        <f>F70/F64</f>
        <v>0</v>
      </c>
      <c r="J73" s="5"/>
      <c r="K73" s="5"/>
      <c r="L73" s="20"/>
      <c r="M73" s="20"/>
    </row>
    <row r="74" spans="6:12" ht="12.75">
      <c r="F74" s="13"/>
      <c r="L74" s="9"/>
    </row>
    <row r="75" spans="1:13" ht="12.75">
      <c r="A75" s="1" t="s">
        <v>174</v>
      </c>
      <c r="F75" s="13"/>
      <c r="H75" s="1"/>
      <c r="L75" s="9"/>
      <c r="M75" s="13"/>
    </row>
    <row r="76" spans="6:13" ht="12.75">
      <c r="F76" s="13"/>
      <c r="L76" s="9"/>
      <c r="M76" s="13"/>
    </row>
    <row r="77" spans="2:13" ht="12.75">
      <c r="B77" t="s">
        <v>170</v>
      </c>
      <c r="F77" s="13">
        <v>100000</v>
      </c>
      <c r="L77" s="9"/>
      <c r="M77" s="13"/>
    </row>
    <row r="78" spans="2:13" ht="12.75">
      <c r="B78" t="s">
        <v>171</v>
      </c>
      <c r="E78" s="9">
        <v>0.07</v>
      </c>
      <c r="F78" s="13">
        <f>F77*E78</f>
        <v>7000.000000000001</v>
      </c>
      <c r="L78" s="9"/>
      <c r="M78" s="13"/>
    </row>
    <row r="79" spans="2:13" ht="12.75">
      <c r="B79" t="s">
        <v>175</v>
      </c>
      <c r="E79" s="9">
        <v>0.055</v>
      </c>
      <c r="F79" s="13">
        <f>E79*F77</f>
        <v>5500</v>
      </c>
      <c r="H79" s="2"/>
      <c r="L79" s="9"/>
      <c r="M79" s="13"/>
    </row>
    <row r="80" spans="2:13" ht="12.75">
      <c r="B80" t="s">
        <v>172</v>
      </c>
      <c r="E80" s="9">
        <v>0.175</v>
      </c>
      <c r="F80" s="13">
        <f>E80*F78</f>
        <v>1225</v>
      </c>
      <c r="L80" s="9"/>
      <c r="M80" s="13"/>
    </row>
    <row r="81" spans="6:13" ht="12.75">
      <c r="F81" s="13"/>
      <c r="M81" s="13"/>
    </row>
    <row r="82" spans="2:13" ht="12.75">
      <c r="B82" t="s">
        <v>97</v>
      </c>
      <c r="F82" s="13">
        <f>SUM(F77:F81)</f>
        <v>113725</v>
      </c>
      <c r="G82" s="9">
        <f>E78</f>
        <v>0.07</v>
      </c>
      <c r="H82" s="9">
        <f>(F82-F77-F78)/F77</f>
        <v>0.06724999999999999</v>
      </c>
      <c r="I82" s="9"/>
      <c r="J82" s="9">
        <f>F82/F77-1</f>
        <v>0.1372500000000001</v>
      </c>
      <c r="M82" s="13"/>
    </row>
    <row r="83" spans="2:13" ht="12.75">
      <c r="B83" t="s">
        <v>166</v>
      </c>
      <c r="E83" s="9">
        <v>0</v>
      </c>
      <c r="F83" s="13">
        <f>F82*E83</f>
        <v>0</v>
      </c>
      <c r="M83" s="13"/>
    </row>
    <row r="84" spans="6:13" ht="12.75">
      <c r="F84" s="13">
        <f>SUM(F82:F83)</f>
        <v>113725</v>
      </c>
      <c r="M84" s="13"/>
    </row>
    <row r="85" spans="6:13" ht="13.5" thickBot="1">
      <c r="F85" s="13"/>
      <c r="M85" s="13"/>
    </row>
    <row r="86" spans="2:13" ht="13.5" thickBot="1">
      <c r="B86" s="16" t="s">
        <v>173</v>
      </c>
      <c r="C86" s="17"/>
      <c r="D86" s="17"/>
      <c r="E86" s="18"/>
      <c r="F86" s="19">
        <f>F84/F77-1</f>
        <v>0.1372500000000001</v>
      </c>
      <c r="G86" s="9">
        <f>E78</f>
        <v>0.07</v>
      </c>
      <c r="H86" s="9">
        <f>SUM(F79:F80)/F77</f>
        <v>0.06725</v>
      </c>
      <c r="I86" s="9">
        <f>F83/F77</f>
        <v>0</v>
      </c>
      <c r="J86" s="5"/>
      <c r="K86" s="5"/>
      <c r="L86" s="5"/>
      <c r="M86" s="20"/>
    </row>
    <row r="87" spans="6:13" ht="12.75">
      <c r="F87" s="9"/>
      <c r="M87" s="9"/>
    </row>
    <row r="88" spans="6:13" ht="12.75">
      <c r="F88" s="9"/>
      <c r="M88" s="9"/>
    </row>
    <row r="89" spans="1:13" ht="12.75">
      <c r="A89" s="1" t="s">
        <v>176</v>
      </c>
      <c r="F89" s="13"/>
      <c r="H89" s="1"/>
      <c r="L89" s="9"/>
      <c r="M89" s="13"/>
    </row>
    <row r="90" spans="6:13" ht="12.75">
      <c r="F90" s="13"/>
      <c r="L90" s="9"/>
      <c r="M90" s="13"/>
    </row>
    <row r="91" spans="2:13" ht="12.75">
      <c r="B91" t="s">
        <v>170</v>
      </c>
      <c r="F91" s="13">
        <v>600000</v>
      </c>
      <c r="L91" s="9"/>
      <c r="M91" s="13"/>
    </row>
    <row r="92" spans="2:13" ht="12.75">
      <c r="B92" t="s">
        <v>372</v>
      </c>
      <c r="E92" s="9" t="s">
        <v>177</v>
      </c>
      <c r="F92" s="13">
        <v>42000</v>
      </c>
      <c r="L92" s="9"/>
      <c r="M92" s="13"/>
    </row>
    <row r="93" spans="2:13" ht="12.75">
      <c r="B93" t="s">
        <v>373</v>
      </c>
      <c r="E93" s="9" t="s">
        <v>177</v>
      </c>
      <c r="F93" s="13">
        <v>33000</v>
      </c>
      <c r="H93" s="2"/>
      <c r="L93" s="9"/>
      <c r="M93" s="13"/>
    </row>
    <row r="94" spans="2:13" ht="12.75">
      <c r="B94" t="s">
        <v>172</v>
      </c>
      <c r="E94" s="9">
        <v>0.175</v>
      </c>
      <c r="F94" s="13">
        <f>E94*F92</f>
        <v>7349.999999999999</v>
      </c>
      <c r="L94" s="9"/>
      <c r="M94" s="13"/>
    </row>
    <row r="95" spans="6:13" ht="12.75">
      <c r="F95" s="13"/>
      <c r="M95" s="13"/>
    </row>
    <row r="96" spans="2:13" ht="12.75">
      <c r="B96" t="s">
        <v>135</v>
      </c>
      <c r="F96" s="13">
        <f>SUM(F91:F95)</f>
        <v>682350</v>
      </c>
      <c r="M96" s="13"/>
    </row>
    <row r="97" spans="2:13" ht="12.75">
      <c r="B97" t="s">
        <v>166</v>
      </c>
      <c r="E97" s="9">
        <v>0</v>
      </c>
      <c r="F97" s="13">
        <f>F96*E97</f>
        <v>0</v>
      </c>
      <c r="M97" s="13"/>
    </row>
    <row r="98" spans="2:13" ht="12.75">
      <c r="B98" t="s">
        <v>97</v>
      </c>
      <c r="F98" s="13">
        <f>SUM(F96:F97)</f>
        <v>682350</v>
      </c>
      <c r="M98" s="13"/>
    </row>
    <row r="99" spans="6:13" ht="13.5" thickBot="1">
      <c r="F99" s="13"/>
      <c r="M99" s="13"/>
    </row>
    <row r="100" spans="2:13" ht="13.5" thickBot="1">
      <c r="B100" s="16" t="s">
        <v>178</v>
      </c>
      <c r="C100" s="17"/>
      <c r="D100" s="17"/>
      <c r="E100" s="18"/>
      <c r="F100" s="19">
        <f>F98/F91-1</f>
        <v>0.1372500000000001</v>
      </c>
      <c r="G100" s="5"/>
      <c r="H100" s="5"/>
      <c r="I100" s="5"/>
      <c r="J100" s="5"/>
      <c r="K100" s="5"/>
      <c r="L100" s="5"/>
      <c r="M100" s="20"/>
    </row>
    <row r="101" spans="6:13" ht="12.75">
      <c r="F101" s="14"/>
      <c r="M101" s="14"/>
    </row>
    <row r="102" ht="12.75">
      <c r="F102" s="13"/>
    </row>
    <row r="103" spans="1:13" ht="12.75">
      <c r="A103" s="1" t="s">
        <v>179</v>
      </c>
      <c r="F103" s="13"/>
      <c r="H103" s="1"/>
      <c r="M103" s="13"/>
    </row>
    <row r="104" spans="6:13" ht="12.75">
      <c r="F104" s="13"/>
      <c r="M104" s="13"/>
    </row>
    <row r="105" spans="2:13" ht="12.75">
      <c r="B105" t="s">
        <v>170</v>
      </c>
      <c r="F105" s="13">
        <v>100000</v>
      </c>
      <c r="M105" s="13"/>
    </row>
    <row r="106" spans="2:13" ht="12.75">
      <c r="B106" t="s">
        <v>171</v>
      </c>
      <c r="E106" s="9">
        <v>0.07</v>
      </c>
      <c r="F106" s="13">
        <f>F105*E106</f>
        <v>7000.000000000001</v>
      </c>
      <c r="L106" s="9"/>
      <c r="M106" s="13"/>
    </row>
    <row r="107" spans="2:13" ht="12.75">
      <c r="B107" t="s">
        <v>172</v>
      </c>
      <c r="E107" s="9">
        <v>0.175</v>
      </c>
      <c r="F107" s="13">
        <f>E107*F106</f>
        <v>1225</v>
      </c>
      <c r="L107" s="9"/>
      <c r="M107" s="13"/>
    </row>
    <row r="108" spans="6:13" ht="12.75">
      <c r="F108" s="13"/>
      <c r="M108" s="13"/>
    </row>
    <row r="109" spans="2:13" ht="12.75">
      <c r="B109" t="s">
        <v>135</v>
      </c>
      <c r="F109" s="13">
        <f>SUM(F105:F108)</f>
        <v>108225</v>
      </c>
      <c r="M109" s="13"/>
    </row>
    <row r="110" spans="2:13" ht="12.75">
      <c r="B110" t="s">
        <v>166</v>
      </c>
      <c r="E110" s="9">
        <v>0</v>
      </c>
      <c r="F110" s="13">
        <f>F109*E110</f>
        <v>0</v>
      </c>
      <c r="M110" s="13"/>
    </row>
    <row r="111" spans="2:13" ht="12.75">
      <c r="B111" t="s">
        <v>97</v>
      </c>
      <c r="F111" s="13">
        <f>SUM(F109:F110)</f>
        <v>108225</v>
      </c>
      <c r="M111" s="13"/>
    </row>
    <row r="112" spans="6:13" ht="13.5" thickBot="1">
      <c r="F112" s="13"/>
      <c r="M112" s="13"/>
    </row>
    <row r="113" spans="2:13" ht="13.5" thickBot="1">
      <c r="B113" s="16" t="s">
        <v>173</v>
      </c>
      <c r="C113" s="22"/>
      <c r="D113" s="22"/>
      <c r="E113" s="23"/>
      <c r="F113" s="19">
        <f>F111/F105-1</f>
        <v>0.08224999999999993</v>
      </c>
      <c r="I113" s="5"/>
      <c r="M113" s="20"/>
    </row>
    <row r="115" spans="1:13" ht="12.75">
      <c r="A115" s="1" t="s">
        <v>180</v>
      </c>
      <c r="F115" s="13"/>
      <c r="H115" s="1"/>
      <c r="M115" s="13"/>
    </row>
    <row r="116" spans="6:13" ht="12.75">
      <c r="F116" s="13"/>
      <c r="M116" s="13"/>
    </row>
    <row r="117" spans="2:13" ht="12.75">
      <c r="B117" t="s">
        <v>170</v>
      </c>
      <c r="F117" s="13">
        <v>600000</v>
      </c>
      <c r="M117" s="13"/>
    </row>
    <row r="118" spans="2:13" ht="12.75">
      <c r="B118" t="s">
        <v>211</v>
      </c>
      <c r="E118" s="9" t="s">
        <v>177</v>
      </c>
      <c r="F118" s="13">
        <f>0.07*600000</f>
        <v>42000.00000000001</v>
      </c>
      <c r="L118" s="9"/>
      <c r="M118" s="13"/>
    </row>
    <row r="119" spans="2:13" ht="12.75">
      <c r="B119" t="s">
        <v>172</v>
      </c>
      <c r="E119" s="9">
        <v>0.175</v>
      </c>
      <c r="F119" s="13">
        <f>E119*F118</f>
        <v>7350.000000000001</v>
      </c>
      <c r="L119" s="9"/>
      <c r="M119" s="13"/>
    </row>
    <row r="120" spans="6:13" ht="12.75">
      <c r="F120" s="13"/>
      <c r="M120" s="13"/>
    </row>
    <row r="121" spans="2:13" ht="12.75">
      <c r="B121" t="s">
        <v>135</v>
      </c>
      <c r="F121" s="13">
        <f>SUM(F117:F120)</f>
        <v>649350</v>
      </c>
      <c r="M121" s="13"/>
    </row>
    <row r="122" spans="2:13" ht="12.75">
      <c r="B122" t="s">
        <v>166</v>
      </c>
      <c r="E122" s="9">
        <v>0</v>
      </c>
      <c r="F122" s="13">
        <f>F121*E122</f>
        <v>0</v>
      </c>
      <c r="M122" s="13"/>
    </row>
    <row r="123" spans="2:13" ht="12.75">
      <c r="B123" t="s">
        <v>97</v>
      </c>
      <c r="F123" s="13">
        <f>SUM(F121:F122)</f>
        <v>649350</v>
      </c>
      <c r="M123" s="13"/>
    </row>
    <row r="124" spans="6:13" ht="13.5" thickBot="1">
      <c r="F124" s="13"/>
      <c r="M124" s="13"/>
    </row>
    <row r="125" spans="2:13" ht="13.5" thickBot="1">
      <c r="B125" s="16" t="s">
        <v>178</v>
      </c>
      <c r="C125" s="22"/>
      <c r="D125" s="22"/>
      <c r="E125" s="23"/>
      <c r="F125" s="19">
        <f>F123/F117-1</f>
        <v>0.08224999999999993</v>
      </c>
      <c r="I125" s="5"/>
      <c r="M125" s="20"/>
    </row>
    <row r="127" spans="2:7" ht="12.75">
      <c r="B127" s="5" t="s">
        <v>181</v>
      </c>
      <c r="F127" s="5" t="s">
        <v>198</v>
      </c>
      <c r="G127" s="5" t="s">
        <v>198</v>
      </c>
    </row>
    <row r="128" spans="3:8" ht="12.75">
      <c r="C128" s="6" t="s">
        <v>182</v>
      </c>
      <c r="F128" s="6" t="s">
        <v>182</v>
      </c>
      <c r="G128" s="6" t="s">
        <v>202</v>
      </c>
      <c r="H128" s="6" t="s">
        <v>206</v>
      </c>
    </row>
    <row r="129" spans="2:8" ht="12.75">
      <c r="B129" t="s">
        <v>183</v>
      </c>
      <c r="C129" s="161">
        <v>53.58</v>
      </c>
      <c r="D129" t="s">
        <v>184</v>
      </c>
      <c r="F129" s="13">
        <f aca="true" t="shared" si="0" ref="F129:F134">C129*(1+$F$36)</f>
        <v>74.83180456619999</v>
      </c>
      <c r="G129" s="13">
        <f aca="true" t="shared" si="1" ref="G129:G134">F129*$D$144</f>
        <v>131329.817013681</v>
      </c>
      <c r="H129" s="13">
        <f aca="true" t="shared" si="2" ref="H129:H134">G129*0.25</f>
        <v>32832.45425342025</v>
      </c>
    </row>
    <row r="130" spans="2:8" ht="12.75">
      <c r="B130" t="s">
        <v>185</v>
      </c>
      <c r="C130" s="161">
        <v>67.95</v>
      </c>
      <c r="D130" t="s">
        <v>184</v>
      </c>
      <c r="E130" s="20"/>
      <c r="F130" s="13">
        <f t="shared" si="0"/>
        <v>94.90147667549999</v>
      </c>
      <c r="G130" s="13">
        <f t="shared" si="1"/>
        <v>166552.0915655025</v>
      </c>
      <c r="H130" s="13">
        <f t="shared" si="2"/>
        <v>41638.02289137562</v>
      </c>
    </row>
    <row r="131" spans="2:8" ht="12.75">
      <c r="B131" t="s">
        <v>186</v>
      </c>
      <c r="C131" s="162">
        <v>58.11</v>
      </c>
      <c r="D131" t="s">
        <v>184</v>
      </c>
      <c r="E131" s="25"/>
      <c r="F131" s="13">
        <f t="shared" si="0"/>
        <v>81.15856967789999</v>
      </c>
      <c r="G131" s="13">
        <f t="shared" si="1"/>
        <v>142433.2897847145</v>
      </c>
      <c r="H131" s="13">
        <f t="shared" si="2"/>
        <v>35608.32244617862</v>
      </c>
    </row>
    <row r="132" spans="2:10" ht="12.75">
      <c r="B132" t="s">
        <v>374</v>
      </c>
      <c r="C132" s="162">
        <v>90.86</v>
      </c>
      <c r="D132" t="s">
        <v>184</v>
      </c>
      <c r="E132" s="25"/>
      <c r="F132" s="13">
        <f t="shared" si="0"/>
        <v>126.89842782539999</v>
      </c>
      <c r="G132" s="13">
        <f t="shared" si="1"/>
        <v>222706.74083357697</v>
      </c>
      <c r="H132" s="13">
        <f t="shared" si="2"/>
        <v>55676.68520839424</v>
      </c>
      <c r="I132" t="s">
        <v>205</v>
      </c>
      <c r="J132" s="13">
        <f>(G132+G130)/2</f>
        <v>194629.41619953973</v>
      </c>
    </row>
    <row r="133" spans="2:8" ht="12.75">
      <c r="B133" s="39" t="s">
        <v>212</v>
      </c>
      <c r="C133" s="163">
        <v>48.73</v>
      </c>
      <c r="D133" t="s">
        <v>184</v>
      </c>
      <c r="E133" s="25"/>
      <c r="F133" s="13">
        <f t="shared" si="0"/>
        <v>68.05811564969999</v>
      </c>
      <c r="G133" s="13">
        <f t="shared" si="1"/>
        <v>119441.99296522347</v>
      </c>
      <c r="H133" s="13">
        <f t="shared" si="2"/>
        <v>29860.498241305868</v>
      </c>
    </row>
    <row r="134" spans="2:8" ht="12.75">
      <c r="B134" s="39" t="s">
        <v>213</v>
      </c>
      <c r="C134" s="163">
        <v>108.52</v>
      </c>
      <c r="D134" t="s">
        <v>184</v>
      </c>
      <c r="E134" s="25"/>
      <c r="F134" s="13">
        <f t="shared" si="0"/>
        <v>151.5630353028</v>
      </c>
      <c r="G134" s="13">
        <f t="shared" si="1"/>
        <v>265993.12695641397</v>
      </c>
      <c r="H134" s="13">
        <f t="shared" si="2"/>
        <v>66498.28173910349</v>
      </c>
    </row>
    <row r="135" spans="2:5" ht="12.75">
      <c r="B135" t="s">
        <v>214</v>
      </c>
      <c r="D135" s="26"/>
      <c r="E135" s="25"/>
    </row>
    <row r="136" ht="12.75">
      <c r="B136" s="5" t="s">
        <v>188</v>
      </c>
    </row>
    <row r="138" spans="2:7" ht="12.75">
      <c r="B138" t="s">
        <v>189</v>
      </c>
      <c r="C138" s="230">
        <v>99.4</v>
      </c>
      <c r="D138" t="s">
        <v>184</v>
      </c>
      <c r="F138" s="13">
        <f>C138*(1+$F$59)</f>
        <v>111.32800000000002</v>
      </c>
      <c r="G138" s="13">
        <f>F138*$D$144</f>
        <v>195380.64000000004</v>
      </c>
    </row>
    <row r="139" spans="2:7" ht="12.75">
      <c r="B139" t="s">
        <v>190</v>
      </c>
      <c r="C139" s="230">
        <v>83.2</v>
      </c>
      <c r="D139" t="s">
        <v>184</v>
      </c>
      <c r="F139" s="13">
        <f>C139*(1+$F$59)</f>
        <v>93.18400000000001</v>
      </c>
      <c r="G139" s="13">
        <f>F139*$D$144</f>
        <v>163537.92</v>
      </c>
    </row>
    <row r="140" spans="2:7" ht="12.75">
      <c r="B140" t="s">
        <v>191</v>
      </c>
      <c r="C140" s="230">
        <v>100.95</v>
      </c>
      <c r="F140" s="13">
        <f>C140*(1+$F$59)</f>
        <v>113.06400000000001</v>
      </c>
      <c r="G140" s="13">
        <f>F140*$D$144</f>
        <v>198427.32</v>
      </c>
    </row>
    <row r="141" spans="2:7" ht="12.75">
      <c r="B141" t="s">
        <v>192</v>
      </c>
      <c r="C141" s="230">
        <v>67.05</v>
      </c>
      <c r="D141" t="s">
        <v>184</v>
      </c>
      <c r="F141" s="13">
        <f>C141*(1+$F$59)</f>
        <v>75.096</v>
      </c>
      <c r="G141" s="13">
        <f>F141*$D$144</f>
        <v>131793.48</v>
      </c>
    </row>
    <row r="142" spans="2:7" ht="12.75">
      <c r="B142" t="s">
        <v>193</v>
      </c>
      <c r="C142" s="230">
        <v>54.95</v>
      </c>
      <c r="D142" t="s">
        <v>184</v>
      </c>
      <c r="F142" s="13">
        <f>C142*(1+$F$59)</f>
        <v>61.54400000000001</v>
      </c>
      <c r="G142" s="13">
        <f>F142*$D$144</f>
        <v>108009.72000000002</v>
      </c>
    </row>
    <row r="144" spans="2:4" ht="12.75">
      <c r="B144" s="27" t="s">
        <v>194</v>
      </c>
      <c r="D144" s="28">
        <v>1755</v>
      </c>
    </row>
  </sheetData>
  <printOptions gridLines="1"/>
  <pageMargins left="0.75" right="0.75" top="1" bottom="1" header="0.5" footer="0.5"/>
  <pageSetup fitToHeight="3" fitToWidth="1" horizontalDpi="300" verticalDpi="300" orientation="portrait" scale="6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I58"/>
  <sheetViews>
    <sheetView workbookViewId="0" topLeftCell="A1">
      <selection activeCell="A7" sqref="A7"/>
    </sheetView>
  </sheetViews>
  <sheetFormatPr defaultColWidth="9.140625" defaultRowHeight="12.75"/>
  <cols>
    <col min="1" max="1" width="43.8515625" style="0" customWidth="1"/>
    <col min="2" max="2" width="9.7109375" style="0" bestFit="1" customWidth="1"/>
    <col min="3" max="3" width="12.8515625" style="0" customWidth="1"/>
    <col min="4" max="4" width="10.28125" style="0" bestFit="1" customWidth="1"/>
    <col min="5" max="5" width="19.00390625" style="0" customWidth="1"/>
    <col min="6" max="6" width="7.57421875" style="0" customWidth="1"/>
    <col min="7" max="7" width="11.00390625" style="0" customWidth="1"/>
  </cols>
  <sheetData>
    <row r="1" spans="1:6" ht="15.75">
      <c r="A1" s="216" t="s">
        <v>263</v>
      </c>
      <c r="B1" s="217"/>
      <c r="C1" s="217"/>
      <c r="D1" s="217"/>
      <c r="E1" s="218"/>
      <c r="F1" s="54"/>
    </row>
    <row r="2" spans="1:6" ht="15.75">
      <c r="A2" s="219" t="s">
        <v>264</v>
      </c>
      <c r="B2" s="220"/>
      <c r="C2" s="220"/>
      <c r="D2" s="220"/>
      <c r="E2" s="221"/>
      <c r="F2" s="55"/>
    </row>
    <row r="3" spans="1:6" ht="15.75">
      <c r="A3" s="219" t="s">
        <v>292</v>
      </c>
      <c r="B3" s="222"/>
      <c r="C3" s="222"/>
      <c r="D3" s="222"/>
      <c r="E3" s="223"/>
      <c r="F3" s="2"/>
    </row>
    <row r="4" spans="1:6" ht="12.75">
      <c r="A4" s="224" t="s">
        <v>319</v>
      </c>
      <c r="B4" s="224"/>
      <c r="C4" s="224"/>
      <c r="D4" s="224"/>
      <c r="E4" s="224"/>
      <c r="F4" s="2"/>
    </row>
    <row r="5" spans="1:6" ht="15.75">
      <c r="A5" s="57" t="s">
        <v>265</v>
      </c>
      <c r="B5" s="2"/>
      <c r="C5" s="2"/>
      <c r="D5" s="33" t="s">
        <v>260</v>
      </c>
      <c r="E5" s="33" t="s">
        <v>266</v>
      </c>
      <c r="F5" s="33"/>
    </row>
    <row r="6" spans="1:6" ht="12.75">
      <c r="A6" s="58" t="s">
        <v>291</v>
      </c>
      <c r="B6" s="2"/>
      <c r="C6" s="2"/>
      <c r="D6" s="71">
        <v>85</v>
      </c>
      <c r="E6" s="28">
        <v>168</v>
      </c>
      <c r="F6" s="28"/>
    </row>
    <row r="7" spans="1:6" ht="12.75">
      <c r="A7" s="2" t="s">
        <v>345</v>
      </c>
      <c r="B7" s="2"/>
      <c r="C7" s="2"/>
      <c r="D7" s="33" t="s">
        <v>246</v>
      </c>
      <c r="E7" s="2"/>
      <c r="F7" s="2"/>
    </row>
    <row r="8" spans="1:6" ht="12.75">
      <c r="A8" s="2"/>
      <c r="B8" s="2"/>
      <c r="C8" s="2"/>
      <c r="D8" s="33"/>
      <c r="E8" s="2"/>
      <c r="F8" s="2"/>
    </row>
    <row r="9" spans="2:4" ht="12.75">
      <c r="B9" s="33" t="s">
        <v>216</v>
      </c>
      <c r="C9" s="33" t="s">
        <v>267</v>
      </c>
      <c r="D9" s="33" t="s">
        <v>268</v>
      </c>
    </row>
    <row r="10" spans="1:6" ht="12.75">
      <c r="A10" s="5" t="s">
        <v>269</v>
      </c>
      <c r="B10" s="3"/>
      <c r="C10" s="3"/>
      <c r="D10" s="3"/>
      <c r="E10" s="6" t="s">
        <v>199</v>
      </c>
      <c r="F10" s="6"/>
    </row>
    <row r="11" spans="1:6" ht="12.75">
      <c r="A11" t="s">
        <v>234</v>
      </c>
      <c r="B11" s="59"/>
      <c r="C11" s="59"/>
      <c r="D11" s="59"/>
      <c r="E11" s="59"/>
      <c r="F11" s="60"/>
    </row>
    <row r="12" spans="1:6" ht="12.75">
      <c r="A12" t="s">
        <v>235</v>
      </c>
      <c r="B12" s="59">
        <f>3*E6*G14*1.15</f>
        <v>39383.82</v>
      </c>
      <c r="C12" s="59">
        <f>B12*'Labor and Indirect Rates (NSF)'!$H$19</f>
        <v>7579.6052013359995</v>
      </c>
      <c r="D12" s="59">
        <f>C12*'Labor and Indirect Rates (NSF)'!$H$29</f>
        <v>3006.3510344857345</v>
      </c>
      <c r="E12" s="59">
        <f>SUM(B12:D12)</f>
        <v>49969.77623582174</v>
      </c>
      <c r="F12" s="29"/>
    </row>
    <row r="13" spans="1:8" ht="12.75">
      <c r="A13" t="s">
        <v>270</v>
      </c>
      <c r="B13" s="59">
        <f>1*E6*(G13+G14)/2/2</f>
        <v>6670.02</v>
      </c>
      <c r="C13" s="59">
        <f>B13*'Labor and Indirect Rates (NSF)'!$H$19</f>
        <v>1283.677365096</v>
      </c>
      <c r="D13" s="59">
        <f>C13*'Labor and Indirect Rates (NSF)'!$H$29</f>
        <v>509.1537978550719</v>
      </c>
      <c r="E13" s="59">
        <f>SUM(B13:D13)</f>
        <v>8462.851162951072</v>
      </c>
      <c r="F13" s="29"/>
      <c r="G13" s="61">
        <f>'Labor and Indirect Rates (NSF)'!C132</f>
        <v>90.86</v>
      </c>
      <c r="H13" t="s">
        <v>271</v>
      </c>
    </row>
    <row r="14" spans="1:8" ht="12.75">
      <c r="A14" t="s">
        <v>237</v>
      </c>
      <c r="B14" s="59">
        <f>E6*G15*1.15</f>
        <v>10351.655999999999</v>
      </c>
      <c r="C14" s="59">
        <f>B14*'Labor and Indirect Rates (NSF)'!$H$19</f>
        <v>1992.2258851487995</v>
      </c>
      <c r="D14" s="59">
        <f>C14*'Labor and Indirect Rates (NSF)'!$H$29</f>
        <v>790.190279262917</v>
      </c>
      <c r="E14" s="59">
        <f>SUM(B14:D14)</f>
        <v>13134.072164411717</v>
      </c>
      <c r="F14" s="29"/>
      <c r="G14" s="61">
        <f>'Labor and Indirect Rates (NSF)'!C130</f>
        <v>67.95</v>
      </c>
      <c r="H14" t="s">
        <v>272</v>
      </c>
    </row>
    <row r="15" spans="1:8" ht="12.75">
      <c r="A15" t="s">
        <v>238</v>
      </c>
      <c r="B15" s="59">
        <f>E6*G15*1.15</f>
        <v>10351.655999999999</v>
      </c>
      <c r="C15" s="59">
        <f>B15*'Labor and Indirect Rates (NSF)'!$H$19</f>
        <v>1992.2258851487995</v>
      </c>
      <c r="D15" s="59">
        <f>C15*'Labor and Indirect Rates (NSF)'!$H$29</f>
        <v>790.190279262917</v>
      </c>
      <c r="E15" s="59">
        <f>SUM(B15:D15)</f>
        <v>13134.072164411717</v>
      </c>
      <c r="F15" s="29"/>
      <c r="G15" s="61">
        <f>'Labor and Indirect Rates (NSF)'!C129</f>
        <v>53.58</v>
      </c>
      <c r="H15" t="s">
        <v>273</v>
      </c>
    </row>
    <row r="16" spans="2:6" ht="12.75">
      <c r="B16" s="59"/>
      <c r="C16" s="59"/>
      <c r="D16" s="59"/>
      <c r="E16" s="59"/>
      <c r="F16" s="29"/>
    </row>
    <row r="17" spans="1:9" ht="12.75">
      <c r="A17" t="s">
        <v>274</v>
      </c>
      <c r="B17" s="59">
        <f>E6/168*20600*1.01*1.03</f>
        <v>21430.18</v>
      </c>
      <c r="C17" s="59">
        <f>B17*0</f>
        <v>0</v>
      </c>
      <c r="D17" s="59">
        <f>B17*'Labor and Indirect Rates (NSF)'!$H$55</f>
        <v>2571.6216</v>
      </c>
      <c r="E17" s="59">
        <f>SUM(B17:D17)</f>
        <v>24001.8016</v>
      </c>
      <c r="F17" s="29"/>
      <c r="G17" s="27" t="s">
        <v>194</v>
      </c>
      <c r="I17" s="28">
        <f>'Labor and Indirect Rates (NSF)'!D144</f>
        <v>1755</v>
      </c>
    </row>
    <row r="18" spans="1:6" ht="12.75">
      <c r="A18" t="s">
        <v>275</v>
      </c>
      <c r="B18" s="59">
        <f>E6/168*51500*1.03*1.03</f>
        <v>54636.35</v>
      </c>
      <c r="C18" s="59">
        <f>B18*'Labor and Indirect Rates (NSF)'!$G$69</f>
        <v>3824.5445000000004</v>
      </c>
      <c r="D18" s="59">
        <f>B18*'Labor and Indirect Rates (NSF)'!$H$69</f>
        <v>10230.6565375</v>
      </c>
      <c r="E18" s="59">
        <f>SUM(B18:D18)</f>
        <v>68691.5510375</v>
      </c>
      <c r="F18" s="29"/>
    </row>
    <row r="19" spans="1:6" ht="12.75">
      <c r="A19" t="s">
        <v>276</v>
      </c>
      <c r="B19" s="59">
        <f>E6/168*18540*1.03*1.03</f>
        <v>19669.086000000003</v>
      </c>
      <c r="C19" s="59">
        <f>B19*'Labor and Indirect Rates (NSF)'!$G$82</f>
        <v>1376.8360200000004</v>
      </c>
      <c r="D19" s="59">
        <f>B19*'Labor and Indirect Rates (NSF)'!$H$86</f>
        <v>1322.7460335000003</v>
      </c>
      <c r="E19" s="59">
        <f>SUM(B19:D19)</f>
        <v>22368.6680535</v>
      </c>
      <c r="F19" s="29"/>
    </row>
    <row r="20" spans="2:6" ht="12.75">
      <c r="B20" s="59"/>
      <c r="C20" s="59"/>
      <c r="D20" s="59"/>
      <c r="E20" s="59"/>
      <c r="F20" s="29"/>
    </row>
    <row r="21" spans="1:7" ht="12.75">
      <c r="A21" s="5" t="s">
        <v>277</v>
      </c>
      <c r="B21" s="59"/>
      <c r="C21" s="59"/>
      <c r="D21" s="59"/>
      <c r="E21" s="59"/>
      <c r="F21" s="29"/>
      <c r="G21" s="30"/>
    </row>
    <row r="22" spans="1:7" ht="12.75">
      <c r="A22" t="s">
        <v>278</v>
      </c>
      <c r="B22" s="59">
        <f>2*E6*G15*1.15</f>
        <v>20703.311999999998</v>
      </c>
      <c r="C22" s="59">
        <f>B22*'Labor and Indirect Rates (NSF)'!$H$19</f>
        <v>3984.451770297599</v>
      </c>
      <c r="D22" s="59">
        <f>C22*'Labor and Indirect Rates (NSF)'!$H$29</f>
        <v>1580.380558525834</v>
      </c>
      <c r="E22" s="59">
        <f>SUM(B22:D22)</f>
        <v>26268.144328823433</v>
      </c>
      <c r="F22" s="29"/>
      <c r="G22" s="30"/>
    </row>
    <row r="23" spans="1:7" ht="12.75">
      <c r="A23" t="s">
        <v>311</v>
      </c>
      <c r="B23" s="59">
        <f>2*$E$6*$G$15*0.75*1.15</f>
        <v>15527.483999999999</v>
      </c>
      <c r="C23" s="59">
        <f>B23*'Labor and Indirect Rates (NSF)'!$H$19</f>
        <v>2988.3388277231993</v>
      </c>
      <c r="D23" s="59">
        <f>C23*'Labor and Indirect Rates (NSF)'!$H$29</f>
        <v>1185.2854188943754</v>
      </c>
      <c r="E23" s="59">
        <f>SUM(B23:D23)</f>
        <v>19701.108246617572</v>
      </c>
      <c r="F23" s="29"/>
      <c r="G23" s="30"/>
    </row>
    <row r="24" spans="1:6" ht="12.75">
      <c r="A24" t="s">
        <v>279</v>
      </c>
      <c r="B24" s="59">
        <f>2*40*G14*E6/336</f>
        <v>2718</v>
      </c>
      <c r="C24" s="59">
        <f>B24*'Labor and Indirect Rates (NSF)'!$H$19</f>
        <v>523.0921463999999</v>
      </c>
      <c r="D24" s="59">
        <f>C24*'Labor and Indirect Rates (NSF)'!$H$29</f>
        <v>207.47764213152064</v>
      </c>
      <c r="E24" s="59">
        <f>SUM(B24:D24)</f>
        <v>3448.5697885315203</v>
      </c>
      <c r="F24" s="29"/>
    </row>
    <row r="25" spans="1:6" ht="12.75">
      <c r="A25" t="s">
        <v>308</v>
      </c>
      <c r="B25" s="59">
        <f>11200*1.03*1.03</f>
        <v>11882.08</v>
      </c>
      <c r="C25" s="59">
        <f>B25*'Labor and Indirect Rates (NSF)'!$G$69</f>
        <v>831.7456000000001</v>
      </c>
      <c r="D25" s="59">
        <f>B25*'Labor and Indirect Rates (NSF)'!$H$69</f>
        <v>2224.91948</v>
      </c>
      <c r="E25" s="59">
        <f>SUM(B25:D25)</f>
        <v>14938.74508</v>
      </c>
      <c r="F25" s="29"/>
    </row>
    <row r="26" spans="2:6" ht="12.75">
      <c r="B26" s="59"/>
      <c r="C26" s="59"/>
      <c r="D26" s="59"/>
      <c r="E26" s="59"/>
      <c r="F26" s="29"/>
    </row>
    <row r="27" spans="2:6" ht="12.75">
      <c r="B27" s="59"/>
      <c r="C27" s="59"/>
      <c r="D27" s="59"/>
      <c r="E27" s="59"/>
      <c r="F27" s="29"/>
    </row>
    <row r="28" spans="1:6" ht="12.75">
      <c r="A28" s="5" t="s">
        <v>280</v>
      </c>
      <c r="B28" s="59"/>
      <c r="C28" s="59"/>
      <c r="D28" s="59"/>
      <c r="E28" s="59"/>
      <c r="F28" s="29"/>
    </row>
    <row r="29" spans="1:6" ht="12.75">
      <c r="A29" t="s">
        <v>281</v>
      </c>
      <c r="B29" s="59">
        <f>$E$6*$G$15/4*1.15</f>
        <v>2587.9139999999998</v>
      </c>
      <c r="C29" s="59">
        <f>B29*'Labor and Indirect Rates (NSF)'!$H$19</f>
        <v>498.0564712871999</v>
      </c>
      <c r="D29" s="59">
        <f>C29*'Labor and Indirect Rates (NSF)'!$H$29</f>
        <v>197.54756981572925</v>
      </c>
      <c r="E29" s="59">
        <f>SUM(B29:D29)</f>
        <v>3283.518041102929</v>
      </c>
      <c r="F29" s="29"/>
    </row>
    <row r="30" spans="1:6" ht="12.75">
      <c r="A30" t="s">
        <v>274</v>
      </c>
      <c r="B30" s="59">
        <f>E6/168*4800*1.03*1.03</f>
        <v>5092.32</v>
      </c>
      <c r="C30" s="59">
        <f>B30*0</f>
        <v>0</v>
      </c>
      <c r="D30" s="59">
        <f>B30*'Labor and Indirect Rates (NSF)'!$H$55</f>
        <v>611.0784</v>
      </c>
      <c r="E30" s="59">
        <f>SUM(B30:D30)</f>
        <v>5703.3984</v>
      </c>
      <c r="F30" s="29"/>
    </row>
    <row r="31" spans="1:6" ht="12.75">
      <c r="A31" t="s">
        <v>275</v>
      </c>
      <c r="B31" s="59">
        <f>E6/168*8200*1.03*1.03</f>
        <v>8699.380000000001</v>
      </c>
      <c r="C31" s="59">
        <f>B31*'Labor and Indirect Rates (NSF)'!$G$69</f>
        <v>608.9566000000001</v>
      </c>
      <c r="D31" s="59">
        <f>B31*'Labor and Indirect Rates (NSF)'!$H$69</f>
        <v>1628.9589050000002</v>
      </c>
      <c r="E31" s="59">
        <f>SUM(B31:D31)</f>
        <v>10937.295505</v>
      </c>
      <c r="F31" s="29"/>
    </row>
    <row r="32" spans="1:6" ht="12.75">
      <c r="A32" t="s">
        <v>276</v>
      </c>
      <c r="B32" s="59">
        <f>E6/168*39500*1.03*1.03</f>
        <v>41905.55</v>
      </c>
      <c r="C32" s="59">
        <f>B32*'Labor and Indirect Rates (NSF)'!$G$82</f>
        <v>2933.3885000000005</v>
      </c>
      <c r="D32" s="59">
        <f>B32*'Labor and Indirect Rates (NSF)'!$H$86</f>
        <v>2818.1482375000005</v>
      </c>
      <c r="E32" s="62">
        <f>SUM(B32:D32)</f>
        <v>47657.0867375</v>
      </c>
      <c r="F32" s="63"/>
    </row>
    <row r="33" spans="2:6" ht="12.75">
      <c r="B33" s="59"/>
      <c r="C33" s="59"/>
      <c r="D33" s="59"/>
      <c r="E33" s="59"/>
      <c r="F33" s="29"/>
    </row>
    <row r="34" spans="1:6" ht="12.75">
      <c r="A34" s="5" t="s">
        <v>282</v>
      </c>
      <c r="B34" s="59">
        <f>SUM(B12:B32)</f>
        <v>271608.808</v>
      </c>
      <c r="C34" s="59">
        <f>SUM(C11:C32)</f>
        <v>30417.144772437598</v>
      </c>
      <c r="D34" s="59">
        <f>SUM(D11:D32)</f>
        <v>29674.7057737341</v>
      </c>
      <c r="E34" s="59">
        <f>SUM(E11:E32)</f>
        <v>331700.6585461717</v>
      </c>
      <c r="F34" s="29"/>
    </row>
    <row r="35" spans="1:6" ht="12.75">
      <c r="A35" s="5"/>
      <c r="B35" s="59"/>
      <c r="C35" s="59"/>
      <c r="D35" s="59"/>
      <c r="E35" s="59"/>
      <c r="F35" s="59"/>
    </row>
    <row r="36" spans="2:6" ht="12.75">
      <c r="B36" s="59"/>
      <c r="C36" s="59"/>
      <c r="D36" s="59"/>
      <c r="E36" s="59"/>
      <c r="F36" s="59"/>
    </row>
    <row r="37" spans="1:6" ht="12.75">
      <c r="A37" s="5" t="s">
        <v>283</v>
      </c>
      <c r="B37" s="59"/>
      <c r="C37" s="59"/>
      <c r="D37" s="59"/>
      <c r="E37" s="59"/>
      <c r="F37" s="59"/>
    </row>
    <row r="38" spans="1:6" ht="12.75">
      <c r="A38" t="s">
        <v>321</v>
      </c>
      <c r="B38" s="59">
        <f>15*D6*E6</f>
        <v>214200</v>
      </c>
      <c r="C38" s="59">
        <v>0</v>
      </c>
      <c r="D38" s="59">
        <v>0</v>
      </c>
      <c r="E38" s="62">
        <f>SUM(B38:D38)</f>
        <v>214200</v>
      </c>
      <c r="F38" s="62"/>
    </row>
    <row r="39" spans="2:6" ht="12.75">
      <c r="B39" s="59"/>
      <c r="C39" s="59"/>
      <c r="D39" s="59"/>
      <c r="E39" s="62"/>
      <c r="F39" s="62"/>
    </row>
    <row r="40" spans="2:6" ht="12.75">
      <c r="B40" s="59"/>
      <c r="C40" s="59"/>
      <c r="D40" s="59"/>
      <c r="E40" s="59"/>
      <c r="F40" s="59"/>
    </row>
    <row r="41" spans="1:6" ht="12.75">
      <c r="A41" s="5" t="s">
        <v>284</v>
      </c>
      <c r="B41" s="64">
        <f>SUM(B34:B39)</f>
        <v>485808.808</v>
      </c>
      <c r="C41" s="64">
        <f>SUM(C34:C39)</f>
        <v>30417.144772437598</v>
      </c>
      <c r="D41" s="64">
        <f>SUM(D34:D39)</f>
        <v>29674.7057737341</v>
      </c>
      <c r="E41" s="65">
        <f>SUM(E34:E39)</f>
        <v>545900.6585461716</v>
      </c>
      <c r="F41" s="65"/>
    </row>
    <row r="42" spans="1:6" ht="15" hidden="1">
      <c r="A42" s="5" t="s">
        <v>285</v>
      </c>
      <c r="B42" s="59"/>
      <c r="C42" s="59"/>
      <c r="D42" s="59"/>
      <c r="E42" s="66">
        <f>E41-D41</f>
        <v>516225.95277243754</v>
      </c>
      <c r="F42" s="66"/>
    </row>
    <row r="43" spans="2:6" ht="12.75" hidden="1">
      <c r="B43" s="59"/>
      <c r="C43" s="59"/>
      <c r="D43" s="59"/>
      <c r="E43" s="59"/>
      <c r="F43" s="59"/>
    </row>
    <row r="44" spans="2:6" ht="12.75" hidden="1">
      <c r="B44" s="59" t="s">
        <v>286</v>
      </c>
      <c r="C44" s="59"/>
      <c r="D44" s="59"/>
      <c r="E44" s="59">
        <f>E42/24</f>
        <v>21509.414698851564</v>
      </c>
      <c r="F44" s="59"/>
    </row>
    <row r="45" spans="2:6" ht="12.75" hidden="1">
      <c r="B45" s="59" t="s">
        <v>287</v>
      </c>
      <c r="C45" s="59"/>
      <c r="D45" s="59"/>
      <c r="E45" s="59"/>
      <c r="F45" s="59"/>
    </row>
    <row r="46" spans="2:6" ht="12.75" hidden="1">
      <c r="B46" s="59"/>
      <c r="C46" s="59"/>
      <c r="D46" s="59"/>
      <c r="E46" s="59"/>
      <c r="F46" s="59"/>
    </row>
    <row r="47" spans="2:6" ht="12.75" hidden="1">
      <c r="B47" s="59" t="s">
        <v>288</v>
      </c>
      <c r="C47" s="59"/>
      <c r="D47" s="59"/>
      <c r="E47" s="59">
        <f>E44*1.35</f>
        <v>29037.709843449615</v>
      </c>
      <c r="F47" s="59"/>
    </row>
    <row r="48" spans="2:6" ht="12.75" hidden="1">
      <c r="B48" s="59" t="s">
        <v>136</v>
      </c>
      <c r="C48" s="59"/>
      <c r="D48" s="59"/>
      <c r="E48" s="59"/>
      <c r="F48" s="59"/>
    </row>
    <row r="49" spans="2:6" ht="12.75">
      <c r="B49" s="59"/>
      <c r="C49" s="59"/>
      <c r="D49" s="59"/>
      <c r="E49" s="59"/>
      <c r="F49" s="59"/>
    </row>
    <row r="50" spans="1:6" ht="12.75">
      <c r="A50" s="5" t="s">
        <v>101</v>
      </c>
      <c r="B50" s="59"/>
      <c r="C50" s="59"/>
      <c r="D50" s="59"/>
      <c r="E50" s="67">
        <f>E41*0.03</f>
        <v>16377.019756385147</v>
      </c>
      <c r="F50" s="59"/>
    </row>
    <row r="51" spans="1:6" ht="12.75">
      <c r="A51" s="5"/>
      <c r="B51" s="59"/>
      <c r="C51" s="59"/>
      <c r="D51" s="59"/>
      <c r="E51" s="67"/>
      <c r="F51" s="59"/>
    </row>
    <row r="52" spans="1:6" ht="12.75">
      <c r="A52" s="5" t="s">
        <v>289</v>
      </c>
      <c r="B52" s="59"/>
      <c r="C52" s="59"/>
      <c r="D52" s="59"/>
      <c r="E52" s="67">
        <f>E41+E50</f>
        <v>562277.6783025567</v>
      </c>
      <c r="F52" s="59"/>
    </row>
    <row r="53" spans="2:6" ht="12.75">
      <c r="B53" s="59"/>
      <c r="C53" s="59"/>
      <c r="D53" s="59"/>
      <c r="E53" s="59"/>
      <c r="F53" s="59"/>
    </row>
    <row r="54" spans="1:9" ht="12.75">
      <c r="A54" s="5" t="s">
        <v>290</v>
      </c>
      <c r="B54" s="59"/>
      <c r="C54" s="59"/>
      <c r="D54" s="59"/>
      <c r="E54" s="65">
        <f>E52/7/3</f>
        <v>26775.127538216988</v>
      </c>
      <c r="F54" s="68"/>
      <c r="G54" s="5"/>
      <c r="H54" s="69"/>
      <c r="I54" s="5"/>
    </row>
    <row r="55" spans="1:6" ht="12.75">
      <c r="A55" s="7"/>
      <c r="B55" s="30"/>
      <c r="C55" s="30"/>
      <c r="D55" s="30"/>
      <c r="E55" s="70"/>
      <c r="F55" s="70"/>
    </row>
    <row r="57" ht="12.75">
      <c r="E57" s="30"/>
    </row>
    <row r="58" spans="5:6" ht="12.75">
      <c r="E58" s="31"/>
      <c r="F58" s="31"/>
    </row>
  </sheetData>
  <mergeCells count="4">
    <mergeCell ref="A1:E1"/>
    <mergeCell ref="A2:E2"/>
    <mergeCell ref="A3:E3"/>
    <mergeCell ref="A4:E4"/>
  </mergeCells>
  <printOptions gridLines="1"/>
  <pageMargins left="0.75" right="0.75" top="1" bottom="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I58"/>
  <sheetViews>
    <sheetView workbookViewId="0" topLeftCell="A4">
      <selection activeCell="J30" sqref="J30"/>
    </sheetView>
  </sheetViews>
  <sheetFormatPr defaultColWidth="9.140625" defaultRowHeight="12.75"/>
  <cols>
    <col min="1" max="1" width="43.8515625" style="0" customWidth="1"/>
    <col min="2" max="2" width="9.7109375" style="0" bestFit="1" customWidth="1"/>
    <col min="3" max="3" width="12.8515625" style="0" customWidth="1"/>
    <col min="4" max="4" width="10.28125" style="0" bestFit="1" customWidth="1"/>
    <col min="5" max="5" width="19.00390625" style="0" customWidth="1"/>
    <col min="6" max="6" width="7.57421875" style="0" customWidth="1"/>
    <col min="7" max="7" width="11.00390625" style="0" customWidth="1"/>
  </cols>
  <sheetData>
    <row r="1" spans="1:6" ht="15.75">
      <c r="A1" s="216" t="s">
        <v>309</v>
      </c>
      <c r="B1" s="217"/>
      <c r="C1" s="217"/>
      <c r="D1" s="217"/>
      <c r="E1" s="218"/>
      <c r="F1" s="54"/>
    </row>
    <row r="2" spans="1:6" ht="15.75">
      <c r="A2" s="219" t="s">
        <v>264</v>
      </c>
      <c r="B2" s="220"/>
      <c r="C2" s="220"/>
      <c r="D2" s="220"/>
      <c r="E2" s="221"/>
      <c r="F2" s="55"/>
    </row>
    <row r="3" spans="1:6" ht="15.75">
      <c r="A3" s="219" t="s">
        <v>310</v>
      </c>
      <c r="B3" s="222"/>
      <c r="C3" s="222"/>
      <c r="D3" s="222"/>
      <c r="E3" s="223"/>
      <c r="F3" s="2"/>
    </row>
    <row r="4" spans="1:6" ht="12.75">
      <c r="A4" s="224" t="s">
        <v>319</v>
      </c>
      <c r="B4" s="224"/>
      <c r="C4" s="224"/>
      <c r="D4" s="224"/>
      <c r="E4" s="224"/>
      <c r="F4" s="2"/>
    </row>
    <row r="5" spans="1:6" ht="15.75">
      <c r="A5" s="57" t="s">
        <v>265</v>
      </c>
      <c r="B5" s="2"/>
      <c r="C5" s="2"/>
      <c r="D5" s="33" t="s">
        <v>260</v>
      </c>
      <c r="E5" s="33" t="s">
        <v>266</v>
      </c>
      <c r="F5" s="33"/>
    </row>
    <row r="6" spans="1:6" ht="12.75">
      <c r="A6" s="58" t="s">
        <v>291</v>
      </c>
      <c r="B6" s="2"/>
      <c r="C6" s="2"/>
      <c r="D6" s="71">
        <v>85</v>
      </c>
      <c r="E6" s="28">
        <v>168</v>
      </c>
      <c r="F6" s="28"/>
    </row>
    <row r="7" spans="1:6" ht="12.75">
      <c r="A7" s="2"/>
      <c r="B7" s="2"/>
      <c r="C7" s="2"/>
      <c r="D7" s="33" t="s">
        <v>246</v>
      </c>
      <c r="E7" s="2"/>
      <c r="F7" s="2"/>
    </row>
    <row r="8" spans="1:6" ht="12.75">
      <c r="A8" s="2" t="s">
        <v>346</v>
      </c>
      <c r="B8" s="2"/>
      <c r="C8" s="2"/>
      <c r="D8" s="33"/>
      <c r="E8" s="2"/>
      <c r="F8" s="2"/>
    </row>
    <row r="9" spans="2:4" ht="12.75">
      <c r="B9" s="33" t="s">
        <v>216</v>
      </c>
      <c r="C9" s="33" t="s">
        <v>267</v>
      </c>
      <c r="D9" s="33" t="s">
        <v>268</v>
      </c>
    </row>
    <row r="10" spans="1:6" ht="12.75">
      <c r="A10" s="5" t="s">
        <v>269</v>
      </c>
      <c r="B10" s="3"/>
      <c r="C10" s="3"/>
      <c r="D10" s="3"/>
      <c r="E10" s="6" t="s">
        <v>199</v>
      </c>
      <c r="F10" s="6"/>
    </row>
    <row r="11" spans="1:6" ht="12.75">
      <c r="A11" t="s">
        <v>234</v>
      </c>
      <c r="B11" s="59"/>
      <c r="C11" s="59"/>
      <c r="D11" s="59"/>
      <c r="E11" s="59"/>
      <c r="F11" s="60"/>
    </row>
    <row r="12" spans="1:6" ht="12.75">
      <c r="A12" t="s">
        <v>235</v>
      </c>
      <c r="B12" s="59">
        <f>3*E6*G14*1.15</f>
        <v>39383.82</v>
      </c>
      <c r="C12" s="59">
        <f>B12*'Labor and Indirect Rates (NSF)'!$H$19</f>
        <v>7579.6052013359995</v>
      </c>
      <c r="D12" s="59">
        <f>C12*'Labor and Indirect Rates (NSF)'!$H$29</f>
        <v>3006.3510344857345</v>
      </c>
      <c r="E12" s="59">
        <f>SUM(B12:D12)</f>
        <v>49969.77623582174</v>
      </c>
      <c r="F12" s="29"/>
    </row>
    <row r="13" spans="1:8" ht="12.75">
      <c r="A13" t="s">
        <v>270</v>
      </c>
      <c r="B13" s="59">
        <f>1*E6*(G13+G14)/2/2</f>
        <v>6670.02</v>
      </c>
      <c r="C13" s="59">
        <f>B13*'Labor and Indirect Rates (NSF)'!$H$19</f>
        <v>1283.677365096</v>
      </c>
      <c r="D13" s="59">
        <f>C13*'Labor and Indirect Rates (NSF)'!$H$29</f>
        <v>509.1537978550719</v>
      </c>
      <c r="E13" s="59">
        <f>SUM(B13:D13)</f>
        <v>8462.851162951072</v>
      </c>
      <c r="F13" s="29"/>
      <c r="G13" s="61">
        <f>'Labor and Indirect Rates (NSF)'!C132</f>
        <v>90.86</v>
      </c>
      <c r="H13" t="s">
        <v>271</v>
      </c>
    </row>
    <row r="14" spans="1:8" ht="12.75">
      <c r="A14" t="s">
        <v>237</v>
      </c>
      <c r="B14" s="59">
        <f>E6*G15*1.15</f>
        <v>10351.655999999999</v>
      </c>
      <c r="C14" s="59">
        <f>B14*'Labor and Indirect Rates (NSF)'!$H$19</f>
        <v>1992.2258851487995</v>
      </c>
      <c r="D14" s="59">
        <f>C14*'Labor and Indirect Rates (NSF)'!$H$29</f>
        <v>790.190279262917</v>
      </c>
      <c r="E14" s="59">
        <f>SUM(B14:D14)</f>
        <v>13134.072164411717</v>
      </c>
      <c r="F14" s="29"/>
      <c r="G14" s="61">
        <f>'Labor and Indirect Rates (NSF)'!C130</f>
        <v>67.95</v>
      </c>
      <c r="H14" t="s">
        <v>272</v>
      </c>
    </row>
    <row r="15" spans="1:8" ht="12.75">
      <c r="A15" t="s">
        <v>238</v>
      </c>
      <c r="B15" s="59">
        <f>E6*G15*1.15</f>
        <v>10351.655999999999</v>
      </c>
      <c r="C15" s="59">
        <f>B15*'Labor and Indirect Rates (NSF)'!$H$19</f>
        <v>1992.2258851487995</v>
      </c>
      <c r="D15" s="59">
        <f>C15*'Labor and Indirect Rates (NSF)'!$H$29</f>
        <v>790.190279262917</v>
      </c>
      <c r="E15" s="59">
        <f>SUM(B15:D15)</f>
        <v>13134.072164411717</v>
      </c>
      <c r="F15" s="29"/>
      <c r="G15" s="61">
        <f>'Labor and Indirect Rates (NSF)'!C129</f>
        <v>53.58</v>
      </c>
      <c r="H15" t="s">
        <v>273</v>
      </c>
    </row>
    <row r="16" spans="2:6" ht="12.75">
      <c r="B16" s="59"/>
      <c r="C16" s="59"/>
      <c r="D16" s="59"/>
      <c r="E16" s="59"/>
      <c r="F16" s="29"/>
    </row>
    <row r="17" spans="1:9" ht="12.75">
      <c r="A17" t="s">
        <v>274</v>
      </c>
      <c r="B17" s="59">
        <f>E6/168*20600*1.01*1.03</f>
        <v>21430.18</v>
      </c>
      <c r="C17" s="59">
        <f>B17*0</f>
        <v>0</v>
      </c>
      <c r="D17" s="59">
        <f>B17*'Labor and Indirect Rates (NSF)'!$H$55</f>
        <v>2571.6216</v>
      </c>
      <c r="E17" s="59">
        <f>SUM(B17:D17)</f>
        <v>24001.8016</v>
      </c>
      <c r="F17" s="29"/>
      <c r="G17" s="27" t="s">
        <v>194</v>
      </c>
      <c r="I17" s="28">
        <f>'Labor and Indirect Rates (NSF)'!D144</f>
        <v>1755</v>
      </c>
    </row>
    <row r="18" spans="1:6" ht="12.75">
      <c r="A18" t="s">
        <v>275</v>
      </c>
      <c r="B18" s="59">
        <f>E6/168*51500*1.03*1.03</f>
        <v>54636.35</v>
      </c>
      <c r="C18" s="59">
        <f>B18*'Labor and Indirect Rates (NSF)'!$G$69</f>
        <v>3824.5445000000004</v>
      </c>
      <c r="D18" s="59">
        <f>B18*'Labor and Indirect Rates (NSF)'!$H$69</f>
        <v>10230.6565375</v>
      </c>
      <c r="E18" s="59">
        <f>SUM(B18:D18)</f>
        <v>68691.5510375</v>
      </c>
      <c r="F18" s="29"/>
    </row>
    <row r="19" spans="1:6" ht="12.75">
      <c r="A19" t="s">
        <v>276</v>
      </c>
      <c r="B19" s="59">
        <f>E6/168*18540*1.03*1.03</f>
        <v>19669.086000000003</v>
      </c>
      <c r="C19" s="59">
        <f>B19*'Labor and Indirect Rates (NSF)'!$G$82</f>
        <v>1376.8360200000004</v>
      </c>
      <c r="D19" s="59">
        <f>B19*'Labor and Indirect Rates (NSF)'!$H$86</f>
        <v>1322.7460335000003</v>
      </c>
      <c r="E19" s="59">
        <f>SUM(B19:D19)</f>
        <v>22368.6680535</v>
      </c>
      <c r="F19" s="29"/>
    </row>
    <row r="20" spans="2:6" ht="12.75">
      <c r="B20" s="59"/>
      <c r="C20" s="59"/>
      <c r="D20" s="59"/>
      <c r="E20" s="59"/>
      <c r="F20" s="29"/>
    </row>
    <row r="21" spans="1:7" ht="12.75">
      <c r="A21" s="5" t="s">
        <v>277</v>
      </c>
      <c r="B21" s="59"/>
      <c r="C21" s="59"/>
      <c r="D21" s="59"/>
      <c r="E21" s="59"/>
      <c r="F21" s="29"/>
      <c r="G21" s="30"/>
    </row>
    <row r="22" spans="1:7" ht="12.75">
      <c r="A22" t="s">
        <v>278</v>
      </c>
      <c r="B22" s="59">
        <f>2*E6*G15*1.15</f>
        <v>20703.311999999998</v>
      </c>
      <c r="C22" s="59">
        <f>B22*'Labor and Indirect Rates (NSF)'!$H$19</f>
        <v>3984.451770297599</v>
      </c>
      <c r="D22" s="59">
        <f>C22*'Labor and Indirect Rates (NSF)'!$H$29</f>
        <v>1580.380558525834</v>
      </c>
      <c r="E22" s="59">
        <f>SUM(B22:D22)</f>
        <v>26268.144328823433</v>
      </c>
      <c r="F22" s="29"/>
      <c r="G22" s="30"/>
    </row>
    <row r="23" spans="1:7" ht="12.75">
      <c r="A23" t="s">
        <v>311</v>
      </c>
      <c r="B23" s="59">
        <f>2*$E$6*$G$15*0.75*1.15</f>
        <v>15527.483999999999</v>
      </c>
      <c r="C23" s="59">
        <f>B23*'Labor and Indirect Rates (NSF)'!$H$19</f>
        <v>2988.3388277231993</v>
      </c>
      <c r="D23" s="59">
        <f>C23*'Labor and Indirect Rates (NSF)'!$H$29</f>
        <v>1185.2854188943754</v>
      </c>
      <c r="E23" s="59">
        <f>SUM(B23:D23)</f>
        <v>19701.108246617572</v>
      </c>
      <c r="F23" s="29"/>
      <c r="G23" s="30"/>
    </row>
    <row r="24" spans="1:6" ht="12.75">
      <c r="A24" t="s">
        <v>279</v>
      </c>
      <c r="B24" s="59">
        <f>2*40*G14*E6/336</f>
        <v>2718</v>
      </c>
      <c r="C24" s="59">
        <f>B24*'Labor and Indirect Rates (NSF)'!$H$19</f>
        <v>523.0921463999999</v>
      </c>
      <c r="D24" s="59">
        <f>C24*'Labor and Indirect Rates (NSF)'!$H$29</f>
        <v>207.47764213152064</v>
      </c>
      <c r="E24" s="59">
        <f>SUM(B24:D24)</f>
        <v>3448.5697885315203</v>
      </c>
      <c r="F24" s="29"/>
    </row>
    <row r="25" spans="1:6" ht="12.75">
      <c r="A25" t="s">
        <v>308</v>
      </c>
      <c r="B25" s="59">
        <f>22400*1.03*1.03</f>
        <v>23764.16</v>
      </c>
      <c r="C25" s="59">
        <f>B25*'Labor and Indirect Rates (NSF)'!$G$69</f>
        <v>1663.4912000000002</v>
      </c>
      <c r="D25" s="59">
        <f>B25*'Labor and Indirect Rates (NSF)'!$H$69</f>
        <v>4449.83896</v>
      </c>
      <c r="E25" s="59">
        <f>SUM(B25:D25)</f>
        <v>29877.49016</v>
      </c>
      <c r="F25" s="29"/>
    </row>
    <row r="26" spans="2:6" ht="12.75">
      <c r="B26" s="59"/>
      <c r="C26" s="59"/>
      <c r="D26" s="59"/>
      <c r="E26" s="59"/>
      <c r="F26" s="29"/>
    </row>
    <row r="27" spans="2:6" ht="12.75">
      <c r="B27" s="59"/>
      <c r="C27" s="59"/>
      <c r="D27" s="59"/>
      <c r="E27" s="59"/>
      <c r="F27" s="29"/>
    </row>
    <row r="28" spans="1:6" ht="12.75">
      <c r="A28" s="5" t="s">
        <v>280</v>
      </c>
      <c r="B28" s="59"/>
      <c r="C28" s="59"/>
      <c r="D28" s="59"/>
      <c r="E28" s="59"/>
      <c r="F28" s="29"/>
    </row>
    <row r="29" spans="1:6" ht="12.75">
      <c r="A29" t="s">
        <v>281</v>
      </c>
      <c r="B29" s="59">
        <f>$E$6*$G$15/4*1.15</f>
        <v>2587.9139999999998</v>
      </c>
      <c r="C29" s="59">
        <f>B29*'Labor and Indirect Rates (NSF)'!$H$19</f>
        <v>498.0564712871999</v>
      </c>
      <c r="D29" s="59">
        <f>C29*'Labor and Indirect Rates (NSF)'!$H$29</f>
        <v>197.54756981572925</v>
      </c>
      <c r="E29" s="59">
        <f>SUM(B29:D29)</f>
        <v>3283.518041102929</v>
      </c>
      <c r="F29" s="29"/>
    </row>
    <row r="30" spans="1:6" ht="12.75">
      <c r="A30" t="s">
        <v>274</v>
      </c>
      <c r="B30" s="59">
        <f>E6/168*4800*1.03*1.03</f>
        <v>5092.32</v>
      </c>
      <c r="C30" s="59">
        <f>B30*0</f>
        <v>0</v>
      </c>
      <c r="D30" s="59">
        <f>B30*'Labor and Indirect Rates (NSF)'!$H$55</f>
        <v>611.0784</v>
      </c>
      <c r="E30" s="59">
        <f>SUM(B30:D30)</f>
        <v>5703.3984</v>
      </c>
      <c r="F30" s="29"/>
    </row>
    <row r="31" spans="1:6" ht="12.75">
      <c r="A31" t="s">
        <v>275</v>
      </c>
      <c r="B31" s="59">
        <f>E6/168*8200*1.03*1.03</f>
        <v>8699.380000000001</v>
      </c>
      <c r="C31" s="59">
        <f>B31*'Labor and Indirect Rates (NSF)'!$G$69</f>
        <v>608.9566000000001</v>
      </c>
      <c r="D31" s="59">
        <f>B31*'Labor and Indirect Rates (NSF)'!$H$69</f>
        <v>1628.9589050000002</v>
      </c>
      <c r="E31" s="59">
        <f>SUM(B31:D31)</f>
        <v>10937.295505</v>
      </c>
      <c r="F31" s="29"/>
    </row>
    <row r="32" spans="1:6" ht="12.75">
      <c r="A32" t="s">
        <v>276</v>
      </c>
      <c r="B32" s="59">
        <f>E6/168*39500*1.03*1.03</f>
        <v>41905.55</v>
      </c>
      <c r="C32" s="59">
        <f>B32*'Labor and Indirect Rates (NSF)'!$G$82</f>
        <v>2933.3885000000005</v>
      </c>
      <c r="D32" s="59">
        <f>B32*'Labor and Indirect Rates (NSF)'!$H$86</f>
        <v>2818.1482375000005</v>
      </c>
      <c r="E32" s="62">
        <f>SUM(B32:D32)</f>
        <v>47657.0867375</v>
      </c>
      <c r="F32" s="63"/>
    </row>
    <row r="33" spans="2:6" ht="12.75">
      <c r="B33" s="59"/>
      <c r="C33" s="59"/>
      <c r="D33" s="59"/>
      <c r="E33" s="59"/>
      <c r="F33" s="29"/>
    </row>
    <row r="34" spans="1:6" ht="12.75">
      <c r="A34" s="5" t="s">
        <v>282</v>
      </c>
      <c r="B34" s="59">
        <f>SUM(B12:B32)</f>
        <v>283490.88800000004</v>
      </c>
      <c r="C34" s="59">
        <f>SUM(C11:C32)</f>
        <v>31248.8903724376</v>
      </c>
      <c r="D34" s="59">
        <f>SUM(D11:D32)</f>
        <v>31899.6252537341</v>
      </c>
      <c r="E34" s="59">
        <f>SUM(E11:E32)</f>
        <v>346639.40362617164</v>
      </c>
      <c r="F34" s="29"/>
    </row>
    <row r="35" spans="1:6" ht="12.75">
      <c r="A35" s="5"/>
      <c r="B35" s="59"/>
      <c r="C35" s="59"/>
      <c r="D35" s="59"/>
      <c r="E35" s="59"/>
      <c r="F35" s="59"/>
    </row>
    <row r="36" spans="2:6" ht="12.75">
      <c r="B36" s="59"/>
      <c r="C36" s="59"/>
      <c r="D36" s="59"/>
      <c r="E36" s="59"/>
      <c r="F36" s="59"/>
    </row>
    <row r="37" spans="1:6" ht="12.75">
      <c r="A37" s="5" t="s">
        <v>283</v>
      </c>
      <c r="B37" s="59"/>
      <c r="C37" s="59"/>
      <c r="D37" s="59"/>
      <c r="E37" s="59"/>
      <c r="F37" s="59"/>
    </row>
    <row r="38" spans="1:6" ht="12.75">
      <c r="A38" t="s">
        <v>320</v>
      </c>
      <c r="B38" s="59">
        <f>11*D6*E6</f>
        <v>157080</v>
      </c>
      <c r="C38" s="59">
        <v>0</v>
      </c>
      <c r="D38" s="59">
        <v>0</v>
      </c>
      <c r="E38" s="62">
        <f>SUM(B38:D38)</f>
        <v>157080</v>
      </c>
      <c r="F38" s="62"/>
    </row>
    <row r="39" spans="2:6" ht="12.75">
      <c r="B39" s="59"/>
      <c r="C39" s="59"/>
      <c r="D39" s="59"/>
      <c r="E39" s="62"/>
      <c r="F39" s="62"/>
    </row>
    <row r="40" spans="2:6" ht="12.75">
      <c r="B40" s="59"/>
      <c r="C40" s="59"/>
      <c r="D40" s="59"/>
      <c r="E40" s="59"/>
      <c r="F40" s="59"/>
    </row>
    <row r="41" spans="1:6" ht="12.75">
      <c r="A41" s="5" t="s">
        <v>284</v>
      </c>
      <c r="B41" s="64">
        <f>SUM(B34:B39)</f>
        <v>440570.88800000004</v>
      </c>
      <c r="C41" s="64">
        <f>SUM(C34:C39)</f>
        <v>31248.8903724376</v>
      </c>
      <c r="D41" s="64">
        <f>SUM(D34:D39)</f>
        <v>31899.6252537341</v>
      </c>
      <c r="E41" s="65">
        <f>SUM(E34:E39)</f>
        <v>503719.40362617164</v>
      </c>
      <c r="F41" s="65"/>
    </row>
    <row r="42" spans="1:6" ht="15" hidden="1">
      <c r="A42" s="5" t="s">
        <v>285</v>
      </c>
      <c r="B42" s="59"/>
      <c r="C42" s="59"/>
      <c r="D42" s="59"/>
      <c r="E42" s="66">
        <f>E41-D41</f>
        <v>471819.7783724375</v>
      </c>
      <c r="F42" s="66"/>
    </row>
    <row r="43" spans="2:6" ht="12.75" hidden="1">
      <c r="B43" s="59"/>
      <c r="C43" s="59"/>
      <c r="D43" s="59"/>
      <c r="E43" s="59"/>
      <c r="F43" s="59"/>
    </row>
    <row r="44" spans="2:6" ht="12.75" hidden="1">
      <c r="B44" s="59" t="s">
        <v>286</v>
      </c>
      <c r="C44" s="59"/>
      <c r="D44" s="59"/>
      <c r="E44" s="59">
        <f>E42/24</f>
        <v>19659.157432184897</v>
      </c>
      <c r="F44" s="59"/>
    </row>
    <row r="45" spans="2:6" ht="12.75" hidden="1">
      <c r="B45" s="59" t="s">
        <v>287</v>
      </c>
      <c r="C45" s="59"/>
      <c r="D45" s="59"/>
      <c r="E45" s="59"/>
      <c r="F45" s="59"/>
    </row>
    <row r="46" spans="2:6" ht="12.75" hidden="1">
      <c r="B46" s="59"/>
      <c r="C46" s="59"/>
      <c r="D46" s="59"/>
      <c r="E46" s="59"/>
      <c r="F46" s="59"/>
    </row>
    <row r="47" spans="2:6" ht="12.75" hidden="1">
      <c r="B47" s="59" t="s">
        <v>288</v>
      </c>
      <c r="C47" s="59"/>
      <c r="D47" s="59"/>
      <c r="E47" s="59">
        <f>E44*1.35</f>
        <v>26539.862533449614</v>
      </c>
      <c r="F47" s="59"/>
    </row>
    <row r="48" spans="2:6" ht="12.75" hidden="1">
      <c r="B48" s="59" t="s">
        <v>136</v>
      </c>
      <c r="C48" s="59"/>
      <c r="D48" s="59"/>
      <c r="E48" s="59"/>
      <c r="F48" s="59"/>
    </row>
    <row r="49" spans="2:6" ht="12.75">
      <c r="B49" s="59"/>
      <c r="C49" s="59"/>
      <c r="D49" s="59"/>
      <c r="E49" s="59"/>
      <c r="F49" s="59"/>
    </row>
    <row r="50" spans="1:6" ht="12.75">
      <c r="A50" s="5" t="s">
        <v>101</v>
      </c>
      <c r="B50" s="59"/>
      <c r="C50" s="59"/>
      <c r="D50" s="59"/>
      <c r="E50" s="67">
        <f>E41*0.03</f>
        <v>15111.58210878515</v>
      </c>
      <c r="F50" s="59"/>
    </row>
    <row r="51" spans="1:6" ht="12.75">
      <c r="A51" s="5"/>
      <c r="B51" s="59"/>
      <c r="C51" s="59"/>
      <c r="D51" s="59"/>
      <c r="E51" s="67"/>
      <c r="F51" s="59"/>
    </row>
    <row r="52" spans="1:6" ht="12.75">
      <c r="A52" s="5" t="s">
        <v>289</v>
      </c>
      <c r="B52" s="59"/>
      <c r="C52" s="59"/>
      <c r="D52" s="59"/>
      <c r="E52" s="67">
        <f>E41+E50</f>
        <v>518830.9857349568</v>
      </c>
      <c r="F52" s="59"/>
    </row>
    <row r="53" spans="2:6" ht="12.75">
      <c r="B53" s="59"/>
      <c r="C53" s="59"/>
      <c r="D53" s="59"/>
      <c r="E53" s="59"/>
      <c r="F53" s="59"/>
    </row>
    <row r="54" spans="1:9" ht="12.75">
      <c r="A54" s="5" t="s">
        <v>290</v>
      </c>
      <c r="B54" s="59"/>
      <c r="C54" s="59"/>
      <c r="D54" s="59"/>
      <c r="E54" s="65">
        <f>E52/7/3</f>
        <v>24706.237415950323</v>
      </c>
      <c r="F54" s="68"/>
      <c r="G54" s="5"/>
      <c r="H54" s="69"/>
      <c r="I54" s="5"/>
    </row>
    <row r="55" spans="1:6" ht="12.75">
      <c r="A55" s="7"/>
      <c r="B55" s="30"/>
      <c r="C55" s="30"/>
      <c r="D55" s="30"/>
      <c r="E55" s="70"/>
      <c r="F55" s="70"/>
    </row>
    <row r="57" ht="12.75">
      <c r="E57" s="30"/>
    </row>
    <row r="58" spans="5:6" ht="12.75">
      <c r="E58" s="31"/>
      <c r="F58" s="31"/>
    </row>
  </sheetData>
  <mergeCells count="4">
    <mergeCell ref="A1:E1"/>
    <mergeCell ref="A2:E2"/>
    <mergeCell ref="A3:E3"/>
    <mergeCell ref="A4:E4"/>
  </mergeCells>
  <printOptions gridLines="1"/>
  <pageMargins left="0.75" right="0.75" top="1" bottom="1" header="0.5" footer="0.5"/>
  <pageSetup fitToHeight="1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53"/>
  <sheetViews>
    <sheetView zoomScale="75" zoomScaleNormal="75" workbookViewId="0" topLeftCell="A1">
      <selection activeCell="B20" sqref="B20"/>
    </sheetView>
  </sheetViews>
  <sheetFormatPr defaultColWidth="9.140625" defaultRowHeight="12.75"/>
  <cols>
    <col min="4" max="4" width="8.421875" style="0" customWidth="1"/>
    <col min="6" max="6" width="11.00390625" style="0" customWidth="1"/>
    <col min="9" max="9" width="12.7109375" style="0" customWidth="1"/>
    <col min="10" max="10" width="19.140625" style="0" customWidth="1"/>
    <col min="11" max="11" width="18.7109375" style="0" customWidth="1"/>
    <col min="12" max="12" width="20.140625" style="0" customWidth="1"/>
    <col min="13" max="13" width="14.140625" style="0" customWidth="1"/>
    <col min="14" max="15" width="15.57421875" style="0" customWidth="1"/>
    <col min="16" max="16" width="11.57421875" style="0" customWidth="1"/>
  </cols>
  <sheetData>
    <row r="2" ht="15.75">
      <c r="C2" s="36" t="s">
        <v>242</v>
      </c>
    </row>
    <row r="3" spans="3:13" ht="15.75">
      <c r="C3" s="40" t="s">
        <v>215</v>
      </c>
      <c r="J3" s="41" t="s">
        <v>216</v>
      </c>
      <c r="K3" s="33"/>
      <c r="L3" s="41" t="s">
        <v>217</v>
      </c>
      <c r="M3" s="33"/>
    </row>
    <row r="4" spans="8:15" ht="15.75">
      <c r="H4" s="41" t="s">
        <v>197</v>
      </c>
      <c r="I4" s="41" t="s">
        <v>218</v>
      </c>
      <c r="J4" s="41" t="s">
        <v>219</v>
      </c>
      <c r="K4" s="41" t="s">
        <v>220</v>
      </c>
      <c r="L4" s="41" t="s">
        <v>221</v>
      </c>
      <c r="M4" s="41" t="s">
        <v>204</v>
      </c>
      <c r="N4" s="41" t="s">
        <v>166</v>
      </c>
      <c r="O4" s="41" t="s">
        <v>199</v>
      </c>
    </row>
    <row r="5" spans="8:15" ht="15.75">
      <c r="H5" s="41"/>
      <c r="I5" s="41"/>
      <c r="J5" s="42">
        <f>'Labor and Indirect Rates (NSF)'!J10</f>
        <v>0.5984977705958046</v>
      </c>
      <c r="K5" s="42">
        <f>'Labor and Indirect Rates (NSF)'!H19</f>
        <v>0.19245479999999998</v>
      </c>
      <c r="L5" s="42">
        <f>'Labor and Indirect Rates (NSF)'!H28</f>
        <v>0.20418208999999998</v>
      </c>
      <c r="M5" s="41"/>
      <c r="N5" s="43">
        <v>0.03</v>
      </c>
      <c r="O5" s="40"/>
    </row>
    <row r="6" spans="3:15" ht="15.75">
      <c r="C6" s="44" t="s">
        <v>195</v>
      </c>
      <c r="D6" s="44"/>
      <c r="E6" s="44"/>
      <c r="F6" s="44"/>
      <c r="G6" s="44"/>
      <c r="H6" s="45">
        <v>1</v>
      </c>
      <c r="I6" s="46">
        <f aca="true" t="shared" si="0" ref="I6:I16">J6*$J$5</f>
        <v>95436.03555076757</v>
      </c>
      <c r="J6" s="47">
        <f>H6*$G$45*D43</f>
        <v>159459.3</v>
      </c>
      <c r="K6" s="47">
        <f aca="true" t="shared" si="1" ref="K6:K17">J6*$K$5</f>
        <v>30688.707689639996</v>
      </c>
      <c r="L6" s="47">
        <f aca="true" t="shared" si="2" ref="L6:L17">J6*$L$5</f>
        <v>32558.733143936995</v>
      </c>
      <c r="M6" s="47">
        <f aca="true" t="shared" si="3" ref="M6:M17">J6+K6+L6</f>
        <v>222706.74083357697</v>
      </c>
      <c r="N6" s="47">
        <f aca="true" t="shared" si="4" ref="N6:N17">$N$5*M6</f>
        <v>6681.202225007309</v>
      </c>
      <c r="O6" s="47">
        <f aca="true" t="shared" si="5" ref="O6:O17">M6+N6</f>
        <v>229387.9430585843</v>
      </c>
    </row>
    <row r="7" spans="3:15" ht="15.75">
      <c r="C7" s="44" t="s">
        <v>222</v>
      </c>
      <c r="D7" s="44"/>
      <c r="E7" s="44"/>
      <c r="F7" s="44"/>
      <c r="G7" s="44"/>
      <c r="H7" s="45">
        <v>1</v>
      </c>
      <c r="I7" s="46">
        <f t="shared" si="0"/>
        <v>71372.20576353354</v>
      </c>
      <c r="J7" s="47">
        <f>H7*$G$45*D41</f>
        <v>119252.25</v>
      </c>
      <c r="K7" s="47">
        <f t="shared" si="1"/>
        <v>22950.6679233</v>
      </c>
      <c r="L7" s="47">
        <f t="shared" si="2"/>
        <v>24349.1736422025</v>
      </c>
      <c r="M7" s="47">
        <f t="shared" si="3"/>
        <v>166552.09156550252</v>
      </c>
      <c r="N7" s="47">
        <f t="shared" si="4"/>
        <v>4996.562746965075</v>
      </c>
      <c r="O7" s="47">
        <f t="shared" si="5"/>
        <v>171548.65431246758</v>
      </c>
    </row>
    <row r="8" spans="3:15" ht="15.75">
      <c r="C8" s="44" t="s">
        <v>95</v>
      </c>
      <c r="D8" s="44"/>
      <c r="E8" s="44"/>
      <c r="F8" s="44"/>
      <c r="G8" s="44"/>
      <c r="H8" s="45">
        <v>0.5</v>
      </c>
      <c r="I8" s="46">
        <f t="shared" si="0"/>
        <v>37928.62914085645</v>
      </c>
      <c r="J8" s="47">
        <f>H8*$G$45*($D$40+$D$43)/2</f>
        <v>63373.049999999996</v>
      </c>
      <c r="K8" s="47">
        <f t="shared" si="1"/>
        <v>12196.447663139998</v>
      </c>
      <c r="L8" s="47">
        <f t="shared" si="2"/>
        <v>12939.641798674498</v>
      </c>
      <c r="M8" s="47">
        <f t="shared" si="3"/>
        <v>88509.13946181448</v>
      </c>
      <c r="N8" s="47">
        <f t="shared" si="4"/>
        <v>2655.2741838544343</v>
      </c>
      <c r="O8" s="47">
        <f t="shared" si="5"/>
        <v>91164.41364566892</v>
      </c>
    </row>
    <row r="9" spans="3:15" ht="15.75">
      <c r="C9" s="44" t="s">
        <v>94</v>
      </c>
      <c r="D9" s="44"/>
      <c r="E9" s="44"/>
      <c r="F9" s="44"/>
      <c r="G9" s="44"/>
      <c r="H9" s="45">
        <v>1</v>
      </c>
      <c r="I9" s="46">
        <f t="shared" si="0"/>
        <v>63825.343388095884</v>
      </c>
      <c r="J9" s="47">
        <f>H9*$G$45*($D$40+$D$41)/2</f>
        <v>106642.575</v>
      </c>
      <c r="K9" s="47">
        <f t="shared" si="1"/>
        <v>20523.87544311</v>
      </c>
      <c r="L9" s="47">
        <f t="shared" si="2"/>
        <v>21774.503846481748</v>
      </c>
      <c r="M9" s="47">
        <f t="shared" si="3"/>
        <v>148940.95428959175</v>
      </c>
      <c r="N9" s="47">
        <f t="shared" si="4"/>
        <v>4468.2286286877525</v>
      </c>
      <c r="O9" s="47">
        <f t="shared" si="5"/>
        <v>153409.18291827952</v>
      </c>
    </row>
    <row r="10" spans="3:15" ht="15.75">
      <c r="C10" s="44" t="s">
        <v>223</v>
      </c>
      <c r="D10" s="44"/>
      <c r="E10" s="44"/>
      <c r="F10" s="44"/>
      <c r="G10" s="44"/>
      <c r="H10" s="45">
        <v>0.5</v>
      </c>
      <c r="I10" s="46">
        <f t="shared" si="0"/>
        <v>31912.671694047942</v>
      </c>
      <c r="J10" s="47">
        <f>H10*$G$45*($D$40+$D$41)/2</f>
        <v>53321.2875</v>
      </c>
      <c r="K10" s="47">
        <f t="shared" si="1"/>
        <v>10261.937721555</v>
      </c>
      <c r="L10" s="47">
        <f t="shared" si="2"/>
        <v>10887.251923240874</v>
      </c>
      <c r="M10" s="47">
        <f t="shared" si="3"/>
        <v>74470.47714479588</v>
      </c>
      <c r="N10" s="47">
        <f t="shared" si="4"/>
        <v>2234.1143143438762</v>
      </c>
      <c r="O10" s="47">
        <f t="shared" si="5"/>
        <v>76704.59145913976</v>
      </c>
    </row>
    <row r="11" spans="3:15" ht="15.75">
      <c r="C11" s="44" t="s">
        <v>224</v>
      </c>
      <c r="D11" s="44"/>
      <c r="E11" s="44"/>
      <c r="F11" s="44"/>
      <c r="G11" s="44"/>
      <c r="H11" s="45">
        <v>1.5</v>
      </c>
      <c r="I11" s="46">
        <f t="shared" si="0"/>
        <v>95738.01508214381</v>
      </c>
      <c r="J11" s="47">
        <f>H11*$G$45*($D$40+$D$41)/2</f>
        <v>159963.8625</v>
      </c>
      <c r="K11" s="47">
        <f t="shared" si="1"/>
        <v>30785.813164664996</v>
      </c>
      <c r="L11" s="47">
        <f t="shared" si="2"/>
        <v>32661.75576972262</v>
      </c>
      <c r="M11" s="47">
        <f t="shared" si="3"/>
        <v>223411.4314343876</v>
      </c>
      <c r="N11" s="47">
        <f t="shared" si="4"/>
        <v>6702.342943031628</v>
      </c>
      <c r="O11" s="47">
        <f t="shared" si="5"/>
        <v>230113.77437741923</v>
      </c>
    </row>
    <row r="12" spans="3:15" ht="15.75">
      <c r="C12" s="44" t="s">
        <v>93</v>
      </c>
      <c r="D12" s="44"/>
      <c r="E12" s="44"/>
      <c r="F12" s="44"/>
      <c r="G12" s="44"/>
      <c r="H12" s="45">
        <v>1.5</v>
      </c>
      <c r="I12" s="46">
        <f t="shared" si="0"/>
        <v>95738.01508214381</v>
      </c>
      <c r="J12" s="47">
        <f>H12*$G$45*($D$40+$D$41)/2</f>
        <v>159963.8625</v>
      </c>
      <c r="K12" s="47">
        <f t="shared" si="1"/>
        <v>30785.813164664996</v>
      </c>
      <c r="L12" s="47">
        <f t="shared" si="2"/>
        <v>32661.75576972262</v>
      </c>
      <c r="M12" s="47">
        <f t="shared" si="3"/>
        <v>223411.4314343876</v>
      </c>
      <c r="N12" s="47">
        <f t="shared" si="4"/>
        <v>6702.342943031628</v>
      </c>
      <c r="O12" s="47">
        <f t="shared" si="5"/>
        <v>230113.77437741923</v>
      </c>
    </row>
    <row r="13" spans="3:15" ht="15.75">
      <c r="C13" s="44" t="s">
        <v>225</v>
      </c>
      <c r="D13" s="44"/>
      <c r="E13" s="44"/>
      <c r="F13" s="44"/>
      <c r="G13" s="44"/>
      <c r="H13" s="45">
        <v>2</v>
      </c>
      <c r="I13" s="46">
        <f t="shared" si="0"/>
        <v>127650.68677619177</v>
      </c>
      <c r="J13" s="47">
        <f>H13*$G$45*($D$40+$D$41)/2</f>
        <v>213285.15</v>
      </c>
      <c r="K13" s="47">
        <f t="shared" si="1"/>
        <v>41047.75088622</v>
      </c>
      <c r="L13" s="47">
        <f t="shared" si="2"/>
        <v>43549.007692963496</v>
      </c>
      <c r="M13" s="47">
        <f t="shared" si="3"/>
        <v>297881.9085791835</v>
      </c>
      <c r="N13" s="47">
        <f t="shared" si="4"/>
        <v>8936.457257375505</v>
      </c>
      <c r="O13" s="47">
        <f t="shared" si="5"/>
        <v>306818.36583655904</v>
      </c>
    </row>
    <row r="14" spans="3:15" ht="15.75">
      <c r="C14" s="44" t="s">
        <v>226</v>
      </c>
      <c r="D14" s="44"/>
      <c r="E14" s="44"/>
      <c r="F14" s="44"/>
      <c r="G14" s="44"/>
      <c r="H14" s="45">
        <v>1</v>
      </c>
      <c r="I14" s="46">
        <f t="shared" si="0"/>
        <v>75857.2582817129</v>
      </c>
      <c r="J14" s="47">
        <f>H14*$G$45*($D$40+$D$43)/2</f>
        <v>126746.09999999999</v>
      </c>
      <c r="K14" s="47">
        <f t="shared" si="1"/>
        <v>24392.895326279995</v>
      </c>
      <c r="L14" s="47">
        <f t="shared" si="2"/>
        <v>25879.283597348996</v>
      </c>
      <c r="M14" s="47">
        <f t="shared" si="3"/>
        <v>177018.27892362897</v>
      </c>
      <c r="N14" s="47">
        <f t="shared" si="4"/>
        <v>5310.548367708869</v>
      </c>
      <c r="O14" s="47">
        <f t="shared" si="5"/>
        <v>182328.82729133783</v>
      </c>
    </row>
    <row r="15" spans="3:15" ht="15.75">
      <c r="C15" s="44" t="s">
        <v>227</v>
      </c>
      <c r="D15" s="44"/>
      <c r="E15" s="44"/>
      <c r="F15" s="44"/>
      <c r="G15" s="44"/>
      <c r="H15" s="45">
        <v>0</v>
      </c>
      <c r="I15" s="46">
        <f t="shared" si="0"/>
        <v>0</v>
      </c>
      <c r="J15" s="47">
        <f>H15*$G$45*($D$40+$D$43)/2</f>
        <v>0</v>
      </c>
      <c r="K15" s="47">
        <f t="shared" si="1"/>
        <v>0</v>
      </c>
      <c r="L15" s="47">
        <f t="shared" si="2"/>
        <v>0</v>
      </c>
      <c r="M15" s="47">
        <f t="shared" si="3"/>
        <v>0</v>
      </c>
      <c r="N15" s="47">
        <f t="shared" si="4"/>
        <v>0</v>
      </c>
      <c r="O15" s="47">
        <f t="shared" si="5"/>
        <v>0</v>
      </c>
    </row>
    <row r="16" spans="3:16" ht="15.75">
      <c r="C16" s="44" t="s">
        <v>228</v>
      </c>
      <c r="D16" s="44"/>
      <c r="E16" s="44"/>
      <c r="F16" s="44"/>
      <c r="G16" s="44"/>
      <c r="H16" s="45">
        <v>2</v>
      </c>
      <c r="I16" s="46">
        <f t="shared" si="0"/>
        <v>129440.50632911392</v>
      </c>
      <c r="J16" s="47">
        <f>H16*$G$45*D40*1.15</f>
        <v>216275.66999999998</v>
      </c>
      <c r="K16" s="47">
        <f t="shared" si="1"/>
        <v>41623.29081471599</v>
      </c>
      <c r="L16" s="47">
        <f t="shared" si="2"/>
        <v>44159.61831675029</v>
      </c>
      <c r="M16" s="47">
        <f t="shared" si="3"/>
        <v>302058.5791314663</v>
      </c>
      <c r="N16" s="47">
        <f t="shared" si="4"/>
        <v>9061.757373943989</v>
      </c>
      <c r="O16" s="47">
        <f t="shared" si="5"/>
        <v>311120.33650541026</v>
      </c>
      <c r="P16" s="44"/>
    </row>
    <row r="17" spans="3:15" ht="15.75">
      <c r="C17" s="44"/>
      <c r="D17" s="44"/>
      <c r="E17" s="44"/>
      <c r="F17" s="40" t="s">
        <v>204</v>
      </c>
      <c r="G17" s="44"/>
      <c r="H17" s="41">
        <v>12</v>
      </c>
      <c r="I17" s="48">
        <f>SUM(I6:I16)</f>
        <v>824899.3670886076</v>
      </c>
      <c r="J17" s="49">
        <f>SUM(J6:J16)</f>
        <v>1378283.1075</v>
      </c>
      <c r="K17" s="49">
        <f t="shared" si="1"/>
        <v>265257.19979729096</v>
      </c>
      <c r="L17" s="49">
        <f t="shared" si="2"/>
        <v>281420.72550104465</v>
      </c>
      <c r="M17" s="49">
        <f t="shared" si="3"/>
        <v>1924961.0327983354</v>
      </c>
      <c r="N17" s="49">
        <f t="shared" si="4"/>
        <v>57748.83098395006</v>
      </c>
      <c r="O17" s="49">
        <f t="shared" si="5"/>
        <v>1982709.8637822855</v>
      </c>
    </row>
    <row r="18" spans="3:15" ht="15.75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3:15" ht="15.75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3:15" ht="15.75">
      <c r="C20" s="40" t="s">
        <v>229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3:15" ht="15.75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3:15" ht="15.75">
      <c r="C22" s="44" t="s">
        <v>230</v>
      </c>
      <c r="D22" s="44"/>
      <c r="E22" s="44"/>
      <c r="F22" s="44"/>
      <c r="G22" s="44"/>
      <c r="H22" s="45">
        <v>1</v>
      </c>
      <c r="I22" s="46">
        <f>J22*$J$5</f>
        <v>83404.12065715055</v>
      </c>
      <c r="J22" s="47">
        <f>H22*$G$45*($D$41+$D$43)/2</f>
        <v>139355.775</v>
      </c>
      <c r="K22" s="47">
        <f>J22*$K$5</f>
        <v>26819.687806469996</v>
      </c>
      <c r="L22" s="47">
        <f>J22*$L$5</f>
        <v>28453.953393069747</v>
      </c>
      <c r="M22" s="47">
        <f>J22+K22+L22</f>
        <v>194629.41619953973</v>
      </c>
      <c r="N22" s="47">
        <f>$N$5*M22</f>
        <v>5838.882485986192</v>
      </c>
      <c r="O22" s="47">
        <f>M22+N22</f>
        <v>200468.29868552592</v>
      </c>
    </row>
    <row r="23" spans="3:15" ht="15.75">
      <c r="C23" s="44" t="s">
        <v>231</v>
      </c>
      <c r="D23" s="44"/>
      <c r="E23" s="44"/>
      <c r="F23" s="44"/>
      <c r="G23" s="44"/>
      <c r="H23" s="45">
        <v>3</v>
      </c>
      <c r="I23" s="46">
        <f>J23*$J$5</f>
        <v>191476.03016428763</v>
      </c>
      <c r="J23" s="47">
        <f>H23*$G$45*($D$40+$D$41)/2</f>
        <v>319927.725</v>
      </c>
      <c r="K23" s="47">
        <f>J23*$K$5</f>
        <v>61571.62632932999</v>
      </c>
      <c r="L23" s="47">
        <f>J23*$L$5</f>
        <v>65323.51153944524</v>
      </c>
      <c r="M23" s="47">
        <f>J23+K23+L23</f>
        <v>446822.8628687752</v>
      </c>
      <c r="N23" s="47">
        <f>$N$5*M23</f>
        <v>13404.685886063256</v>
      </c>
      <c r="O23" s="47">
        <f>M23+N23</f>
        <v>460227.54875483847</v>
      </c>
    </row>
    <row r="24" spans="3:15" ht="15.75">
      <c r="C24" s="44" t="s">
        <v>232</v>
      </c>
      <c r="D24" s="44"/>
      <c r="E24" s="44"/>
      <c r="F24" s="44"/>
      <c r="G24" s="44"/>
      <c r="H24" s="45">
        <v>2</v>
      </c>
      <c r="I24" s="46">
        <f>J24*$J$5</f>
        <v>112556.96202531645</v>
      </c>
      <c r="J24" s="47">
        <f>H24*$G$45*($D$40)</f>
        <v>188065.8</v>
      </c>
      <c r="K24" s="47">
        <f>J24*$K$5</f>
        <v>36194.165925839996</v>
      </c>
      <c r="L24" s="47">
        <f>J24*$L$5</f>
        <v>38399.668101521995</v>
      </c>
      <c r="M24" s="47">
        <f>J24+K24+L24</f>
        <v>262659.634027362</v>
      </c>
      <c r="N24" s="47">
        <f>$N$5*M24</f>
        <v>7879.789020820859</v>
      </c>
      <c r="O24" s="47">
        <f>M24+N24</f>
        <v>270539.42304818286</v>
      </c>
    </row>
    <row r="25" spans="3:15" ht="15.75">
      <c r="C25" s="44"/>
      <c r="D25" s="44"/>
      <c r="E25" s="44"/>
      <c r="F25" s="40" t="s">
        <v>204</v>
      </c>
      <c r="G25" s="44"/>
      <c r="H25" s="41">
        <v>6</v>
      </c>
      <c r="I25" s="49">
        <f aca="true" t="shared" si="6" ref="I25:O25">SUM(I22:I24)</f>
        <v>387437.1128467546</v>
      </c>
      <c r="J25" s="49">
        <f t="shared" si="6"/>
        <v>647349.3</v>
      </c>
      <c r="K25" s="49">
        <f t="shared" si="6"/>
        <v>124585.48006163997</v>
      </c>
      <c r="L25" s="49">
        <f t="shared" si="6"/>
        <v>132177.13303403696</v>
      </c>
      <c r="M25" s="49">
        <f t="shared" si="6"/>
        <v>904111.9130956769</v>
      </c>
      <c r="N25" s="49">
        <f t="shared" si="6"/>
        <v>27123.357392870308</v>
      </c>
      <c r="O25" s="49">
        <f t="shared" si="6"/>
        <v>931235.2704885473</v>
      </c>
    </row>
    <row r="26" spans="8:15" ht="15.75">
      <c r="H26" s="44"/>
      <c r="I26" s="44"/>
      <c r="J26" s="44"/>
      <c r="K26" s="44"/>
      <c r="L26" s="44"/>
      <c r="M26" s="44"/>
      <c r="N26" s="44"/>
      <c r="O26" s="44"/>
    </row>
    <row r="27" spans="6:16" ht="15.75">
      <c r="F27" s="40" t="s">
        <v>199</v>
      </c>
      <c r="G27" s="44"/>
      <c r="H27" s="41">
        <f aca="true" t="shared" si="7" ref="H27:O27">H17+H25</f>
        <v>18</v>
      </c>
      <c r="I27" s="49">
        <f t="shared" si="7"/>
        <v>1212336.4799353622</v>
      </c>
      <c r="J27" s="49">
        <f t="shared" si="7"/>
        <v>2025632.4075</v>
      </c>
      <c r="K27" s="49">
        <f t="shared" si="7"/>
        <v>389842.67985893093</v>
      </c>
      <c r="L27" s="49">
        <f t="shared" si="7"/>
        <v>413597.8585350816</v>
      </c>
      <c r="M27" s="49">
        <f t="shared" si="7"/>
        <v>2829072.945894012</v>
      </c>
      <c r="N27" s="49">
        <f t="shared" si="7"/>
        <v>84872.18837682037</v>
      </c>
      <c r="O27" s="49">
        <f t="shared" si="7"/>
        <v>2913945.134270833</v>
      </c>
      <c r="P27" s="44"/>
    </row>
    <row r="28" spans="6:16" ht="15.75">
      <c r="F28" s="40"/>
      <c r="G28" s="44"/>
      <c r="H28" s="41"/>
      <c r="I28" s="49"/>
      <c r="J28" s="49"/>
      <c r="K28" s="49"/>
      <c r="L28" s="49"/>
      <c r="M28" s="49"/>
      <c r="N28" s="49"/>
      <c r="O28" s="49"/>
      <c r="P28" s="44"/>
    </row>
    <row r="29" spans="3:16" ht="15.75">
      <c r="C29" s="40" t="s">
        <v>233</v>
      </c>
      <c r="F29" s="40"/>
      <c r="G29" s="44"/>
      <c r="H29" s="41"/>
      <c r="I29" s="49"/>
      <c r="J29" s="49"/>
      <c r="K29" s="49"/>
      <c r="L29" s="49"/>
      <c r="M29" s="49"/>
      <c r="N29" s="49"/>
      <c r="O29" s="49"/>
      <c r="P29" s="44"/>
    </row>
    <row r="30" spans="3:16" ht="15.75">
      <c r="C30" s="44" t="s">
        <v>234</v>
      </c>
      <c r="F30" s="40"/>
      <c r="G30" s="44"/>
      <c r="H30" s="41"/>
      <c r="I30" s="49"/>
      <c r="J30" s="49"/>
      <c r="K30" s="49"/>
      <c r="L30" s="49"/>
      <c r="M30" s="49"/>
      <c r="N30" s="49"/>
      <c r="O30" s="49"/>
      <c r="P30" s="44"/>
    </row>
    <row r="31" spans="3:16" ht="15.75">
      <c r="C31" s="44" t="s">
        <v>235</v>
      </c>
      <c r="F31" s="40"/>
      <c r="G31" s="44"/>
      <c r="H31" s="45">
        <v>3</v>
      </c>
      <c r="I31" s="49"/>
      <c r="J31" s="47">
        <f>H31*168*D41*0.15</f>
        <v>5137.02</v>
      </c>
      <c r="K31" s="47">
        <f>J31*$K$5</f>
        <v>988.644156696</v>
      </c>
      <c r="L31" s="47">
        <f>J31*$L$5</f>
        <v>1048.8874799718</v>
      </c>
      <c r="M31" s="47">
        <f>J31+K31+L31</f>
        <v>7174.5516366678</v>
      </c>
      <c r="N31" s="47">
        <f>$N$5*M31</f>
        <v>215.236549100034</v>
      </c>
      <c r="O31" s="47">
        <f>M31+N31</f>
        <v>7389.788185767834</v>
      </c>
      <c r="P31" s="44"/>
    </row>
    <row r="32" spans="3:16" ht="15.75">
      <c r="C32" s="44" t="s">
        <v>236</v>
      </c>
      <c r="F32" s="40"/>
      <c r="G32" s="44"/>
      <c r="H32" s="45">
        <v>1</v>
      </c>
      <c r="I32" s="49"/>
      <c r="J32" s="49">
        <v>0</v>
      </c>
      <c r="K32" s="47">
        <f>J32*$K$5</f>
        <v>0</v>
      </c>
      <c r="L32" s="47">
        <f>J32*$L$5</f>
        <v>0</v>
      </c>
      <c r="M32" s="47">
        <f>J32+K32+L32</f>
        <v>0</v>
      </c>
      <c r="N32" s="47">
        <f>$N$5*M32</f>
        <v>0</v>
      </c>
      <c r="O32" s="47">
        <f>M32+N32</f>
        <v>0</v>
      </c>
      <c r="P32" s="44"/>
    </row>
    <row r="33" spans="3:16" ht="15.75">
      <c r="C33" s="44" t="s">
        <v>237</v>
      </c>
      <c r="F33" s="40"/>
      <c r="G33" s="44"/>
      <c r="H33" s="45">
        <v>1</v>
      </c>
      <c r="I33" s="49"/>
      <c r="J33" s="47">
        <f>H33*168*D40*0.15</f>
        <v>1350.2160000000001</v>
      </c>
      <c r="K33" s="47">
        <f>J33*$K$5</f>
        <v>259.8555502368</v>
      </c>
      <c r="L33" s="47">
        <f>J33*$L$5</f>
        <v>275.68992483144</v>
      </c>
      <c r="M33" s="47">
        <f>J33+K33+L33</f>
        <v>1885.7614750682403</v>
      </c>
      <c r="N33" s="47">
        <f>$N$5*M33</f>
        <v>56.572844252047204</v>
      </c>
      <c r="O33" s="47">
        <f>M33+N33</f>
        <v>1942.3343193202875</v>
      </c>
      <c r="P33" s="44"/>
    </row>
    <row r="34" spans="3:16" ht="15.75">
      <c r="C34" s="44" t="s">
        <v>238</v>
      </c>
      <c r="F34" s="40"/>
      <c r="G34" s="44"/>
      <c r="H34" s="45">
        <v>1</v>
      </c>
      <c r="I34" s="49"/>
      <c r="J34" s="47">
        <f>H34*168*D40*0.15</f>
        <v>1350.2160000000001</v>
      </c>
      <c r="K34" s="47">
        <f>J34*$K$5</f>
        <v>259.8555502368</v>
      </c>
      <c r="L34" s="47">
        <f>J34*$L$5</f>
        <v>275.68992483144</v>
      </c>
      <c r="M34" s="47">
        <f>J34+K34+L34</f>
        <v>1885.7614750682403</v>
      </c>
      <c r="N34" s="47">
        <f>$N$5*M34</f>
        <v>56.572844252047204</v>
      </c>
      <c r="O34" s="47">
        <f>M34+N34</f>
        <v>1942.3343193202875</v>
      </c>
      <c r="P34" s="44"/>
    </row>
    <row r="35" spans="3:16" ht="15.75">
      <c r="C35" s="44" t="s">
        <v>97</v>
      </c>
      <c r="F35" s="40"/>
      <c r="G35" s="44"/>
      <c r="H35" s="45"/>
      <c r="I35" s="49"/>
      <c r="J35" s="49">
        <f aca="true" t="shared" si="8" ref="J35:O35">SUM(J31:J34)</f>
        <v>7837.452000000001</v>
      </c>
      <c r="K35" s="49">
        <f t="shared" si="8"/>
        <v>1508.3552571696</v>
      </c>
      <c r="L35" s="49">
        <f t="shared" si="8"/>
        <v>1600.2673296346802</v>
      </c>
      <c r="M35" s="49">
        <f t="shared" si="8"/>
        <v>10946.074586804281</v>
      </c>
      <c r="N35" s="49">
        <f t="shared" si="8"/>
        <v>328.3822376041284</v>
      </c>
      <c r="O35" s="49">
        <f t="shared" si="8"/>
        <v>11274.45682440841</v>
      </c>
      <c r="P35" s="44"/>
    </row>
    <row r="36" spans="6:16" ht="15.75">
      <c r="F36" s="40"/>
      <c r="G36" s="44"/>
      <c r="H36" s="41"/>
      <c r="I36" s="49"/>
      <c r="J36" s="49"/>
      <c r="K36" s="49"/>
      <c r="L36" s="49"/>
      <c r="M36" s="49"/>
      <c r="N36" s="49"/>
      <c r="O36" s="49"/>
      <c r="P36" s="44"/>
    </row>
    <row r="37" spans="8:15" ht="15.75">
      <c r="H37" s="44"/>
      <c r="I37" s="44"/>
      <c r="J37" s="44"/>
      <c r="K37" s="44"/>
      <c r="L37" s="44"/>
      <c r="M37" s="44"/>
      <c r="N37" s="44"/>
      <c r="O37" s="44"/>
    </row>
    <row r="38" spans="3:15" ht="15.75">
      <c r="C38" s="5" t="s">
        <v>181</v>
      </c>
      <c r="F38" s="9"/>
      <c r="H38" s="44"/>
      <c r="I38" s="44"/>
      <c r="J38" s="44"/>
      <c r="K38" s="44"/>
      <c r="L38" s="44"/>
      <c r="M38" s="44"/>
      <c r="N38" s="44"/>
      <c r="O38" s="44"/>
    </row>
    <row r="39" spans="3:6" ht="12.75">
      <c r="C39" s="5" t="s">
        <v>239</v>
      </c>
      <c r="D39" s="6" t="s">
        <v>182</v>
      </c>
      <c r="F39" s="9"/>
    </row>
    <row r="40" spans="3:6" ht="12.75">
      <c r="C40" t="s">
        <v>183</v>
      </c>
      <c r="D40" s="50">
        <f>'Labor and Indirect Rates (NSF)'!C129</f>
        <v>53.58</v>
      </c>
      <c r="E40" t="s">
        <v>184</v>
      </c>
      <c r="F40" s="9"/>
    </row>
    <row r="41" spans="3:6" ht="12.75">
      <c r="C41" t="s">
        <v>185</v>
      </c>
      <c r="D41" s="50">
        <f>'Labor and Indirect Rates (NSF)'!C130</f>
        <v>67.95</v>
      </c>
      <c r="E41" t="s">
        <v>184</v>
      </c>
      <c r="F41" s="20"/>
    </row>
    <row r="42" spans="3:6" ht="12.75">
      <c r="C42" t="s">
        <v>186</v>
      </c>
      <c r="D42" s="24">
        <f>'Labor and Indirect Rates (NSF)'!C131</f>
        <v>58.11</v>
      </c>
      <c r="E42" t="s">
        <v>184</v>
      </c>
      <c r="F42" s="51"/>
    </row>
    <row r="43" spans="3:6" ht="12.75">
      <c r="C43" t="s">
        <v>187</v>
      </c>
      <c r="D43" s="24">
        <f>'Labor and Indirect Rates (NSF)'!C132</f>
        <v>90.86</v>
      </c>
      <c r="E43" t="s">
        <v>184</v>
      </c>
      <c r="F43" s="51"/>
    </row>
    <row r="44" spans="5:6" ht="12.75">
      <c r="E44" s="52"/>
      <c r="F44" s="51"/>
    </row>
    <row r="45" spans="3:7" ht="12.75">
      <c r="C45" s="27" t="s">
        <v>194</v>
      </c>
      <c r="G45" s="28">
        <v>1755</v>
      </c>
    </row>
    <row r="46" ht="12.75">
      <c r="F46" s="9"/>
    </row>
    <row r="47" spans="4:6" ht="12.75">
      <c r="D47" s="13"/>
      <c r="F47" s="9"/>
    </row>
    <row r="48" spans="4:6" ht="12.75">
      <c r="D48" s="13"/>
      <c r="F48" s="9"/>
    </row>
    <row r="49" spans="4:6" ht="12.75">
      <c r="D49" s="13"/>
      <c r="F49" s="9"/>
    </row>
    <row r="50" spans="4:6" ht="12.75">
      <c r="D50" s="13"/>
      <c r="F50" s="9"/>
    </row>
    <row r="51" spans="4:6" ht="12.75">
      <c r="D51" s="13"/>
      <c r="F51" s="9"/>
    </row>
    <row r="52" ht="12.75">
      <c r="F52" s="9"/>
    </row>
    <row r="53" ht="12.75">
      <c r="F53" s="9"/>
    </row>
  </sheetData>
  <printOptions gridLines="1"/>
  <pageMargins left="0.75" right="0.75" top="1" bottom="1" header="0.5" footer="0.5"/>
  <pageSetup fitToHeight="1" fitToWidth="1" horizontalDpi="300" verticalDpi="3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53"/>
  <sheetViews>
    <sheetView zoomScale="75" zoomScaleNormal="75" workbookViewId="0" topLeftCell="A1">
      <selection activeCell="G40" sqref="G40"/>
    </sheetView>
  </sheetViews>
  <sheetFormatPr defaultColWidth="9.140625" defaultRowHeight="12.75"/>
  <cols>
    <col min="4" max="4" width="8.421875" style="0" customWidth="1"/>
    <col min="6" max="6" width="11.00390625" style="0" customWidth="1"/>
    <col min="9" max="9" width="12.7109375" style="0" customWidth="1"/>
    <col min="10" max="10" width="19.140625" style="0" customWidth="1"/>
    <col min="11" max="11" width="18.7109375" style="0" customWidth="1"/>
    <col min="12" max="12" width="20.140625" style="0" customWidth="1"/>
    <col min="13" max="13" width="14.140625" style="0" customWidth="1"/>
    <col min="14" max="15" width="15.57421875" style="0" customWidth="1"/>
    <col min="16" max="16" width="11.57421875" style="0" customWidth="1"/>
  </cols>
  <sheetData>
    <row r="2" ht="15.75">
      <c r="C2" s="36" t="s">
        <v>242</v>
      </c>
    </row>
    <row r="3" spans="3:13" ht="15.75">
      <c r="C3" s="40" t="s">
        <v>215</v>
      </c>
      <c r="J3" s="41" t="s">
        <v>216</v>
      </c>
      <c r="K3" s="33"/>
      <c r="L3" s="41" t="s">
        <v>217</v>
      </c>
      <c r="M3" s="33"/>
    </row>
    <row r="4" spans="8:15" ht="15.75">
      <c r="H4" s="41" t="s">
        <v>197</v>
      </c>
      <c r="I4" s="41" t="s">
        <v>218</v>
      </c>
      <c r="J4" s="41" t="s">
        <v>219</v>
      </c>
      <c r="K4" s="41" t="s">
        <v>220</v>
      </c>
      <c r="L4" s="41" t="s">
        <v>221</v>
      </c>
      <c r="M4" s="41" t="s">
        <v>204</v>
      </c>
      <c r="N4" s="41" t="s">
        <v>166</v>
      </c>
      <c r="O4" s="41" t="s">
        <v>199</v>
      </c>
    </row>
    <row r="5" spans="8:15" ht="15.75">
      <c r="H5" s="41"/>
      <c r="I5" s="41"/>
      <c r="J5" s="42">
        <f>'Labor and Indirect Rates (NSF)'!J10</f>
        <v>0.5984977705958046</v>
      </c>
      <c r="K5" s="42">
        <f>'Labor and Indirect Rates (NSF)'!H19</f>
        <v>0.19245479999999998</v>
      </c>
      <c r="L5" s="42">
        <f>'Labor and Indirect Rates (NSF)'!H28</f>
        <v>0.20418208999999998</v>
      </c>
      <c r="M5" s="41"/>
      <c r="N5" s="43">
        <v>0.03</v>
      </c>
      <c r="O5" s="40"/>
    </row>
    <row r="6" spans="3:15" ht="15.75">
      <c r="C6" s="44" t="s">
        <v>195</v>
      </c>
      <c r="D6" s="44"/>
      <c r="E6" s="44"/>
      <c r="F6" s="44"/>
      <c r="G6" s="44"/>
      <c r="H6" s="45">
        <v>1</v>
      </c>
      <c r="I6" s="46">
        <f>J6*$J$5</f>
        <v>95436.03555076757</v>
      </c>
      <c r="J6" s="47">
        <f>H6*$G$45*D43</f>
        <v>159459.3</v>
      </c>
      <c r="K6" s="47">
        <f>J6*$K$5</f>
        <v>30688.707689639996</v>
      </c>
      <c r="L6" s="47">
        <f aca="true" t="shared" si="0" ref="L6:L17">J6*$L$5</f>
        <v>32558.733143936995</v>
      </c>
      <c r="M6" s="47">
        <f aca="true" t="shared" si="1" ref="M6:M17">J6+K6+L6</f>
        <v>222706.74083357697</v>
      </c>
      <c r="N6" s="47">
        <f>$N$5*M6</f>
        <v>6681.202225007309</v>
      </c>
      <c r="O6" s="47">
        <f aca="true" t="shared" si="2" ref="O6:O17">M6+N6</f>
        <v>229387.9430585843</v>
      </c>
    </row>
    <row r="7" spans="3:15" ht="15.75">
      <c r="C7" s="44" t="s">
        <v>222</v>
      </c>
      <c r="D7" s="44"/>
      <c r="E7" s="44"/>
      <c r="F7" s="44"/>
      <c r="G7" s="44"/>
      <c r="H7" s="45">
        <v>1</v>
      </c>
      <c r="I7" s="46">
        <f aca="true" t="shared" si="3" ref="I7:I16">J7*$J$5</f>
        <v>71372.20576353354</v>
      </c>
      <c r="J7" s="47">
        <f>H7*$G$45*D41</f>
        <v>119252.25</v>
      </c>
      <c r="K7" s="47">
        <f aca="true" t="shared" si="4" ref="K7:K17">J7*$K$5</f>
        <v>22950.6679233</v>
      </c>
      <c r="L7" s="47">
        <f t="shared" si="0"/>
        <v>24349.1736422025</v>
      </c>
      <c r="M7" s="47">
        <f t="shared" si="1"/>
        <v>166552.09156550252</v>
      </c>
      <c r="N7" s="47">
        <f aca="true" t="shared" si="5" ref="N7:N17">$N$5*M7</f>
        <v>4996.562746965075</v>
      </c>
      <c r="O7" s="47">
        <f t="shared" si="2"/>
        <v>171548.65431246758</v>
      </c>
    </row>
    <row r="8" spans="3:15" ht="15.75">
      <c r="C8" s="44" t="s">
        <v>95</v>
      </c>
      <c r="D8" s="44"/>
      <c r="E8" s="44"/>
      <c r="F8" s="44"/>
      <c r="G8" s="44"/>
      <c r="H8" s="45">
        <v>0.5</v>
      </c>
      <c r="I8" s="46">
        <f t="shared" si="3"/>
        <v>37928.62914085645</v>
      </c>
      <c r="J8" s="47">
        <f>H8*$G$45*($D$40+$D$43)/2</f>
        <v>63373.049999999996</v>
      </c>
      <c r="K8" s="47">
        <f t="shared" si="4"/>
        <v>12196.447663139998</v>
      </c>
      <c r="L8" s="47">
        <f t="shared" si="0"/>
        <v>12939.641798674498</v>
      </c>
      <c r="M8" s="47">
        <f t="shared" si="1"/>
        <v>88509.13946181448</v>
      </c>
      <c r="N8" s="47">
        <f t="shared" si="5"/>
        <v>2655.2741838544343</v>
      </c>
      <c r="O8" s="47">
        <f t="shared" si="2"/>
        <v>91164.41364566892</v>
      </c>
    </row>
    <row r="9" spans="3:15" ht="15.75">
      <c r="C9" s="44" t="s">
        <v>94</v>
      </c>
      <c r="D9" s="44"/>
      <c r="E9" s="44"/>
      <c r="F9" s="44"/>
      <c r="G9" s="44"/>
      <c r="H9" s="45">
        <v>1</v>
      </c>
      <c r="I9" s="46">
        <f t="shared" si="3"/>
        <v>63825.343388095884</v>
      </c>
      <c r="J9" s="47">
        <f>H9*$G$45*($D$40+$D$41)/2</f>
        <v>106642.575</v>
      </c>
      <c r="K9" s="47">
        <f t="shared" si="4"/>
        <v>20523.87544311</v>
      </c>
      <c r="L9" s="47">
        <f t="shared" si="0"/>
        <v>21774.503846481748</v>
      </c>
      <c r="M9" s="47">
        <f t="shared" si="1"/>
        <v>148940.95428959175</v>
      </c>
      <c r="N9" s="47">
        <f t="shared" si="5"/>
        <v>4468.2286286877525</v>
      </c>
      <c r="O9" s="47">
        <f t="shared" si="2"/>
        <v>153409.18291827952</v>
      </c>
    </row>
    <row r="10" spans="3:15" ht="15.75">
      <c r="C10" s="44" t="s">
        <v>223</v>
      </c>
      <c r="D10" s="44"/>
      <c r="E10" s="44"/>
      <c r="F10" s="44"/>
      <c r="G10" s="44"/>
      <c r="H10" s="45">
        <v>0.5</v>
      </c>
      <c r="I10" s="46">
        <f t="shared" si="3"/>
        <v>31912.671694047942</v>
      </c>
      <c r="J10" s="47">
        <f>H10*$G$45*($D$40+$D$41)/2</f>
        <v>53321.2875</v>
      </c>
      <c r="K10" s="47">
        <f t="shared" si="4"/>
        <v>10261.937721555</v>
      </c>
      <c r="L10" s="47">
        <f t="shared" si="0"/>
        <v>10887.251923240874</v>
      </c>
      <c r="M10" s="47">
        <f t="shared" si="1"/>
        <v>74470.47714479588</v>
      </c>
      <c r="N10" s="47">
        <f t="shared" si="5"/>
        <v>2234.1143143438762</v>
      </c>
      <c r="O10" s="47">
        <f t="shared" si="2"/>
        <v>76704.59145913976</v>
      </c>
    </row>
    <row r="11" spans="3:15" ht="15.75">
      <c r="C11" s="44" t="s">
        <v>224</v>
      </c>
      <c r="D11" s="44"/>
      <c r="E11" s="44"/>
      <c r="F11" s="44"/>
      <c r="G11" s="44"/>
      <c r="H11" s="45">
        <v>1.5</v>
      </c>
      <c r="I11" s="46">
        <f t="shared" si="3"/>
        <v>95738.01508214381</v>
      </c>
      <c r="J11" s="47">
        <f>H11*$G$45*($D$40+$D$41)/2</f>
        <v>159963.8625</v>
      </c>
      <c r="K11" s="47">
        <f t="shared" si="4"/>
        <v>30785.813164664996</v>
      </c>
      <c r="L11" s="47">
        <f t="shared" si="0"/>
        <v>32661.75576972262</v>
      </c>
      <c r="M11" s="47">
        <f t="shared" si="1"/>
        <v>223411.4314343876</v>
      </c>
      <c r="N11" s="47">
        <f t="shared" si="5"/>
        <v>6702.342943031628</v>
      </c>
      <c r="O11" s="47">
        <f t="shared" si="2"/>
        <v>230113.77437741923</v>
      </c>
    </row>
    <row r="12" spans="3:15" ht="15.75">
      <c r="C12" s="44" t="s">
        <v>93</v>
      </c>
      <c r="D12" s="44"/>
      <c r="E12" s="44"/>
      <c r="F12" s="44"/>
      <c r="G12" s="44"/>
      <c r="H12" s="45">
        <v>1.5</v>
      </c>
      <c r="I12" s="46">
        <f t="shared" si="3"/>
        <v>95738.01508214381</v>
      </c>
      <c r="J12" s="47">
        <f>H12*$G$45*($D$40+$D$41)/2</f>
        <v>159963.8625</v>
      </c>
      <c r="K12" s="47">
        <f t="shared" si="4"/>
        <v>30785.813164664996</v>
      </c>
      <c r="L12" s="47">
        <f t="shared" si="0"/>
        <v>32661.75576972262</v>
      </c>
      <c r="M12" s="47">
        <f t="shared" si="1"/>
        <v>223411.4314343876</v>
      </c>
      <c r="N12" s="47">
        <f t="shared" si="5"/>
        <v>6702.342943031628</v>
      </c>
      <c r="O12" s="47">
        <f t="shared" si="2"/>
        <v>230113.77437741923</v>
      </c>
    </row>
    <row r="13" spans="3:15" ht="15.75">
      <c r="C13" s="44" t="s">
        <v>225</v>
      </c>
      <c r="D13" s="44"/>
      <c r="E13" s="44"/>
      <c r="F13" s="44"/>
      <c r="G13" s="44"/>
      <c r="H13" s="45">
        <v>2</v>
      </c>
      <c r="I13" s="46">
        <f t="shared" si="3"/>
        <v>127650.68677619177</v>
      </c>
      <c r="J13" s="47">
        <f>H13*$G$45*($D$40+$D$41)/2</f>
        <v>213285.15</v>
      </c>
      <c r="K13" s="47">
        <f t="shared" si="4"/>
        <v>41047.75088622</v>
      </c>
      <c r="L13" s="47">
        <f t="shared" si="0"/>
        <v>43549.007692963496</v>
      </c>
      <c r="M13" s="47">
        <f t="shared" si="1"/>
        <v>297881.9085791835</v>
      </c>
      <c r="N13" s="47">
        <f t="shared" si="5"/>
        <v>8936.457257375505</v>
      </c>
      <c r="O13" s="47">
        <f t="shared" si="2"/>
        <v>306818.36583655904</v>
      </c>
    </row>
    <row r="14" spans="3:15" ht="15.75">
      <c r="C14" s="44" t="s">
        <v>226</v>
      </c>
      <c r="D14" s="44"/>
      <c r="E14" s="44"/>
      <c r="F14" s="44"/>
      <c r="G14" s="44"/>
      <c r="H14" s="45">
        <v>1</v>
      </c>
      <c r="I14" s="46">
        <f t="shared" si="3"/>
        <v>75857.2582817129</v>
      </c>
      <c r="J14" s="47">
        <f>H14*$G$45*($D$40+$D$43)/2</f>
        <v>126746.09999999999</v>
      </c>
      <c r="K14" s="47">
        <f t="shared" si="4"/>
        <v>24392.895326279995</v>
      </c>
      <c r="L14" s="47">
        <f t="shared" si="0"/>
        <v>25879.283597348996</v>
      </c>
      <c r="M14" s="47">
        <f t="shared" si="1"/>
        <v>177018.27892362897</v>
      </c>
      <c r="N14" s="47">
        <f t="shared" si="5"/>
        <v>5310.548367708869</v>
      </c>
      <c r="O14" s="47">
        <f t="shared" si="2"/>
        <v>182328.82729133783</v>
      </c>
    </row>
    <row r="15" spans="3:15" ht="15.75">
      <c r="C15" s="44" t="s">
        <v>227</v>
      </c>
      <c r="D15" s="44"/>
      <c r="E15" s="44"/>
      <c r="F15" s="44"/>
      <c r="G15" s="44"/>
      <c r="H15" s="45">
        <v>0</v>
      </c>
      <c r="I15" s="46">
        <f t="shared" si="3"/>
        <v>0</v>
      </c>
      <c r="J15" s="47">
        <f>H15*$G$45*($D$40+$D$43)/2</f>
        <v>0</v>
      </c>
      <c r="K15" s="47">
        <f t="shared" si="4"/>
        <v>0</v>
      </c>
      <c r="L15" s="47">
        <f t="shared" si="0"/>
        <v>0</v>
      </c>
      <c r="M15" s="47">
        <f t="shared" si="1"/>
        <v>0</v>
      </c>
      <c r="N15" s="47">
        <f t="shared" si="5"/>
        <v>0</v>
      </c>
      <c r="O15" s="47">
        <f t="shared" si="2"/>
        <v>0</v>
      </c>
    </row>
    <row r="16" spans="3:16" ht="15.75">
      <c r="C16" s="44" t="s">
        <v>228</v>
      </c>
      <c r="D16" s="44"/>
      <c r="E16" s="44"/>
      <c r="F16" s="44"/>
      <c r="G16" s="44"/>
      <c r="H16" s="45">
        <v>2</v>
      </c>
      <c r="I16" s="46">
        <f t="shared" si="3"/>
        <v>129440.50632911392</v>
      </c>
      <c r="J16" s="47">
        <f>H16*$G$45*D40*1.15</f>
        <v>216275.66999999998</v>
      </c>
      <c r="K16" s="47">
        <f t="shared" si="4"/>
        <v>41623.29081471599</v>
      </c>
      <c r="L16" s="47">
        <f t="shared" si="0"/>
        <v>44159.61831675029</v>
      </c>
      <c r="M16" s="47">
        <f t="shared" si="1"/>
        <v>302058.5791314663</v>
      </c>
      <c r="N16" s="47">
        <f t="shared" si="5"/>
        <v>9061.757373943989</v>
      </c>
      <c r="O16" s="47">
        <f t="shared" si="2"/>
        <v>311120.33650541026</v>
      </c>
      <c r="P16" s="44"/>
    </row>
    <row r="17" spans="3:15" ht="15.75">
      <c r="C17" s="44"/>
      <c r="D17" s="44"/>
      <c r="E17" s="44"/>
      <c r="F17" s="40" t="s">
        <v>204</v>
      </c>
      <c r="G17" s="44"/>
      <c r="H17" s="41">
        <v>12</v>
      </c>
      <c r="I17" s="48">
        <f>SUM(I6:I16)</f>
        <v>824899.3670886076</v>
      </c>
      <c r="J17" s="49">
        <f>SUM(J6:J16)</f>
        <v>1378283.1075</v>
      </c>
      <c r="K17" s="49">
        <f t="shared" si="4"/>
        <v>265257.19979729096</v>
      </c>
      <c r="L17" s="49">
        <f t="shared" si="0"/>
        <v>281420.72550104465</v>
      </c>
      <c r="M17" s="49">
        <f t="shared" si="1"/>
        <v>1924961.0327983354</v>
      </c>
      <c r="N17" s="49">
        <f t="shared" si="5"/>
        <v>57748.83098395006</v>
      </c>
      <c r="O17" s="49">
        <f t="shared" si="2"/>
        <v>1982709.8637822855</v>
      </c>
    </row>
    <row r="18" spans="3:15" ht="15.75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3:15" ht="15.75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3:15" ht="15.75">
      <c r="C20" s="40" t="s">
        <v>240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3:15" ht="15.75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3:15" ht="15.75">
      <c r="C22" s="44" t="s">
        <v>230</v>
      </c>
      <c r="D22" s="44"/>
      <c r="E22" s="44"/>
      <c r="F22" s="44"/>
      <c r="G22" s="44"/>
      <c r="H22" s="45">
        <v>1</v>
      </c>
      <c r="I22" s="46">
        <f>J22*$J$5</f>
        <v>83404.12065715055</v>
      </c>
      <c r="J22" s="47">
        <f>H22*$G$45*($D$41+$D$43)/2</f>
        <v>139355.775</v>
      </c>
      <c r="K22" s="47">
        <f>J22*$K$5</f>
        <v>26819.687806469996</v>
      </c>
      <c r="L22" s="47">
        <f>J22*$L$5</f>
        <v>28453.953393069747</v>
      </c>
      <c r="M22" s="47">
        <f>J22+K22+L22</f>
        <v>194629.41619953973</v>
      </c>
      <c r="N22" s="47">
        <f>$N$5*M22</f>
        <v>5838.882485986192</v>
      </c>
      <c r="O22" s="47">
        <f>M22+N22</f>
        <v>200468.29868552592</v>
      </c>
    </row>
    <row r="23" spans="3:15" ht="15.75">
      <c r="C23" s="44" t="s">
        <v>241</v>
      </c>
      <c r="D23" s="44"/>
      <c r="E23" s="44"/>
      <c r="F23" s="44"/>
      <c r="G23" s="44"/>
      <c r="H23" s="45">
        <v>1</v>
      </c>
      <c r="I23" s="46">
        <f>J23*$J$5</f>
        <v>63825.343388095884</v>
      </c>
      <c r="J23" s="47">
        <f>H23*$G$45*($D$40+$D$41)/2</f>
        <v>106642.575</v>
      </c>
      <c r="K23" s="47">
        <f>J23*$K$5</f>
        <v>20523.87544311</v>
      </c>
      <c r="L23" s="47">
        <f>J23*$L$5</f>
        <v>21774.503846481748</v>
      </c>
      <c r="M23" s="47">
        <f>J23+K23+L23</f>
        <v>148940.95428959175</v>
      </c>
      <c r="N23" s="47">
        <f>$N$5*M23</f>
        <v>4468.2286286877525</v>
      </c>
      <c r="O23" s="47">
        <f>M23+N23</f>
        <v>153409.18291827952</v>
      </c>
    </row>
    <row r="24" spans="3:15" ht="15.75">
      <c r="C24" s="44" t="s">
        <v>232</v>
      </c>
      <c r="D24" s="44"/>
      <c r="E24" s="44"/>
      <c r="F24" s="44"/>
      <c r="G24" s="44"/>
      <c r="H24" s="45">
        <v>2</v>
      </c>
      <c r="I24" s="46">
        <f>J24*$J$5</f>
        <v>112556.96202531645</v>
      </c>
      <c r="J24" s="47">
        <f>H24*$G$45*($D$40)</f>
        <v>188065.8</v>
      </c>
      <c r="K24" s="47">
        <f>J24*$K$5</f>
        <v>36194.165925839996</v>
      </c>
      <c r="L24" s="47">
        <f>J24*$L$5</f>
        <v>38399.668101521995</v>
      </c>
      <c r="M24" s="47">
        <f>J24+K24+L24</f>
        <v>262659.634027362</v>
      </c>
      <c r="N24" s="47">
        <f>$N$5*M24</f>
        <v>7879.789020820859</v>
      </c>
      <c r="O24" s="47">
        <f>M24+N24</f>
        <v>270539.42304818286</v>
      </c>
    </row>
    <row r="25" spans="3:15" ht="15.75">
      <c r="C25" s="44"/>
      <c r="D25" s="44"/>
      <c r="E25" s="44"/>
      <c r="F25" s="40" t="s">
        <v>204</v>
      </c>
      <c r="G25" s="44"/>
      <c r="H25" s="41">
        <v>4</v>
      </c>
      <c r="I25" s="49">
        <f aca="true" t="shared" si="6" ref="I25:O25">SUM(I22:I24)</f>
        <v>259786.42607056285</v>
      </c>
      <c r="J25" s="49">
        <f t="shared" si="6"/>
        <v>434064.14999999997</v>
      </c>
      <c r="K25" s="49">
        <f t="shared" si="6"/>
        <v>83537.72917541998</v>
      </c>
      <c r="L25" s="49">
        <f t="shared" si="6"/>
        <v>88628.1253410735</v>
      </c>
      <c r="M25" s="49">
        <f t="shared" si="6"/>
        <v>606230.0045164935</v>
      </c>
      <c r="N25" s="49">
        <f t="shared" si="6"/>
        <v>18186.900135494805</v>
      </c>
      <c r="O25" s="49">
        <f t="shared" si="6"/>
        <v>624416.9046519883</v>
      </c>
    </row>
    <row r="26" spans="8:15" ht="15.75">
      <c r="H26" s="44"/>
      <c r="I26" s="44"/>
      <c r="J26" s="44"/>
      <c r="K26" s="44"/>
      <c r="L26" s="44"/>
      <c r="M26" s="44"/>
      <c r="N26" s="44"/>
      <c r="O26" s="44"/>
    </row>
    <row r="27" spans="6:16" ht="15.75">
      <c r="F27" s="40" t="s">
        <v>199</v>
      </c>
      <c r="G27" s="44"/>
      <c r="H27" s="41">
        <f aca="true" t="shared" si="7" ref="H27:O27">H17+H25</f>
        <v>16</v>
      </c>
      <c r="I27" s="49">
        <f t="shared" si="7"/>
        <v>1084685.7931591705</v>
      </c>
      <c r="J27" s="49">
        <f t="shared" si="7"/>
        <v>1812347.2574999998</v>
      </c>
      <c r="K27" s="49">
        <f t="shared" si="7"/>
        <v>348794.928972711</v>
      </c>
      <c r="L27" s="49">
        <f t="shared" si="7"/>
        <v>370048.85084211815</v>
      </c>
      <c r="M27" s="49">
        <f t="shared" si="7"/>
        <v>2531191.037314829</v>
      </c>
      <c r="N27" s="49">
        <f t="shared" si="7"/>
        <v>75935.73111944486</v>
      </c>
      <c r="O27" s="49">
        <f t="shared" si="7"/>
        <v>2607126.768434274</v>
      </c>
      <c r="P27" s="44"/>
    </row>
    <row r="28" spans="6:16" ht="15.75">
      <c r="F28" s="40"/>
      <c r="G28" s="44"/>
      <c r="H28" s="41"/>
      <c r="I28" s="49"/>
      <c r="J28" s="49"/>
      <c r="K28" s="49"/>
      <c r="L28" s="49"/>
      <c r="M28" s="49"/>
      <c r="N28" s="49"/>
      <c r="O28" s="49"/>
      <c r="P28" s="44"/>
    </row>
    <row r="29" spans="3:16" ht="15.75">
      <c r="C29" s="40" t="s">
        <v>233</v>
      </c>
      <c r="F29" s="40"/>
      <c r="G29" s="44"/>
      <c r="H29" s="41"/>
      <c r="I29" s="49"/>
      <c r="J29" s="49"/>
      <c r="K29" s="49"/>
      <c r="L29" s="49"/>
      <c r="M29" s="49"/>
      <c r="N29" s="49"/>
      <c r="O29" s="49"/>
      <c r="P29" s="44"/>
    </row>
    <row r="30" spans="3:16" ht="15.75">
      <c r="C30" s="44" t="s">
        <v>234</v>
      </c>
      <c r="F30" s="40"/>
      <c r="G30" s="44"/>
      <c r="H30" s="41"/>
      <c r="I30" s="49"/>
      <c r="J30" s="49"/>
      <c r="K30" s="49"/>
      <c r="L30" s="49"/>
      <c r="M30" s="49"/>
      <c r="N30" s="49"/>
      <c r="O30" s="49"/>
      <c r="P30" s="44"/>
    </row>
    <row r="31" spans="3:16" ht="15.75">
      <c r="C31" s="44" t="s">
        <v>235</v>
      </c>
      <c r="F31" s="40"/>
      <c r="G31" s="44"/>
      <c r="H31" s="45">
        <v>3</v>
      </c>
      <c r="I31" s="49"/>
      <c r="J31" s="47">
        <f>H31*168*D41*0.15</f>
        <v>5137.02</v>
      </c>
      <c r="K31" s="47">
        <f>J31*$K$5</f>
        <v>988.644156696</v>
      </c>
      <c r="L31" s="47">
        <f>J31*$L$5</f>
        <v>1048.8874799718</v>
      </c>
      <c r="M31" s="47">
        <f>J31+K31+L31</f>
        <v>7174.5516366678</v>
      </c>
      <c r="N31" s="47">
        <f>$N$5*M31</f>
        <v>215.236549100034</v>
      </c>
      <c r="O31" s="47">
        <f>M31+N31</f>
        <v>7389.788185767834</v>
      </c>
      <c r="P31" s="44"/>
    </row>
    <row r="32" spans="3:16" ht="15.75">
      <c r="C32" s="44" t="s">
        <v>236</v>
      </c>
      <c r="F32" s="40"/>
      <c r="G32" s="44"/>
      <c r="H32" s="45">
        <v>1</v>
      </c>
      <c r="I32" s="49"/>
      <c r="J32" s="49">
        <v>0</v>
      </c>
      <c r="K32" s="47">
        <f>J32*$K$5</f>
        <v>0</v>
      </c>
      <c r="L32" s="47">
        <f>J32*$L$5</f>
        <v>0</v>
      </c>
      <c r="M32" s="47">
        <f>J32+K32+L32</f>
        <v>0</v>
      </c>
      <c r="N32" s="47">
        <f>$N$5*M32</f>
        <v>0</v>
      </c>
      <c r="O32" s="47">
        <f>M32+N32</f>
        <v>0</v>
      </c>
      <c r="P32" s="44"/>
    </row>
    <row r="33" spans="3:16" ht="15.75">
      <c r="C33" s="44" t="s">
        <v>237</v>
      </c>
      <c r="F33" s="40"/>
      <c r="G33" s="44"/>
      <c r="H33" s="45">
        <v>1</v>
      </c>
      <c r="I33" s="49"/>
      <c r="J33" s="47">
        <f>H33*168*D40*0.15</f>
        <v>1350.2160000000001</v>
      </c>
      <c r="K33" s="47">
        <f>J33*$K$5</f>
        <v>259.8555502368</v>
      </c>
      <c r="L33" s="47">
        <f>J33*$L$5</f>
        <v>275.68992483144</v>
      </c>
      <c r="M33" s="47">
        <f>J33+K33+L33</f>
        <v>1885.7614750682403</v>
      </c>
      <c r="N33" s="47">
        <f>$N$5*M33</f>
        <v>56.572844252047204</v>
      </c>
      <c r="O33" s="47">
        <f>M33+N33</f>
        <v>1942.3343193202875</v>
      </c>
      <c r="P33" s="44"/>
    </row>
    <row r="34" spans="3:16" ht="15.75">
      <c r="C34" s="44" t="s">
        <v>238</v>
      </c>
      <c r="F34" s="40"/>
      <c r="G34" s="44"/>
      <c r="H34" s="45">
        <v>1</v>
      </c>
      <c r="I34" s="49"/>
      <c r="J34" s="47">
        <f>H34*168*D40*0.15</f>
        <v>1350.2160000000001</v>
      </c>
      <c r="K34" s="47">
        <f>J34*$K$5</f>
        <v>259.8555502368</v>
      </c>
      <c r="L34" s="47">
        <f>J34*$L$5</f>
        <v>275.68992483144</v>
      </c>
      <c r="M34" s="47">
        <f>J34+K34+L34</f>
        <v>1885.7614750682403</v>
      </c>
      <c r="N34" s="47">
        <f>$N$5*M34</f>
        <v>56.572844252047204</v>
      </c>
      <c r="O34" s="47">
        <f>M34+N34</f>
        <v>1942.3343193202875</v>
      </c>
      <c r="P34" s="44"/>
    </row>
    <row r="35" spans="3:16" ht="15.75">
      <c r="C35" s="44" t="s">
        <v>97</v>
      </c>
      <c r="F35" s="40"/>
      <c r="G35" s="44"/>
      <c r="H35" s="45"/>
      <c r="I35" s="49"/>
      <c r="J35" s="49">
        <f aca="true" t="shared" si="8" ref="J35:O35">SUM(J31:J34)</f>
        <v>7837.452000000001</v>
      </c>
      <c r="K35" s="49">
        <f t="shared" si="8"/>
        <v>1508.3552571696</v>
      </c>
      <c r="L35" s="49">
        <f t="shared" si="8"/>
        <v>1600.2673296346802</v>
      </c>
      <c r="M35" s="49">
        <f>SUM(M31:M34)</f>
        <v>10946.074586804281</v>
      </c>
      <c r="N35" s="49">
        <f t="shared" si="8"/>
        <v>328.3822376041284</v>
      </c>
      <c r="O35" s="49">
        <f t="shared" si="8"/>
        <v>11274.45682440841</v>
      </c>
      <c r="P35" s="44"/>
    </row>
    <row r="36" spans="6:16" ht="15.75">
      <c r="F36" s="40"/>
      <c r="G36" s="44"/>
      <c r="H36" s="41"/>
      <c r="I36" s="49"/>
      <c r="J36" s="49"/>
      <c r="K36" s="49"/>
      <c r="L36" s="49"/>
      <c r="M36" s="49"/>
      <c r="N36" s="49"/>
      <c r="O36" s="49"/>
      <c r="P36" s="44"/>
    </row>
    <row r="37" spans="8:15" ht="15.75">
      <c r="H37" s="44"/>
      <c r="I37" s="44"/>
      <c r="J37" s="44"/>
      <c r="K37" s="44"/>
      <c r="L37" s="44"/>
      <c r="M37" s="44"/>
      <c r="N37" s="44"/>
      <c r="O37" s="44"/>
    </row>
    <row r="38" spans="3:15" ht="15.75">
      <c r="C38" s="5" t="s">
        <v>181</v>
      </c>
      <c r="F38" s="9"/>
      <c r="H38" s="44"/>
      <c r="I38" s="44"/>
      <c r="J38" s="44"/>
      <c r="K38" s="44"/>
      <c r="L38" s="44"/>
      <c r="M38" s="44"/>
      <c r="N38" s="44"/>
      <c r="O38" s="44"/>
    </row>
    <row r="39" spans="3:6" ht="12.75">
      <c r="C39" s="5" t="s">
        <v>243</v>
      </c>
      <c r="D39" s="6" t="s">
        <v>182</v>
      </c>
      <c r="F39" s="9"/>
    </row>
    <row r="40" spans="3:6" ht="12.75">
      <c r="C40" t="s">
        <v>183</v>
      </c>
      <c r="D40" s="50">
        <f>'Labor and Indirect Rates (NSF)'!C129</f>
        <v>53.58</v>
      </c>
      <c r="E40" t="s">
        <v>184</v>
      </c>
      <c r="F40" s="9"/>
    </row>
    <row r="41" spans="3:6" ht="12.75">
      <c r="C41" t="s">
        <v>185</v>
      </c>
      <c r="D41" s="50">
        <f>'Labor and Indirect Rates (NSF)'!C130</f>
        <v>67.95</v>
      </c>
      <c r="E41" t="s">
        <v>184</v>
      </c>
      <c r="F41" s="20"/>
    </row>
    <row r="42" spans="3:6" ht="12.75">
      <c r="C42" t="s">
        <v>186</v>
      </c>
      <c r="D42" s="24">
        <f>'Labor and Indirect Rates (NSF)'!C131</f>
        <v>58.11</v>
      </c>
      <c r="E42" t="s">
        <v>184</v>
      </c>
      <c r="F42" s="51"/>
    </row>
    <row r="43" spans="3:6" ht="12.75">
      <c r="C43" t="s">
        <v>187</v>
      </c>
      <c r="D43" s="24">
        <f>'Labor and Indirect Rates (NSF)'!C132</f>
        <v>90.86</v>
      </c>
      <c r="E43" t="s">
        <v>184</v>
      </c>
      <c r="F43" s="51"/>
    </row>
    <row r="44" spans="5:6" ht="12.75">
      <c r="E44" s="52"/>
      <c r="F44" s="51"/>
    </row>
    <row r="45" spans="3:7" ht="12.75">
      <c r="C45" s="27" t="s">
        <v>194</v>
      </c>
      <c r="G45" s="28">
        <v>1755</v>
      </c>
    </row>
    <row r="46" ht="12.75">
      <c r="F46" s="9"/>
    </row>
    <row r="47" spans="4:6" ht="12.75">
      <c r="D47" s="13"/>
      <c r="F47" s="9"/>
    </row>
    <row r="48" spans="4:6" ht="12.75">
      <c r="D48" s="13"/>
      <c r="F48" s="9"/>
    </row>
    <row r="49" spans="4:6" ht="12.75">
      <c r="D49" s="13"/>
      <c r="F49" s="9"/>
    </row>
    <row r="50" spans="4:6" ht="12.75">
      <c r="D50" s="13"/>
      <c r="F50" s="9"/>
    </row>
    <row r="51" spans="4:6" ht="12.75">
      <c r="D51" s="13"/>
      <c r="F51" s="9"/>
    </row>
    <row r="52" ht="12.75">
      <c r="F52" s="9"/>
    </row>
    <row r="53" ht="12.75">
      <c r="F53" s="9"/>
    </row>
  </sheetData>
  <printOptions gridLines="1"/>
  <pageMargins left="0.75" right="0.75" top="1" bottom="1" header="0.5" footer="0.5"/>
  <pageSetup fitToHeight="1" fitToWidth="1" horizontalDpi="300" verticalDpi="3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35"/>
  <sheetViews>
    <sheetView workbookViewId="0" topLeftCell="A1">
      <selection activeCell="H40" sqref="H40"/>
    </sheetView>
  </sheetViews>
  <sheetFormatPr defaultColWidth="9.140625" defaultRowHeight="12.75"/>
  <cols>
    <col min="3" max="3" width="13.28125" style="0" customWidth="1"/>
    <col min="4" max="4" width="16.140625" style="0" customWidth="1"/>
    <col min="5" max="5" width="13.7109375" style="0" customWidth="1"/>
    <col min="6" max="6" width="18.28125" style="0" customWidth="1"/>
    <col min="7" max="7" width="13.421875" style="0" customWidth="1"/>
  </cols>
  <sheetData>
    <row r="5" ht="12.75">
      <c r="C5" s="5" t="s">
        <v>109</v>
      </c>
    </row>
    <row r="7" spans="3:8" ht="12.75">
      <c r="C7" s="32" t="s">
        <v>122</v>
      </c>
      <c r="D7" s="32"/>
      <c r="E7" s="32"/>
      <c r="F7" s="135">
        <v>9.2E+20</v>
      </c>
      <c r="G7" s="32"/>
      <c r="H7" t="s">
        <v>110</v>
      </c>
    </row>
    <row r="9" ht="12.75">
      <c r="C9" s="5" t="s">
        <v>111</v>
      </c>
    </row>
    <row r="10" spans="3:6" ht="12.75">
      <c r="C10" t="s">
        <v>114</v>
      </c>
      <c r="E10" s="2">
        <v>25.5</v>
      </c>
      <c r="F10" t="s">
        <v>115</v>
      </c>
    </row>
    <row r="11" spans="3:6" ht="12.75">
      <c r="C11" t="s">
        <v>112</v>
      </c>
      <c r="E11" s="2">
        <v>5.3</v>
      </c>
      <c r="F11" t="s">
        <v>113</v>
      </c>
    </row>
    <row r="12" spans="3:6" ht="12.75">
      <c r="C12" t="s">
        <v>116</v>
      </c>
      <c r="E12" s="2">
        <v>3</v>
      </c>
      <c r="F12" t="s">
        <v>113</v>
      </c>
    </row>
    <row r="13" spans="3:5" ht="12.75">
      <c r="C13" t="s">
        <v>121</v>
      </c>
      <c r="E13" s="136">
        <v>100000000000000</v>
      </c>
    </row>
    <row r="15" spans="3:7" ht="12.75">
      <c r="C15" s="5" t="s">
        <v>117</v>
      </c>
      <c r="D15" s="5" t="s">
        <v>119</v>
      </c>
      <c r="E15" s="5" t="s">
        <v>117</v>
      </c>
      <c r="F15" s="5" t="s">
        <v>126</v>
      </c>
      <c r="G15" s="33" t="s">
        <v>125</v>
      </c>
    </row>
    <row r="16" spans="6:7" ht="12.75">
      <c r="F16" s="5"/>
      <c r="G16" t="s">
        <v>127</v>
      </c>
    </row>
    <row r="17" spans="3:7" ht="12.75">
      <c r="C17" s="5" t="s">
        <v>118</v>
      </c>
      <c r="D17" s="2">
        <v>80</v>
      </c>
      <c r="E17" s="134">
        <f>E13*D17*3600/E11</f>
        <v>5.433962264150944E+18</v>
      </c>
      <c r="F17" s="121">
        <f>F7/E17</f>
        <v>169.30555555555554</v>
      </c>
      <c r="G17" s="121">
        <f>F17/25</f>
        <v>6.772222222222222</v>
      </c>
    </row>
    <row r="18" spans="3:7" ht="12.75">
      <c r="C18" s="5"/>
      <c r="F18" s="121"/>
      <c r="G18" s="121"/>
    </row>
    <row r="19" spans="3:7" ht="12.75">
      <c r="C19" s="5" t="s">
        <v>120</v>
      </c>
      <c r="D19" s="2">
        <v>120</v>
      </c>
      <c r="E19" s="134">
        <f>E13*D19*3600/E11</f>
        <v>8.150943396226416E+18</v>
      </c>
      <c r="F19" s="121">
        <f>F7/E19</f>
        <v>112.87037037037037</v>
      </c>
      <c r="G19" s="121">
        <f>F19/25</f>
        <v>4.514814814814815</v>
      </c>
    </row>
    <row r="20" ht="12.75">
      <c r="F20" s="2"/>
    </row>
    <row r="21" ht="12.75">
      <c r="C21" s="5" t="s">
        <v>129</v>
      </c>
    </row>
    <row r="23" spans="3:7" ht="12.75">
      <c r="C23" s="32" t="s">
        <v>128</v>
      </c>
      <c r="D23" s="32"/>
      <c r="E23" s="32"/>
      <c r="F23" s="135">
        <f>40000000000000*10000000</f>
        <v>4E+20</v>
      </c>
      <c r="G23" s="32"/>
    </row>
    <row r="25" ht="12.75">
      <c r="C25" s="5" t="s">
        <v>111</v>
      </c>
    </row>
    <row r="26" spans="3:6" ht="12.75">
      <c r="C26" t="s">
        <v>114</v>
      </c>
      <c r="E26" s="2">
        <v>8</v>
      </c>
      <c r="F26" t="s">
        <v>115</v>
      </c>
    </row>
    <row r="27" spans="3:8" ht="12.75">
      <c r="C27" t="s">
        <v>112</v>
      </c>
      <c r="E27" s="2">
        <v>1</v>
      </c>
      <c r="F27" t="s">
        <v>113</v>
      </c>
      <c r="H27" t="s">
        <v>333</v>
      </c>
    </row>
    <row r="28" spans="3:6" ht="12.75">
      <c r="C28" t="s">
        <v>116</v>
      </c>
      <c r="E28" s="2">
        <v>0.5</v>
      </c>
      <c r="F28" t="s">
        <v>113</v>
      </c>
    </row>
    <row r="29" spans="3:5" ht="12.75">
      <c r="C29" t="s">
        <v>121</v>
      </c>
      <c r="E29" s="136">
        <v>20000000000000</v>
      </c>
    </row>
    <row r="31" spans="3:7" ht="12.75">
      <c r="C31" s="5" t="s">
        <v>117</v>
      </c>
      <c r="D31" s="5" t="s">
        <v>119</v>
      </c>
      <c r="E31" s="5" t="s">
        <v>117</v>
      </c>
      <c r="F31" s="5" t="s">
        <v>126</v>
      </c>
      <c r="G31" s="33" t="s">
        <v>125</v>
      </c>
    </row>
    <row r="32" spans="6:7" ht="12.75">
      <c r="F32" s="5"/>
      <c r="G32" t="s">
        <v>127</v>
      </c>
    </row>
    <row r="33" spans="3:7" ht="12.75">
      <c r="C33" s="5" t="s">
        <v>118</v>
      </c>
      <c r="D33" s="2">
        <v>80</v>
      </c>
      <c r="E33" s="134">
        <f>E29*D33*3600/E27</f>
        <v>5.76E+18</v>
      </c>
      <c r="F33" s="121">
        <f>F23/E33</f>
        <v>69.44444444444444</v>
      </c>
      <c r="G33" s="121">
        <f>F33/25</f>
        <v>2.7777777777777777</v>
      </c>
    </row>
    <row r="34" spans="3:7" ht="12.75">
      <c r="C34" s="5"/>
      <c r="F34" s="121"/>
      <c r="G34" s="121"/>
    </row>
    <row r="35" spans="3:7" ht="12.75">
      <c r="C35" s="5" t="s">
        <v>120</v>
      </c>
      <c r="D35" s="2">
        <v>120</v>
      </c>
      <c r="E35" s="134">
        <f>E29*D35*3600/E27</f>
        <v>8.64E+18</v>
      </c>
      <c r="F35" s="121">
        <f>F23/E35</f>
        <v>46.2962962962963</v>
      </c>
      <c r="G35" s="121">
        <f>F35/25</f>
        <v>1.8518518518518519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Brown</dc:creator>
  <cp:keywords/>
  <dc:description/>
  <cp:lastModifiedBy> Philip Pile</cp:lastModifiedBy>
  <cp:lastPrinted>2005-03-10T21:35:27Z</cp:lastPrinted>
  <dcterms:created xsi:type="dcterms:W3CDTF">2004-02-27T16:26:47Z</dcterms:created>
  <dcterms:modified xsi:type="dcterms:W3CDTF">2005-04-01T14:28:13Z</dcterms:modified>
  <cp:category/>
  <cp:version/>
  <cp:contentType/>
  <cp:contentStatus/>
  <cp:revision>1</cp:revision>
</cp:coreProperties>
</file>