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30" windowWidth="7650" windowHeight="9120" tabRatio="748" activeTab="1"/>
  </bookViews>
  <sheets>
    <sheet name="Extrusions pack list 7-17-00" sheetId="1" r:id="rId1"/>
    <sheet name="ME23-2 &amp; misc pack list 7-10-00" sheetId="2" r:id="rId2"/>
    <sheet name="ME3-1 packing list 6-23-00" sheetId="3" r:id="rId3"/>
    <sheet name="me23 2 cost rollup" sheetId="4" r:id="rId4"/>
    <sheet name="ME2-1 pack list 5-4-00" sheetId="5" r:id="rId5"/>
    <sheet name="me234-2 packing list 5-16-00" sheetId="6" r:id="rId6"/>
    <sheet name="me234-2 packing list 3-20-00" sheetId="7" r:id="rId7"/>
    <sheet name="extrusion requirements" sheetId="8" r:id="rId8"/>
    <sheet name="Extrusion material inventory" sheetId="9" r:id="rId9"/>
    <sheet name="Parts inventory" sheetId="10" r:id="rId10"/>
    <sheet name="P2 #3" sheetId="11" r:id="rId11"/>
    <sheet name="ME 1-2" sheetId="12" r:id="rId12"/>
    <sheet name="ME 1-3" sheetId="13" r:id="rId13"/>
    <sheet name="ME2-2, 3-2" sheetId="14" r:id="rId14"/>
    <sheet name="ME 2-1" sheetId="15" r:id="rId15"/>
    <sheet name="ME 3-1" sheetId="16" r:id="rId16"/>
    <sheet name="Bid 00-0094" sheetId="17" r:id="rId17"/>
    <sheet name="extruded-parts bidder list" sheetId="18" r:id="rId18"/>
    <sheet name="Bid 00-0094 (2)" sheetId="19" r:id="rId19"/>
  </sheets>
  <definedNames>
    <definedName name="_xlnm.Print_Area" localSheetId="16">'Bid 00-0094'!$A$1:$O$37</definedName>
    <definedName name="_xlnm.Print_Area" localSheetId="13">'ME2-2, 3-2'!$A$1:$S$60</definedName>
    <definedName name="_xlnm.Print_Area" localSheetId="10">'P2 #3'!$A$1:$M$69</definedName>
    <definedName name="_xlnm.Print_Titles" localSheetId="3">'me23 2 cost rollup'!$1:$1</definedName>
    <definedName name="_xlnm.Print_Titles" localSheetId="6">'me234-2 packing list 3-20-00'!$1:$3</definedName>
    <definedName name="_xlnm.Print_Titles" localSheetId="5">'me234-2 packing list 5-16-00'!$1:$3</definedName>
    <definedName name="_xlnm.Print_Titles" localSheetId="9">'Parts inventory'!$A:$C,'Parts inventory'!$1:$2</definedName>
  </definedNames>
  <calcPr fullCalcOnLoad="1"/>
</workbook>
</file>

<file path=xl/sharedStrings.xml><?xml version="1.0" encoding="utf-8"?>
<sst xmlns="http://schemas.openxmlformats.org/spreadsheetml/2006/main" count="2729" uniqueCount="957">
  <si>
    <t>Material requirements</t>
  </si>
  <si>
    <t>Key No.</t>
  </si>
  <si>
    <t>Name</t>
  </si>
  <si>
    <t>Dwg #</t>
  </si>
  <si>
    <t>Qty per chamber</t>
  </si>
  <si>
    <t>Panel Bolt C</t>
  </si>
  <si>
    <t>Panel Bolt B</t>
  </si>
  <si>
    <t>Panel Bolt A</t>
  </si>
  <si>
    <t>-</t>
  </si>
  <si>
    <t>yz fixed mounting bracket top</t>
  </si>
  <si>
    <t>z fixed mounting bracket top</t>
  </si>
  <si>
    <t>yz fixed mounting bracket bottom</t>
  </si>
  <si>
    <t>z fixed mounting bracket bottom</t>
  </si>
  <si>
    <t>xyz fixed mounting bracket bottom</t>
  </si>
  <si>
    <t>top small end extrusion</t>
  </si>
  <si>
    <t>bottom small end extrusion</t>
  </si>
  <si>
    <t>notched side top</t>
  </si>
  <si>
    <t>notched side bottom</t>
  </si>
  <si>
    <t>non-notched side top</t>
  </si>
  <si>
    <t>non-notched side bottom</t>
  </si>
  <si>
    <t>top big end extrusion</t>
  </si>
  <si>
    <t>bottom big end extrusion</t>
  </si>
  <si>
    <t>Bossard m6-1x10 thd forming screw stl</t>
  </si>
  <si>
    <t>small end panel</t>
  </si>
  <si>
    <t>side panels</t>
  </si>
  <si>
    <t>big end panel</t>
  </si>
  <si>
    <t>big end plate</t>
  </si>
  <si>
    <t>small end plate</t>
  </si>
  <si>
    <t>bossard m6-1x16 thd forming screw stl</t>
  </si>
  <si>
    <t>m6-1x12mm lg fhcs stl</t>
  </si>
  <si>
    <t>2-slot shim light</t>
  </si>
  <si>
    <t>2-slot shim heavy</t>
  </si>
  <si>
    <t>2-slot shim medium</t>
  </si>
  <si>
    <t>3-slot shim light</t>
  </si>
  <si>
    <t>3-slot shim medium</t>
  </si>
  <si>
    <t>3-slot shim heavy</t>
  </si>
  <si>
    <t>#chambers needed per end cap pair</t>
  </si>
  <si>
    <t>#chambers to produce per N. Chester 4/1/98</t>
  </si>
  <si>
    <t>Qty min for chamber prod. Qty</t>
  </si>
  <si>
    <t>Net length per pc., 5185c100-1</t>
  </si>
  <si>
    <t>Net length per pc., 5185c100-2</t>
  </si>
  <si>
    <t>Net length per pc, 5185D042</t>
  </si>
  <si>
    <t>Net length per line, 5185c100-1</t>
  </si>
  <si>
    <t>Net length per line, 5185c100-2</t>
  </si>
  <si>
    <t>Net length per line, 5185D042</t>
  </si>
  <si>
    <t>Total per chamber type, inches</t>
  </si>
  <si>
    <t>Cross sectional area, inch2</t>
  </si>
  <si>
    <t>Min. Weight, pounds (without saw-cut or drop-length allowances)</t>
  </si>
  <si>
    <t>1/4" int-ext lockwasher</t>
  </si>
  <si>
    <t>cubic feet occupied by extrusion if stored at 0.25 packing factor</t>
  </si>
  <si>
    <t>x</t>
  </si>
  <si>
    <t>destined for IHEP</t>
  </si>
  <si>
    <t>destined for FNAL</t>
  </si>
  <si>
    <t>destined for PNPI</t>
  </si>
  <si>
    <t>ME3/1 frame</t>
  </si>
  <si>
    <t>These are true 10 degree included angle, all in one plane, with a slight edge gap</t>
  </si>
  <si>
    <t>ME1/3 frame</t>
  </si>
  <si>
    <t>Multiple-production run scenario</t>
  </si>
  <si>
    <t>Min. Weight, pounds (without saw-cut or drop-length allowances or crating)</t>
  </si>
  <si>
    <t>CMS Frames extrusions &amp; secondary operations bidder list</t>
  </si>
  <si>
    <t>Street address</t>
  </si>
  <si>
    <t>City</t>
  </si>
  <si>
    <t>State</t>
  </si>
  <si>
    <t>Zip</t>
  </si>
  <si>
    <t>Phone</t>
  </si>
  <si>
    <t>Fax</t>
  </si>
  <si>
    <t>URL</t>
  </si>
  <si>
    <t>Caradon Extrusion Group</t>
  </si>
  <si>
    <t>PO Box 98, Crestwood Indl. Park</t>
  </si>
  <si>
    <t>Mountaintop</t>
  </si>
  <si>
    <t>PA</t>
  </si>
  <si>
    <t>18707-0098</t>
  </si>
  <si>
    <t>717-474-5935</t>
  </si>
  <si>
    <t>717-474-6220</t>
  </si>
  <si>
    <t>Werner Co.</t>
  </si>
  <si>
    <t>93 Werner Rd.</t>
  </si>
  <si>
    <t xml:space="preserve">Greenville </t>
  </si>
  <si>
    <t>724-588-8600</t>
  </si>
  <si>
    <t>724-588-1230</t>
  </si>
  <si>
    <t>www.wernerco.com/extrudedproducts</t>
  </si>
  <si>
    <t>Alumax Extrusions Inc.</t>
  </si>
  <si>
    <t>1655 Powis Rd.</t>
  </si>
  <si>
    <t>West Chicago</t>
  </si>
  <si>
    <t>IL</t>
  </si>
  <si>
    <t>630-584-6900</t>
  </si>
  <si>
    <t>630-584-4620</t>
  </si>
  <si>
    <t>Alexandria Extrusion Company</t>
  </si>
  <si>
    <t>401 County Road 22 NW</t>
  </si>
  <si>
    <t>Alexandria</t>
  </si>
  <si>
    <t>MN</t>
  </si>
  <si>
    <t>888-763-0568</t>
  </si>
  <si>
    <t>888-762-7718</t>
  </si>
  <si>
    <t>www.alex-extrusion.com</t>
  </si>
  <si>
    <t>T.D.A a division of Anodizing Inc.</t>
  </si>
  <si>
    <t>9124 S. E. 64th Ave.</t>
  </si>
  <si>
    <t>Portland</t>
  </si>
  <si>
    <t>OR</t>
  </si>
  <si>
    <t>800-677-6791</t>
  </si>
  <si>
    <t>503-775-1614</t>
  </si>
  <si>
    <t>Macklanburg-Duncan Engineered Products</t>
  </si>
  <si>
    <t>2095 Memorial Park Dr.</t>
  </si>
  <si>
    <t>Gainesville</t>
  </si>
  <si>
    <t>GA</t>
  </si>
  <si>
    <t>770-536-3371</t>
  </si>
  <si>
    <t>770-535-8701</t>
  </si>
  <si>
    <t>mailto:extrude@Mdteam.com</t>
  </si>
  <si>
    <t>Precision Extrusions, Inc.</t>
  </si>
  <si>
    <t>720 E. Green Ave.</t>
  </si>
  <si>
    <t>Bensenvillle</t>
  </si>
  <si>
    <t>630-766-0340</t>
  </si>
  <si>
    <t>630-766-0495</t>
  </si>
  <si>
    <t>www.precisionx.com</t>
  </si>
  <si>
    <t>Cardinal Aluminum Co.</t>
  </si>
  <si>
    <t>6910 Preston Hwy</t>
  </si>
  <si>
    <t xml:space="preserve">Louisvillle </t>
  </si>
  <si>
    <t>KY</t>
  </si>
  <si>
    <t>40219-0987</t>
  </si>
  <si>
    <t>800-EXTRUDE</t>
  </si>
  <si>
    <t>800-969-6910</t>
  </si>
  <si>
    <t>915 Elmira</t>
  </si>
  <si>
    <t>Russelville</t>
  </si>
  <si>
    <t>AR</t>
  </si>
  <si>
    <t>72811-1418</t>
  </si>
  <si>
    <t>501-968-1021</t>
  </si>
  <si>
    <t>501-968-8645</t>
  </si>
  <si>
    <t>www.tabermetals.com, mailto:tabermtl@cswnet.com</t>
  </si>
  <si>
    <t>Temroc Metals Inc.</t>
  </si>
  <si>
    <t>4375 Willow Drive</t>
  </si>
  <si>
    <t>Hamel</t>
  </si>
  <si>
    <t>55340-9701</t>
  </si>
  <si>
    <t>800-487-6360</t>
  </si>
  <si>
    <t>612-478-6905</t>
  </si>
  <si>
    <t>www.temroc.com, mailto:temroc@temroc.com</t>
  </si>
  <si>
    <t>VAW</t>
  </si>
  <si>
    <t>PO Box 667</t>
  </si>
  <si>
    <t>Ellenville</t>
  </si>
  <si>
    <t>NY</t>
  </si>
  <si>
    <t>914-647-7510</t>
  </si>
  <si>
    <t>914-647-7535</t>
  </si>
  <si>
    <t>International Extrusions</t>
  </si>
  <si>
    <t>5800 Venoy Rd., Suite E</t>
  </si>
  <si>
    <t>Garden City</t>
  </si>
  <si>
    <t>MI</t>
  </si>
  <si>
    <t>734-427-8700</t>
  </si>
  <si>
    <t>734-427-8219</t>
  </si>
  <si>
    <t>www.extrusion.net</t>
  </si>
  <si>
    <t>M10-1.5 thin nut stl</t>
  </si>
  <si>
    <t>M10 Large OD Flat washer DIN 9021B steel</t>
  </si>
  <si>
    <t>Note; mount quantities are best-estimate for a 4-point chamber</t>
  </si>
  <si>
    <t>ME1/3 stiffening plate</t>
  </si>
  <si>
    <t>yz fixed top - mounting bracket</t>
  </si>
  <si>
    <t>yz fixed bottom - mounting bracket</t>
  </si>
  <si>
    <t>z fixed top - mounting bracket</t>
  </si>
  <si>
    <t>z fixed bottom - mounting bracket</t>
  </si>
  <si>
    <t>xyz fixed top - mounting bracket</t>
  </si>
  <si>
    <t>xyz fixed bottom - mounting bracket</t>
  </si>
  <si>
    <t>me/2/1 stiffening plate</t>
  </si>
  <si>
    <t>alignment pin</t>
  </si>
  <si>
    <t>FNAL - me/2/1 chamber panels</t>
  </si>
  <si>
    <t>5599b007</t>
  </si>
  <si>
    <t>5599b008</t>
  </si>
  <si>
    <t>5599b009</t>
  </si>
  <si>
    <t>5185b231</t>
  </si>
  <si>
    <t>5599c004</t>
  </si>
  <si>
    <t>5599c010</t>
  </si>
  <si>
    <t>5599c011</t>
  </si>
  <si>
    <t>5599c012</t>
  </si>
  <si>
    <t>5599c013</t>
  </si>
  <si>
    <t>5599c014</t>
  </si>
  <si>
    <t>5599c015</t>
  </si>
  <si>
    <t>chamber mounting feet</t>
  </si>
  <si>
    <t>X-Y slider</t>
  </si>
  <si>
    <t>cupped washer</t>
  </si>
  <si>
    <t>mount stud</t>
  </si>
  <si>
    <t>m12-1.75 hex nut steel</t>
  </si>
  <si>
    <t>m12 flat washer steel</t>
  </si>
  <si>
    <t>5599b006</t>
  </si>
  <si>
    <t>5599b005</t>
  </si>
  <si>
    <t>McMaster-Carr 29495T42 swivel ring</t>
  </si>
  <si>
    <t>5599b003</t>
  </si>
  <si>
    <t>BELLVILLE K1500-1-045 spring washer</t>
  </si>
  <si>
    <t>yz fixed top -mounting bracket</t>
  </si>
  <si>
    <t>top notched side</t>
  </si>
  <si>
    <t>bottom notched side</t>
  </si>
  <si>
    <t>top non-notched side</t>
  </si>
  <si>
    <t>bottom non-notched side</t>
  </si>
  <si>
    <t>Bossard m6 toothed lock washer steel</t>
  </si>
  <si>
    <t>Bossard 1/4" int-ext toothed lock washer steel</t>
  </si>
  <si>
    <t>M10 Large OD flat washer DIN 9021B steel</t>
  </si>
  <si>
    <t>M10 flat washer - DIN 125 steel</t>
  </si>
  <si>
    <t>M10-1.5 thin hex nut - DIN 439B steel</t>
  </si>
  <si>
    <t>Bossard m6-1x10 thd forming screw steel</t>
  </si>
  <si>
    <t>bossard m6-1x16 thd forming screw steel</t>
  </si>
  <si>
    <t>me/2,3,4/2 stiffening plate</t>
  </si>
  <si>
    <t>m6-1x12mm lg fhcs DIN 963 steel</t>
  </si>
  <si>
    <t>FNAL - me/2,3,4/2 chamber panels</t>
  </si>
  <si>
    <t>5599d029</t>
  </si>
  <si>
    <t>5599d030</t>
  </si>
  <si>
    <t>5599e031</t>
  </si>
  <si>
    <t>5599e032</t>
  </si>
  <si>
    <t>5599e033</t>
  </si>
  <si>
    <t>5599e034</t>
  </si>
  <si>
    <t>5599e035</t>
  </si>
  <si>
    <t>5599d036</t>
  </si>
  <si>
    <t>5599b037</t>
  </si>
  <si>
    <t>5599b038</t>
  </si>
  <si>
    <t>5599b039</t>
  </si>
  <si>
    <t>5599c040</t>
  </si>
  <si>
    <t>Bossard m6-1x16 thd forming screw - steel</t>
  </si>
  <si>
    <t>Bossard m6-1x10 thd forming screw - steel</t>
  </si>
  <si>
    <t>M10-1.5 thin nut - DIN439b - steel</t>
  </si>
  <si>
    <t>ME2/2 &amp; 3/2 frames - 5599e041</t>
  </si>
  <si>
    <t>5185a025 (REF)</t>
  </si>
  <si>
    <t>5185a154 (REF)</t>
  </si>
  <si>
    <t>5599b002 (REF)</t>
  </si>
  <si>
    <t>(REF)</t>
  </si>
  <si>
    <t>McMaster-Carr 98410A117 Snap Ring</t>
  </si>
  <si>
    <t>McM-Carr 98410A117 Snap Ring</t>
  </si>
  <si>
    <t>REID - SPW-5 spherical washer</t>
  </si>
  <si>
    <t>3/8-24 nf hex jam nut - steel</t>
  </si>
  <si>
    <t>qty on hand</t>
  </si>
  <si>
    <t>need</t>
  </si>
  <si>
    <t>ordered</t>
  </si>
  <si>
    <t>5599a042</t>
  </si>
  <si>
    <t>Total per chamber type, feet</t>
  </si>
  <si>
    <t>corner shim (light)</t>
  </si>
  <si>
    <t>corner shim (medium)</t>
  </si>
  <si>
    <t>corner shim (heavy)</t>
  </si>
  <si>
    <t>1/4" int-ext toothed lock washer steel</t>
  </si>
  <si>
    <t>Bossard m6-1x16 thd forming screw steel</t>
  </si>
  <si>
    <t>5599b037A</t>
  </si>
  <si>
    <t>5599b009A</t>
  </si>
  <si>
    <t>5599b008A</t>
  </si>
  <si>
    <t>5599b003A</t>
  </si>
  <si>
    <t>McMaster-Carr #98543A117 'E' retaining ring</t>
  </si>
  <si>
    <t>Fed FY 1999</t>
  </si>
  <si>
    <t>Fed FY 2000</t>
  </si>
  <si>
    <t>Fed FY 2001</t>
  </si>
  <si>
    <t>Fed FY 2002</t>
  </si>
  <si>
    <t>Note, this has been prototyped (P2, P2',P2''); P2'' is the first with metric panel bolts &amp; washers &amp; nuts.</t>
  </si>
  <si>
    <t>5599b007B</t>
  </si>
  <si>
    <t>5599c010B</t>
  </si>
  <si>
    <t>5599c011C</t>
  </si>
  <si>
    <t>5599c012B</t>
  </si>
  <si>
    <t>5599c013B</t>
  </si>
  <si>
    <t>5599b066A</t>
  </si>
  <si>
    <t>M10-20 OD flat washer - DIN 125 steel</t>
  </si>
  <si>
    <t>M10-30 OD flat washer DIN 9021B steel</t>
  </si>
  <si>
    <t>end plate</t>
  </si>
  <si>
    <t>m6-1x12mm lg hex soc fhcs DIN 7991 steel</t>
  </si>
  <si>
    <t>top anode side extrusion</t>
  </si>
  <si>
    <t>bottom anode side extrusion</t>
  </si>
  <si>
    <t>top HV side extrusion</t>
  </si>
  <si>
    <t>bottom HV side extrusion</t>
  </si>
  <si>
    <t>2 slot - shim light</t>
  </si>
  <si>
    <t>2 slot - shim medium</t>
  </si>
  <si>
    <t>2 slot - shim heavy</t>
  </si>
  <si>
    <t>3 slot - shim light</t>
  </si>
  <si>
    <t>3 slot - shim medium</t>
  </si>
  <si>
    <t>3 slot - shim heavy</t>
  </si>
  <si>
    <t>m6-int toothed lock washer - steel</t>
  </si>
  <si>
    <t>FNAL - me/1/2 chamber panels</t>
  </si>
  <si>
    <t>ME1/2</t>
  </si>
  <si>
    <t>Inventory</t>
  </si>
  <si>
    <t>5599C014A</t>
  </si>
  <si>
    <t>ME2/1</t>
  </si>
  <si>
    <t>ME234/2</t>
  </si>
  <si>
    <t>5599C015A</t>
  </si>
  <si>
    <t>ME3/1</t>
  </si>
  <si>
    <t>ME1/3</t>
  </si>
  <si>
    <t>ME4/1</t>
  </si>
  <si>
    <t>ME1/1</t>
  </si>
  <si>
    <t>5599D029A</t>
  </si>
  <si>
    <t>5599D030A</t>
  </si>
  <si>
    <t>5599E033B</t>
  </si>
  <si>
    <t>5599E034B</t>
  </si>
  <si>
    <t>5599B038A</t>
  </si>
  <si>
    <t>5599B039A</t>
  </si>
  <si>
    <t>5599C004A</t>
  </si>
  <si>
    <t>me/234/2 stiffening plate</t>
  </si>
  <si>
    <t>5599C040A</t>
  </si>
  <si>
    <t>TBD</t>
  </si>
  <si>
    <t>corner shim light</t>
  </si>
  <si>
    <t>corner shim medium</t>
  </si>
  <si>
    <t>corner shim heavy</t>
  </si>
  <si>
    <t>5599A042A</t>
  </si>
  <si>
    <t>5599D016</t>
  </si>
  <si>
    <t>Req #</t>
  </si>
  <si>
    <t>Vendor</t>
  </si>
  <si>
    <t>expected arrival date</t>
  </si>
  <si>
    <t>Balance</t>
  </si>
  <si>
    <t>sample qty</t>
  </si>
  <si>
    <t>P4 (ME1/2)</t>
  </si>
  <si>
    <t>anode side panel</t>
  </si>
  <si>
    <t>5599D036B</t>
  </si>
  <si>
    <t>samples expected arrival date</t>
  </si>
  <si>
    <t>5599E031B</t>
  </si>
  <si>
    <t>5599E032A</t>
  </si>
  <si>
    <t>Extrusion stock inventory</t>
  </si>
  <si>
    <t>5185c100-1</t>
  </si>
  <si>
    <t>Length, "</t>
  </si>
  <si>
    <t>132</t>
  </si>
  <si>
    <t>58.5</t>
  </si>
  <si>
    <t>27</t>
  </si>
  <si>
    <t>23.44</t>
  </si>
  <si>
    <t>5185c100-2</t>
  </si>
  <si>
    <t>38</t>
  </si>
  <si>
    <t>16.28</t>
  </si>
  <si>
    <t>5185d042</t>
  </si>
  <si>
    <t>84"</t>
  </si>
  <si>
    <t>5185D042 84"</t>
  </si>
  <si>
    <t>Extrusion material requirements</t>
  </si>
  <si>
    <t>pounds</t>
  </si>
  <si>
    <t>units</t>
  </si>
  <si>
    <t>ME23/2</t>
  </si>
  <si>
    <t>Reqd yet</t>
  </si>
  <si>
    <t>5185C100-1</t>
  </si>
  <si>
    <t>5185C100-2</t>
  </si>
  <si>
    <t>73.38</t>
  </si>
  <si>
    <t>51.72</t>
  </si>
  <si>
    <t>129.06</t>
  </si>
  <si>
    <t>52.00</t>
  </si>
  <si>
    <t>77.00</t>
  </si>
  <si>
    <t>31.10</t>
  </si>
  <si>
    <t>21.56</t>
  </si>
  <si>
    <t>less amt already made:</t>
  </si>
  <si>
    <t>Proposed length, inches</t>
  </si>
  <si>
    <t>+12%</t>
  </si>
  <si>
    <t>less amt stock on hand:</t>
  </si>
  <si>
    <t>less amt on order</t>
  </si>
  <si>
    <t>order this amt</t>
  </si>
  <si>
    <t>stick lgth</t>
  </si>
  <si>
    <t>Total sticks for the length</t>
  </si>
  <si>
    <t>na</t>
  </si>
  <si>
    <t>total c100-1</t>
  </si>
  <si>
    <t>total AL wt</t>
  </si>
  <si>
    <t>c100-2 total</t>
  </si>
  <si>
    <t>based on last order's average price, price/lb</t>
  </si>
  <si>
    <t>McMaster-Carr 98410A117 Snap Ring (3/8)</t>
  </si>
  <si>
    <t>McMaster-Carr #98543A117 'E' retaining ring (10mm)</t>
  </si>
  <si>
    <t>FY00 qty 25 ME23/2 reqd qty</t>
  </si>
  <si>
    <t>Nov 99 P4 pick qty</t>
  </si>
  <si>
    <t>5599D073</t>
  </si>
  <si>
    <t>?</t>
  </si>
  <si>
    <t>Caution, this is very preliminary!!</t>
  </si>
  <si>
    <t>get qty 78", added in above</t>
  </si>
  <si>
    <t>not 5599c010</t>
  </si>
  <si>
    <t>not 5599c012</t>
  </si>
  <si>
    <t>not 5599c069</t>
  </si>
  <si>
    <t>not 5599c070</t>
  </si>
  <si>
    <t>not 5599c071</t>
  </si>
  <si>
    <t>not 5599c072</t>
  </si>
  <si>
    <t>not 5599c013</t>
  </si>
  <si>
    <t>not 5599c011</t>
  </si>
  <si>
    <t>proto date next</t>
  </si>
  <si>
    <t>Albex Aluminum Inc.</t>
  </si>
  <si>
    <t>4416 Louisville Rd.</t>
  </si>
  <si>
    <t>OH</t>
  </si>
  <si>
    <t>Canton</t>
  </si>
  <si>
    <t>330-456-9560</t>
  </si>
  <si>
    <t>330-456-0814</t>
  </si>
  <si>
    <t>www.albex.com</t>
  </si>
  <si>
    <t>www.alumax.com</t>
  </si>
  <si>
    <t>Alcoa Engineered Products</t>
  </si>
  <si>
    <t>PO Box 7500</t>
  </si>
  <si>
    <t>Lafayette</t>
  </si>
  <si>
    <t>IN</t>
  </si>
  <si>
    <t>765-771-3600</t>
  </si>
  <si>
    <t>765-771-3562</t>
  </si>
  <si>
    <t>Halethorpe Extrusions, Inc.</t>
  </si>
  <si>
    <t>2000 Halethorpe Ave.</t>
  </si>
  <si>
    <t>Baltimore</t>
  </si>
  <si>
    <t>MD</t>
  </si>
  <si>
    <t>410-242-2800</t>
  </si>
  <si>
    <t>410-247-4441</t>
  </si>
  <si>
    <t>Extruded Aluminum Corp.</t>
  </si>
  <si>
    <t>Belding</t>
  </si>
  <si>
    <t>616-794-0300</t>
  </si>
  <si>
    <t>Kaiser Aluminum Engineered Products</t>
  </si>
  <si>
    <t>Southfield</t>
  </si>
  <si>
    <t>248-352-4630</t>
  </si>
  <si>
    <t>MCS Industries/Metal Division</t>
  </si>
  <si>
    <t>Forks</t>
  </si>
  <si>
    <t>National Northeast Corp.</t>
  </si>
  <si>
    <t>Pelham</t>
  </si>
  <si>
    <t>NH</t>
  </si>
  <si>
    <t>603-635-2800</t>
  </si>
  <si>
    <t>Silver City Aluminum Corp.</t>
  </si>
  <si>
    <t>Taunton</t>
  </si>
  <si>
    <t>MA</t>
  </si>
  <si>
    <t>508-824-8631</t>
  </si>
  <si>
    <t>Taber Metals LP</t>
  </si>
  <si>
    <t>Taber Metals Gulfport LP</t>
  </si>
  <si>
    <t>Gulfport</t>
  </si>
  <si>
    <t>MS</t>
  </si>
  <si>
    <t>601-863-2852</t>
  </si>
  <si>
    <t>Universal Alloy Corp.</t>
  </si>
  <si>
    <t>Anaheim</t>
  </si>
  <si>
    <t>CA</t>
  </si>
  <si>
    <t>714-630-7200</t>
  </si>
  <si>
    <t>7200 Industrial Drive</t>
  </si>
  <si>
    <t>616-794-0879</t>
  </si>
  <si>
    <t>26913 Northwestern Highway, Suite 520</t>
  </si>
  <si>
    <t>248-352-4635</t>
  </si>
  <si>
    <t>3700 Glover Rd.</t>
  </si>
  <si>
    <t>33 Bridge St.</t>
  </si>
  <si>
    <t>704 W. Water St.</t>
  </si>
  <si>
    <t>508-824-8598</t>
  </si>
  <si>
    <t>603-635-1900</t>
  </si>
  <si>
    <t>601-863-9089</t>
  </si>
  <si>
    <t>1900 34th St.</t>
  </si>
  <si>
    <t>92816-6316</t>
  </si>
  <si>
    <t>714-630-7207</t>
  </si>
  <si>
    <t>63</t>
  </si>
  <si>
    <t>20.7</t>
  </si>
  <si>
    <t>Magnode</t>
  </si>
  <si>
    <t>Mid-States Aluminum Corp.</t>
  </si>
  <si>
    <t>Fond du Lac</t>
  </si>
  <si>
    <t>WI</t>
  </si>
  <si>
    <t>54936-1107</t>
  </si>
  <si>
    <t>414-922-7207</t>
  </si>
  <si>
    <t>414-922-1663</t>
  </si>
  <si>
    <t>400 E. State St.</t>
  </si>
  <si>
    <t>Trenton</t>
  </si>
  <si>
    <t>513-988-6351</t>
  </si>
  <si>
    <t>513-988-6357</t>
  </si>
  <si>
    <t>PO Box 1107      132 Trowbridge Dr.</t>
  </si>
  <si>
    <t>PO Box 6316      2871 La Mesa Avenue</t>
  </si>
  <si>
    <t>??</t>
  </si>
  <si>
    <t>Per Dick Loveless 1/5/00:</t>
  </si>
  <si>
    <t>total length, ft.</t>
  </si>
  <si>
    <t>miles</t>
  </si>
  <si>
    <t>5599E035B</t>
  </si>
  <si>
    <t>5599D067A</t>
  </si>
  <si>
    <t>5599E086A</t>
  </si>
  <si>
    <t>FY00 qty 25 frame ME23/2 ship qty</t>
  </si>
  <si>
    <t>notched</t>
  </si>
  <si>
    <t>add for cathode connector rivet s'faces</t>
  </si>
  <si>
    <t>HV side panel</t>
  </si>
  <si>
    <t>putting the 1x3.5 slots, &amp; cover holes in</t>
  </si>
  <si>
    <t>blank panel</t>
  </si>
  <si>
    <t>subtract for no notches</t>
  </si>
  <si>
    <t>Historical or bid cost each</t>
  </si>
  <si>
    <t>add for alct/lvds mount holes</t>
  </si>
  <si>
    <t>add for alct/lvds mount holes, hv conn slot mods; historical cost is higher because 2 were done at PSL (Q23 est. is 20.85)</t>
  </si>
  <si>
    <t>makes 5599e086</t>
  </si>
  <si>
    <t>extrusion stock purchase</t>
  </si>
  <si>
    <t>heiden shipping cost (first shipment)</t>
  </si>
  <si>
    <t>line item cost at ship qty for 25 frames</t>
  </si>
  <si>
    <t>25 frames</t>
  </si>
  <si>
    <t>per frame at 25 qty</t>
  </si>
  <si>
    <t>in thousands qty; at 600 qty, .213 each</t>
  </si>
  <si>
    <t>in thousands qty; at 200 qty, .2231 each</t>
  </si>
  <si>
    <t>in thousands qty; at 600 qty, .0696 each</t>
  </si>
  <si>
    <t>in thousands qty; at 600 qty, .0954 each</t>
  </si>
  <si>
    <t>substitute required</t>
  </si>
  <si>
    <t>add for anode cable tiedown clamp holes; if combined with alct/lvds holes above, price is 13.47 for both</t>
  </si>
  <si>
    <t>(guess) add for tube clamp mount holes at chamber edge exit</t>
  </si>
  <si>
    <t>(guess) Nicolai Bondar further revisions</t>
  </si>
  <si>
    <t>(guess) add precision washer for bolt ret. ring</t>
  </si>
  <si>
    <t>(guess) subtract 48-channel anode card mount holes</t>
  </si>
  <si>
    <t>(excludes design, drafting, costing, changes, inspection; support posts, cathode card mounting &amp; cooling, cooling lines, integration &amp; alignment components, etc)</t>
  </si>
  <si>
    <t>C&amp;M price (Latitude couldn't deliver.)</t>
  </si>
  <si>
    <t>Caution: Converse was awarded all long side extrusions and one wide end extrusion as well as all panel bolts.  Their estimator has left the company and we have been told that at the above prices, they are losing money; we are also told that a rebid for future parts will be higher.</t>
  </si>
  <si>
    <t>5185c100-1 130"</t>
  </si>
  <si>
    <t>5185c100-1 78"</t>
  </si>
  <si>
    <t>5185c100-1 53"</t>
  </si>
  <si>
    <t>PEI</t>
  </si>
  <si>
    <t>Intl</t>
  </si>
  <si>
    <t>Proof $ ea</t>
  </si>
  <si>
    <t>Prod $ ea</t>
  </si>
  <si>
    <t>WK prod</t>
  </si>
  <si>
    <t>WK proof</t>
  </si>
  <si>
    <t>proof qty</t>
  </si>
  <si>
    <t>prod qty</t>
  </si>
  <si>
    <t>total qty</t>
  </si>
  <si>
    <t>proof $</t>
  </si>
  <si>
    <t>prod $</t>
  </si>
  <si>
    <t>total $</t>
  </si>
  <si>
    <t>avg cost ea</t>
  </si>
  <si>
    <t>24.72?</t>
  </si>
  <si>
    <t>Two vendors, Cardinal and UAC, are disqualified based on multiple exceptions to our specifications.  UAC is also extremely noncompetitive.</t>
  </si>
  <si>
    <t>delivery time</t>
  </si>
  <si>
    <t>5185c100-2 112.5</t>
  </si>
  <si>
    <t>5185D042</t>
  </si>
  <si>
    <t>no bid; can't reliably produce the part</t>
  </si>
  <si>
    <t>$ die once</t>
  </si>
  <si>
    <t>By Item Bids:</t>
  </si>
  <si>
    <t>By Lot bid:</t>
  </si>
  <si>
    <t>all 5185C100-1 lengths</t>
  </si>
  <si>
    <t>Best price order:</t>
  </si>
  <si>
    <t>5185C100-1 by lot</t>
  </si>
  <si>
    <t>Dies</t>
  </si>
  <si>
    <t>Total</t>
  </si>
  <si>
    <t>Total $</t>
  </si>
  <si>
    <t>@</t>
  </si>
  <si>
    <t>5185c100-1 by line item:</t>
  </si>
  <si>
    <t>130"</t>
  </si>
  <si>
    <t>78"</t>
  </si>
  <si>
    <t>53"</t>
  </si>
  <si>
    <t>length</t>
  </si>
  <si>
    <t>low unit price</t>
  </si>
  <si>
    <t>std qty</t>
  </si>
  <si>
    <t>$ / line item</t>
  </si>
  <si>
    <t>$ for line item total</t>
  </si>
  <si>
    <t>Points to check before ordering:</t>
  </si>
  <si>
    <t>Can Intl use the 5185c100-2 die we have, or do we have to add $975 to their line item total cost for a new die, thus shifting the low bid &amp; award to PEI?</t>
  </si>
  <si>
    <t>Did both PEI &amp; Intl bid fob psl as required?  Apparently, since neither indicates fob their plant or any exception to our shipping or packaging requirements.</t>
  </si>
  <si>
    <t>Update; Intl forgot shipping.  No info on PEI.</t>
  </si>
  <si>
    <t>Required in detector</t>
  </si>
  <si>
    <t>production sparing</t>
  </si>
  <si>
    <t>Qty of frames to buy extrusion for</t>
  </si>
  <si>
    <t>Prototyping allowance (after 2/1/00)</t>
  </si>
  <si>
    <t>$ diff for Intl</t>
  </si>
  <si>
    <t>diff for PEI</t>
  </si>
  <si>
    <t>Estimate of lot total at new quantities</t>
  </si>
  <si>
    <t>shape</t>
  </si>
  <si>
    <t>PEI each</t>
  </si>
  <si>
    <t>Intl each</t>
  </si>
  <si>
    <t>PEI at qty</t>
  </si>
  <si>
    <t>Intl at qty</t>
  </si>
  <si>
    <t>Intl -5c/lb</t>
  </si>
  <si>
    <t>Intl verbal each</t>
  </si>
  <si>
    <t>lot cost</t>
  </si>
  <si>
    <t>z extrusion 5185D042</t>
  </si>
  <si>
    <t>Intl (sole bidder)</t>
  </si>
  <si>
    <t>PO amount</t>
  </si>
  <si>
    <t>overhead</t>
  </si>
  <si>
    <t>total</t>
  </si>
  <si>
    <t>if split order, PEI frame extr</t>
  </si>
  <si>
    <t>PEI low bidder</t>
  </si>
  <si>
    <t>potential die cost</t>
  </si>
  <si>
    <t>lot+new die</t>
  </si>
  <si>
    <t>incl 975 die</t>
  </si>
  <si>
    <t>If one order, have to get all new dies, no lot discount from Intl:</t>
  </si>
  <si>
    <t>5185c100-1 all lengths</t>
  </si>
  <si>
    <t>3 new dies</t>
  </si>
  <si>
    <t>0 new dies</t>
  </si>
  <si>
    <t>4/1/2000</t>
  </si>
  <si>
    <t>prod qty next</t>
  </si>
  <si>
    <t>prod date next</t>
  </si>
  <si>
    <t>5/1/2000</t>
  </si>
  <si>
    <t>3/1/2000</t>
  </si>
  <si>
    <t>9/1/2000</t>
  </si>
  <si>
    <t>8/1/2000</t>
  </si>
  <si>
    <t>proto qty next</t>
  </si>
  <si>
    <t>now</t>
  </si>
  <si>
    <t>Controlling PSL Dwg #</t>
  </si>
  <si>
    <t>2856-MA-368056</t>
  </si>
  <si>
    <t>none</t>
  </si>
  <si>
    <t>2856-MA-368018</t>
  </si>
  <si>
    <t>m6 int toothed lock washer steel</t>
  </si>
  <si>
    <t>5520-MB-368051</t>
  </si>
  <si>
    <t>5520-MB-368075</t>
  </si>
  <si>
    <t>5520-MB-368074</t>
  </si>
  <si>
    <t>2856-MA-368010</t>
  </si>
  <si>
    <t>5520-MB-368011</t>
  </si>
  <si>
    <t>2856-MA-368039</t>
  </si>
  <si>
    <t>Reference FNAL Dwg # (caution; FNAL printed or ftp server dwgs may not be up to date; these are nominally copies of the Controlling PSL drawings.)</t>
  </si>
  <si>
    <t>5520-MC-368043</t>
  </si>
  <si>
    <t>5520-MC-368044</t>
  </si>
  <si>
    <t>5520-MC-368045</t>
  </si>
  <si>
    <t>5520-MB-368052</t>
  </si>
  <si>
    <t>5520-MB-368053</t>
  </si>
  <si>
    <t>2856-MA-368055</t>
  </si>
  <si>
    <t>5520-MC-368058</t>
  </si>
  <si>
    <t>5520-MC-368059</t>
  </si>
  <si>
    <t>5520-MC-368060</t>
  </si>
  <si>
    <t>5520-MD-368061</t>
  </si>
  <si>
    <t>5520-MD-368062</t>
  </si>
  <si>
    <t>5520-ME-368063</t>
  </si>
  <si>
    <t>5520-ME-368064</t>
  </si>
  <si>
    <t>5520-ME-368065</t>
  </si>
  <si>
    <t>5520-ME-368066</t>
  </si>
  <si>
    <t>5520-ME-368067</t>
  </si>
  <si>
    <t>5520-ME-368068</t>
  </si>
  <si>
    <t>5520-MA-368069</t>
  </si>
  <si>
    <t>5520-MA-368070</t>
  </si>
  <si>
    <t>5520-MB-368071</t>
  </si>
  <si>
    <t>5520-MC-368072</t>
  </si>
  <si>
    <t>5520-MC-368073</t>
  </si>
  <si>
    <t>2856-MA-368076</t>
  </si>
  <si>
    <t>2856-MA-368077</t>
  </si>
  <si>
    <t>5520-MC-368079</t>
  </si>
  <si>
    <t>5520-MB-368080</t>
  </si>
  <si>
    <t>5520-MB-368081</t>
  </si>
  <si>
    <t>5520-MB-368082</t>
  </si>
  <si>
    <t>5520-MB-368083</t>
  </si>
  <si>
    <t>5520-MB-368084</t>
  </si>
  <si>
    <t>5520-MB-368085</t>
  </si>
  <si>
    <t>Anode side panel</t>
  </si>
  <si>
    <t>5520-MD-368105</t>
  </si>
  <si>
    <t>2856-MA-368106</t>
  </si>
  <si>
    <t>5520-MA-368303</t>
  </si>
  <si>
    <t>5520-MA-368306</t>
  </si>
  <si>
    <t>5520-MA-368309</t>
  </si>
  <si>
    <t>ME2/2 &amp; 3/2 frames(initial production) - 5599E041C</t>
  </si>
  <si>
    <t>M10-20 OD flat washer - DIN 125 steel (OD limits 19.5 to 20.2mm dia)</t>
  </si>
  <si>
    <t>top anode side extrusion (note parts for first two frames have anode cable notches and have the 4.5mm holes of 5599E086 added)</t>
  </si>
  <si>
    <t>5599E088</t>
  </si>
  <si>
    <t>top HV side extrusion (note, will be superseded by 5599E033E in volume production)</t>
  </si>
  <si>
    <t>2856-MA-368046</t>
  </si>
  <si>
    <t>ME/2,3,4/2 stiffening plate</t>
  </si>
  <si>
    <t>5599D067B</t>
  </si>
  <si>
    <t>Qty reqd per chamber</t>
  </si>
  <si>
    <t>Back-ordered</t>
  </si>
  <si>
    <t>Shipped</t>
  </si>
  <si>
    <t>Packing List</t>
  </si>
  <si>
    <t>5599E041C</t>
  </si>
  <si>
    <t>5599E033E</t>
  </si>
  <si>
    <t>5599B003A</t>
  </si>
  <si>
    <t>5599B005</t>
  </si>
  <si>
    <t>5599B006</t>
  </si>
  <si>
    <t>5599B007B</t>
  </si>
  <si>
    <t>5599B008B</t>
  </si>
  <si>
    <t>5599B009B</t>
  </si>
  <si>
    <t>5599C010B</t>
  </si>
  <si>
    <t>5599C011C</t>
  </si>
  <si>
    <t>5599C012B</t>
  </si>
  <si>
    <t>5599E031D</t>
  </si>
  <si>
    <t>5599E032C</t>
  </si>
  <si>
    <t>5599E034D</t>
  </si>
  <si>
    <t>5599B037A</t>
  </si>
  <si>
    <t>5599C040B</t>
  </si>
  <si>
    <t>5599B066A</t>
  </si>
  <si>
    <t>5520-MA-368220</t>
  </si>
  <si>
    <t>Sparing</t>
  </si>
  <si>
    <t>25-chamber qty</t>
  </si>
  <si>
    <t>Fermi National Accelerator Laboratory Purchase Order # 525587</t>
  </si>
  <si>
    <t>reference</t>
  </si>
  <si>
    <t>PSL Project # 75405-3</t>
  </si>
  <si>
    <t>Total to ship</t>
  </si>
  <si>
    <t>Drawing (8.5x11 or 11x17 paper copies in plastic bag):</t>
  </si>
  <si>
    <t>5599C013B</t>
  </si>
  <si>
    <t>5599D017A</t>
  </si>
  <si>
    <t>5599B024B</t>
  </si>
  <si>
    <t>5599B025A</t>
  </si>
  <si>
    <t>5599B026A</t>
  </si>
  <si>
    <t>5599B008A</t>
  </si>
  <si>
    <t>5599C027A</t>
  </si>
  <si>
    <t>ME2/1 frame - 5599E028D</t>
  </si>
  <si>
    <t>5599E019C</t>
  </si>
  <si>
    <t>5599E020C</t>
  </si>
  <si>
    <t>5599E085A</t>
  </si>
  <si>
    <t>ME/2/1 anode side panel</t>
  </si>
  <si>
    <t>5599D089</t>
  </si>
  <si>
    <t>Note a previous revision with anode notches has been prototyped (P3 qty 2)</t>
  </si>
  <si>
    <t>5520-ME-368219</t>
  </si>
  <si>
    <t>5520-ME-368176</t>
  </si>
  <si>
    <t>5599E021C</t>
  </si>
  <si>
    <t>2 slot - shim light (ordered at .020" +-.004")</t>
  </si>
  <si>
    <t>3 slot - shim light (ordered at .020" +-.004")</t>
  </si>
  <si>
    <t>corner shim (light) (ordered at .020" +-.004")</t>
  </si>
  <si>
    <t>2 slot - shim medium (ordered at .032" +-.004")</t>
  </si>
  <si>
    <t>3 slot - shim medium (ordered at .032" +-.004")</t>
  </si>
  <si>
    <t>corner shim (medium) (ordered at .032" +-.004")</t>
  </si>
  <si>
    <t>2 slot - shim heavy (ordered at .050" +-.004")</t>
  </si>
  <si>
    <t>3 slot - shim heavy (ordered at .050" +-.004")</t>
  </si>
  <si>
    <t>corner shim (heavy) (ordered at .050" +-.004")</t>
  </si>
  <si>
    <t>5599C069</t>
  </si>
  <si>
    <t>5599C070</t>
  </si>
  <si>
    <t>5599C071</t>
  </si>
  <si>
    <t>5599C072</t>
  </si>
  <si>
    <t>5599D074</t>
  </si>
  <si>
    <t>5599E075</t>
  </si>
  <si>
    <t>5599E076</t>
  </si>
  <si>
    <t>5599D080</t>
  </si>
  <si>
    <t>5599B081</t>
  </si>
  <si>
    <t>5599B083</t>
  </si>
  <si>
    <t>5599B009A</t>
  </si>
  <si>
    <t>ME1/2 frame - 5599E068A</t>
  </si>
  <si>
    <t>5599E077A</t>
  </si>
  <si>
    <t>5599E078A</t>
  </si>
  <si>
    <t>5599E079A</t>
  </si>
  <si>
    <t>5599B082A</t>
  </si>
  <si>
    <t>Note that a previous revision has been prototyped (P3 qty 2; see 5185E251)</t>
  </si>
  <si>
    <t>Several required features require further input before the design can be completed.</t>
  </si>
  <si>
    <t>5599B092</t>
  </si>
  <si>
    <t>no applicable FNAL dwg.</t>
  </si>
  <si>
    <t>no applicable FNAL frame assembly dwg. (closest is ME-368229)</t>
  </si>
  <si>
    <t>MD-368172</t>
  </si>
  <si>
    <t>MD-368173</t>
  </si>
  <si>
    <t>MD-368174</t>
  </si>
  <si>
    <t>MD-368175</t>
  </si>
  <si>
    <t>ME-368177</t>
  </si>
  <si>
    <t>ME-368178</t>
  </si>
  <si>
    <t>ME-368179</t>
  </si>
  <si>
    <t>MB-368180</t>
  </si>
  <si>
    <t>MC-368181</t>
  </si>
  <si>
    <t>MC-368182</t>
  </si>
  <si>
    <t>MB-368074</t>
  </si>
  <si>
    <t>MB-368075</t>
  </si>
  <si>
    <t>Key No. on PSL Frame Assembly dwg.</t>
  </si>
  <si>
    <t>MB-368191</t>
  </si>
  <si>
    <t>ME-368319</t>
  </si>
  <si>
    <t>5520-MC-368332</t>
  </si>
  <si>
    <t>5520-MC-368333</t>
  </si>
  <si>
    <t>5520-MD-368378</t>
  </si>
  <si>
    <t>5520-MD-368379</t>
  </si>
  <si>
    <t>5520-ME-368380</t>
  </si>
  <si>
    <t>5520-ME-368381</t>
  </si>
  <si>
    <t>5520-ME-368383</t>
  </si>
  <si>
    <t>5520-ME-368382</t>
  </si>
  <si>
    <t>5520-ME-368384</t>
  </si>
  <si>
    <t>5520-MD-368385</t>
  </si>
  <si>
    <t>5520-MB-368358</t>
  </si>
  <si>
    <t>5520-MB-368359</t>
  </si>
  <si>
    <t>5520-MB-368360</t>
  </si>
  <si>
    <t>5599D096</t>
  </si>
  <si>
    <t>5599D097</t>
  </si>
  <si>
    <t>5599E098</t>
  </si>
  <si>
    <t>5599E099</t>
  </si>
  <si>
    <t>Top HV side extrusion</t>
  </si>
  <si>
    <t>5599E100</t>
  </si>
  <si>
    <t>Bottom HV side extrusion</t>
  </si>
  <si>
    <t>5599E101</t>
  </si>
  <si>
    <t>5599E022C</t>
  </si>
  <si>
    <t>5599D023B</t>
  </si>
  <si>
    <t>5599B102</t>
  </si>
  <si>
    <t>5599B103</t>
  </si>
  <si>
    <t>(no such file posted)</t>
  </si>
  <si>
    <t>m6 int. toothed lock washer - steel</t>
  </si>
  <si>
    <t>m6 int. toothed lock washer stl</t>
  </si>
  <si>
    <t>5599D104</t>
  </si>
  <si>
    <t>ME/3/1 anode side panel</t>
  </si>
  <si>
    <t>5599E032B</t>
  </si>
  <si>
    <t>5599E034C</t>
  </si>
  <si>
    <t>$ cost/line</t>
  </si>
  <si>
    <t>$ cost each for mfr only (no engr etc; some are estimates)</t>
  </si>
  <si>
    <t>allowance for extrusion material</t>
  </si>
  <si>
    <t>allowance for PSL overhead</t>
  </si>
  <si>
    <t>allowance for inspection &amp; misc costs</t>
  </si>
  <si>
    <t>estimate of value of shipped items</t>
  </si>
  <si>
    <t>5599E028D</t>
  </si>
  <si>
    <t>5599D089A</t>
  </si>
  <si>
    <t>PSL Project # 75405-4</t>
  </si>
  <si>
    <t>Fermi National Accelerator Laboratory Purchase Order # 527971</t>
  </si>
  <si>
    <t>2-chamber qty</t>
  </si>
  <si>
    <t>ME2/1 preprototype frames(without integration) - 5599E028D</t>
  </si>
  <si>
    <t>no applicable FNAL frame assembly dwg. (closest is ME-368219)</t>
  </si>
  <si>
    <t>5599B026B</t>
  </si>
  <si>
    <t>will have left after FY00 ME2/1 proto pair</t>
  </si>
  <si>
    <t>5599E023B</t>
  </si>
  <si>
    <t>5599b009B</t>
  </si>
  <si>
    <t xml:space="preserve">will have left after Mar 20 ME234/2 shipment </t>
  </si>
  <si>
    <t>pick for qty 2 ME2/1 to ship May 00</t>
  </si>
  <si>
    <t>5599E033F</t>
  </si>
  <si>
    <t>This shipment</t>
  </si>
  <si>
    <t>Remaining on Back Order</t>
  </si>
  <si>
    <t>5599E041D</t>
  </si>
  <si>
    <t>5599E031E</t>
  </si>
  <si>
    <t>5599E035C</t>
  </si>
  <si>
    <t>5599E086B</t>
  </si>
  <si>
    <t>5599E088A</t>
  </si>
  <si>
    <t>Shipped March 2000</t>
  </si>
  <si>
    <t>Back-ordered March 2000</t>
  </si>
  <si>
    <t>ME2/2 &amp; 3/2 frames(initial production) - 5599E041D</t>
  </si>
  <si>
    <t>pick for qty 2 initial-prod ME234/2 frames to ship May 00</t>
  </si>
  <si>
    <t>will have left after initial-prod ME234/2 frame pair May 2000</t>
  </si>
  <si>
    <t>5599B007C</t>
  </si>
  <si>
    <t>ME2/1 top small end extrusion</t>
  </si>
  <si>
    <t>ME2/1 bottom small end extrusion</t>
  </si>
  <si>
    <t>ME2/1 top anode side extrusion (obsolete notched flavor)</t>
  </si>
  <si>
    <t>5599E018A</t>
  </si>
  <si>
    <t>ME2/1bottom anode side extrusion</t>
  </si>
  <si>
    <t>ME2/1 top HV side extrusion</t>
  </si>
  <si>
    <t>ME2/1 bottom HV side extrusion</t>
  </si>
  <si>
    <t>ME234/1 top big end extrusion</t>
  </si>
  <si>
    <t>ME234/1 bottom big end extrusion</t>
  </si>
  <si>
    <t>ME234/1 big end panel</t>
  </si>
  <si>
    <t>ME234/1  stiffening plate</t>
  </si>
  <si>
    <t>ME2/1 small end panel</t>
  </si>
  <si>
    <t>ME2/1 HV side panels</t>
  </si>
  <si>
    <t>ME2/1 top anode side extrusion</t>
  </si>
  <si>
    <t>ME2/1 anode side panel</t>
  </si>
  <si>
    <t>5599b005-</t>
  </si>
  <si>
    <t>5599b006-</t>
  </si>
  <si>
    <t>5599D016-</t>
  </si>
  <si>
    <t>2 slot - shim light (.020"+_.004")</t>
  </si>
  <si>
    <t>2 slot - shim medium (.032"+_.004")</t>
  </si>
  <si>
    <t>2 slot - shim heavy (.050"+_.004")</t>
  </si>
  <si>
    <t>3 slot - shim light (.020"+_.004")</t>
  </si>
  <si>
    <t>3 slot - shim heavy (.050"+_.004")</t>
  </si>
  <si>
    <t>3 slot - shim medium (.032"+_.004")</t>
  </si>
  <si>
    <t>ME234/2 top small end extrusion</t>
  </si>
  <si>
    <t>ME234/2 bottom small end extrusion</t>
  </si>
  <si>
    <t>ME234/2 bottom anode side extrusion</t>
  </si>
  <si>
    <t>ME234/2 top HV side extrusion</t>
  </si>
  <si>
    <t>ME234/2 bottom HV side extrusion</t>
  </si>
  <si>
    <t>ME234/2 top big end extrusion</t>
  </si>
  <si>
    <t>ME234/2 bottom big end extrusion</t>
  </si>
  <si>
    <t>ME234/2 small end panel</t>
  </si>
  <si>
    <t>ME234/2 HV side panel</t>
  </si>
  <si>
    <t>ME234/2 big end panel</t>
  </si>
  <si>
    <t>corner shim light (.020"+_.004")</t>
  </si>
  <si>
    <t>corner shim medium (.032"+_.004")</t>
  </si>
  <si>
    <t>corner shim heavy (.050"+_.004")</t>
  </si>
  <si>
    <t>ME234/2 anode side panel</t>
  </si>
  <si>
    <t>ME234/2 top anode side extrusion</t>
  </si>
  <si>
    <t>ME1/2 yz fixed top - mounting bracket</t>
  </si>
  <si>
    <t>ME1/2 yz fixed bottom - mounting bracket</t>
  </si>
  <si>
    <t>ME1/2 xyz fixed top - mounting bracket</t>
  </si>
  <si>
    <t>ME1/2 xyz fixed bottom - mounting bracket</t>
  </si>
  <si>
    <t>ME1/2 top small end extrusion</t>
  </si>
  <si>
    <t>5599c069-</t>
  </si>
  <si>
    <t>5599c070-</t>
  </si>
  <si>
    <t>5599c071-</t>
  </si>
  <si>
    <t>5599c072-</t>
  </si>
  <si>
    <t>5599d073-</t>
  </si>
  <si>
    <t>5599d074-</t>
  </si>
  <si>
    <t>5599E076-</t>
  </si>
  <si>
    <t>5599E075-</t>
  </si>
  <si>
    <t>ME1/2 bottom small end extrusion</t>
  </si>
  <si>
    <t>ME1/2 top anode side extrusion</t>
  </si>
  <si>
    <t>ME1/2 bottom anode side extrusion</t>
  </si>
  <si>
    <t>ME1/2 top HV side extrusion</t>
  </si>
  <si>
    <t>ME1/2 bottom HV side extrusion</t>
  </si>
  <si>
    <t>ME1/2 top big end extrusion</t>
  </si>
  <si>
    <t>5599d080-</t>
  </si>
  <si>
    <t>ME1/2 bottom big end extrusion</t>
  </si>
  <si>
    <t>5599b081-</t>
  </si>
  <si>
    <t>ME1/2 small end panel</t>
  </si>
  <si>
    <t>5599b082A</t>
  </si>
  <si>
    <t>ME1/2 HV side panel</t>
  </si>
  <si>
    <t>5599b083-</t>
  </si>
  <si>
    <t>ME1/2 big end panel</t>
  </si>
  <si>
    <t>ME1/2 anode side panel</t>
  </si>
  <si>
    <t>5599D092-</t>
  </si>
  <si>
    <t>5185c248-</t>
  </si>
  <si>
    <t>P4 anode side panel</t>
  </si>
  <si>
    <t>P4 top anode side extrusion</t>
  </si>
  <si>
    <t>5185E249A</t>
  </si>
  <si>
    <t>5185E250-</t>
  </si>
  <si>
    <t>P4 bottom anode side extrusion</t>
  </si>
  <si>
    <t>5599d096-</t>
  </si>
  <si>
    <t>ME3/1 top small end extrusion</t>
  </si>
  <si>
    <t>ME3/1 bottom small end extrusion</t>
  </si>
  <si>
    <t>5599d097-</t>
  </si>
  <si>
    <t>ME3/1 top anode side extrusion</t>
  </si>
  <si>
    <t>5599E099-</t>
  </si>
  <si>
    <t>5599E098-</t>
  </si>
  <si>
    <t>ME3/1 bottom anode side extrusion</t>
  </si>
  <si>
    <t>5599E100-</t>
  </si>
  <si>
    <t>5599E101-</t>
  </si>
  <si>
    <t>ME3/1 top HV side extrusion</t>
  </si>
  <si>
    <t>ME3/1 bottom HV side extrusion</t>
  </si>
  <si>
    <t>ME3/1 small end panel</t>
  </si>
  <si>
    <t>5599b102-</t>
  </si>
  <si>
    <t>ME3/1 HV side panel</t>
  </si>
  <si>
    <t>5599b103-</t>
  </si>
  <si>
    <t>ME3/1 ME3/1 anode side panel</t>
  </si>
  <si>
    <t>5599d104-</t>
  </si>
  <si>
    <t>will have left after FY00 ME1/2 proto single</t>
  </si>
  <si>
    <t>ME234/2 initial prod on back order as of Mar 2000</t>
  </si>
  <si>
    <t>FY00 qty 25 frame ME23/2 picked qty March 2000</t>
  </si>
  <si>
    <t>add me1/3 specific components here</t>
  </si>
  <si>
    <t>add me4/1 specific components here</t>
  </si>
  <si>
    <t>ME234/2 initial prod on back order as of May 2000</t>
  </si>
  <si>
    <t>Qty On order</t>
  </si>
  <si>
    <t>need for qty 1 ME1/2 to ship summer 2000</t>
  </si>
  <si>
    <t>Which is, worst case # of chambers worth after summer 2000, before pending orders</t>
  </si>
  <si>
    <t>Which is, worst case # of chambers worth after summer 2000, after pending orders</t>
  </si>
  <si>
    <t>estimated finished length, "</t>
  </si>
  <si>
    <t>Boolean switch ME4/1:</t>
  </si>
  <si>
    <t>PEI:</t>
  </si>
  <si>
    <t>International</t>
  </si>
  <si>
    <t>5185c100-1, 5185c100-2</t>
  </si>
  <si>
    <t>LB net</t>
  </si>
  <si>
    <t>Basis of Full-production extrusion material order</t>
  </si>
  <si>
    <t>Qty</t>
  </si>
  <si>
    <t>canceled</t>
  </si>
  <si>
    <t>delivered</t>
  </si>
  <si>
    <t xml:space="preserve"> would be order amt</t>
  </si>
  <si>
    <t>get #/stick</t>
  </si>
  <si>
    <t>wt/stick, lb</t>
  </si>
  <si>
    <t>wt per length value of this type lb</t>
  </si>
  <si>
    <t>Extrusion reference drawing</t>
  </si>
  <si>
    <t>130</t>
  </si>
  <si>
    <t>Loose stock (shipping with ME234/2 parts)</t>
  </si>
  <si>
    <t>112.5</t>
  </si>
  <si>
    <t>78.1</t>
  </si>
  <si>
    <t>53</t>
  </si>
  <si>
    <t>Proof run pallet for large order (6 cartons on one pallet)</t>
  </si>
  <si>
    <t>Balance of large order (many cartons on 11 pallets)</t>
  </si>
  <si>
    <t>78</t>
  </si>
  <si>
    <t>varying</t>
  </si>
  <si>
    <t>several</t>
  </si>
  <si>
    <t>Notes</t>
  </si>
  <si>
    <t>PEI had diffiiculty producing extrusion to specification, with diminishing yield over time.  We are shipping our entire supply of good, bad, and unknown quality of this profile, along with the dies that produced it.  The total supply is approximately 42 feet, in pieces ranging from 84" down to 6".  This material should be conserved for prototyping the special brackets for ME1/2 and ME1/3, until more extrusion is obtained.</t>
  </si>
  <si>
    <t>For best efficiency, use for ME4/1 or ME234/2 small end extrusions</t>
  </si>
  <si>
    <t>ME234/2 side extrusions require 129.06 finished length.</t>
  </si>
  <si>
    <t>Usable for ME4/1 side extrusions</t>
  </si>
  <si>
    <t>PSL Dwg #</t>
  </si>
  <si>
    <t>Closest FNAL Dwg #</t>
  </si>
  <si>
    <t>McM-Carr 98410A117 Snap Ring (3/8)</t>
  </si>
  <si>
    <t>ME234/2 top anode side extrusion (initial production)</t>
  </si>
  <si>
    <t>ME234/2 top HV side extrusion (initial production)</t>
  </si>
  <si>
    <t>die is at PEI</t>
  </si>
  <si>
    <t>Wt lb/pc (for weigh-counting)</t>
  </si>
  <si>
    <t>pick for qty 2 ME3/1 to ship June 00</t>
  </si>
  <si>
    <t>PSL Project # 75405-5</t>
  </si>
  <si>
    <t>Fermi National Accelerator Laboratory Purchase Order # 525587?</t>
  </si>
  <si>
    <t>no applicable FNAL frame assembly dwg. (closest is ME-368319)</t>
  </si>
  <si>
    <t>extra pair usable in place of, or modifiable to, 5599D104 during chamber construction</t>
  </si>
  <si>
    <t>ME3/1 anode side panel</t>
  </si>
  <si>
    <t>drawing needs checking first</t>
  </si>
  <si>
    <t>ME3/1 preprototype frames(without integration) - 5599E095</t>
  </si>
  <si>
    <t>allowance for extrusion material for ME3/1 frames</t>
  </si>
  <si>
    <t>extrusion matl, 38" 5185C100-1</t>
  </si>
  <si>
    <t>NA</t>
  </si>
  <si>
    <t>38" 5185C100-2 extrusion material</t>
  </si>
  <si>
    <t>Required, FNAL to make up</t>
  </si>
  <si>
    <t>Shipped with ME3/1 proto's 6/23/00</t>
  </si>
  <si>
    <t>all</t>
  </si>
  <si>
    <t>Shipped 5-16-2000</t>
  </si>
  <si>
    <t>estimate of value of shipped items (for insurance purposes only)</t>
  </si>
  <si>
    <t>will have left after FY00 ME3/1 proto pair; ship all to FNAL</t>
  </si>
  <si>
    <t>Mar-Fre order is not inspected</t>
  </si>
  <si>
    <t>latest order not inspected</t>
  </si>
  <si>
    <t>On hand at PSL or shipped to FNAL (excludes parts consumed in engr tests)</t>
  </si>
  <si>
    <t>This shipment, for ME234/2 initial production</t>
  </si>
  <si>
    <t>This shipment, for general inventory</t>
  </si>
  <si>
    <t>This shipment, total</t>
  </si>
  <si>
    <t>FNAL to make up qty for initial production ME234/2</t>
  </si>
  <si>
    <t>McMaster-Carr 98410A117 Snap Ring (3/8")</t>
  </si>
  <si>
    <t>ME234/1 stiffening plate</t>
  </si>
  <si>
    <t>ME2/1 HV side panel</t>
  </si>
  <si>
    <t>150 in vendor pallet</t>
  </si>
  <si>
    <t>5185D042, per foot</t>
  </si>
  <si>
    <t>5185C100-1, 132" piece</t>
  </si>
  <si>
    <t>5185D042 die body &amp; backing plate (2 piece set)</t>
  </si>
  <si>
    <t>Fermi National Accelerator Laboratory Purchase Order # 526591</t>
  </si>
  <si>
    <t>allowance for extrusion material value in finished parts</t>
  </si>
  <si>
    <t>5185C100-1, 58.5" piece</t>
  </si>
  <si>
    <t>5185C100-1, 63" piece</t>
  </si>
  <si>
    <t>5185C100-2, 78" piece</t>
  </si>
  <si>
    <t>Key No. on PSL ME234/2 Frame Assembly dwg.</t>
  </si>
  <si>
    <t>5185C100-1 extrusion, 53" long</t>
  </si>
  <si>
    <t>5185C100-1 extrusion, 78" long</t>
  </si>
  <si>
    <t>5185C100-1 extrusion, 130" long</t>
  </si>
  <si>
    <t>PEI cartons 5 and 6</t>
  </si>
  <si>
    <t>PEI carton 2</t>
  </si>
  <si>
    <t>PEI carton 1</t>
  </si>
  <si>
    <t>PEI cartons 3 and 4</t>
  </si>
  <si>
    <t>5185C100-2, 112.5" piece</t>
  </si>
  <si>
    <t>Notes (Most parts should be considered uninspected.)</t>
  </si>
  <si>
    <t>ME3/1 prototypes overshipped by 4</t>
  </si>
  <si>
    <t>50 on vendor pallet; 8 in box</t>
  </si>
  <si>
    <t>from PEI</t>
  </si>
  <si>
    <t>Packing list</t>
  </si>
  <si>
    <t>Shipped with ME234/2 &amp; general inventory 7/10/00</t>
  </si>
  <si>
    <t>Expected to ship mid July 2000</t>
  </si>
  <si>
    <t>Extrusion stock</t>
  </si>
  <si>
    <t>no applicable FNAL frame assembly dwg</t>
  </si>
  <si>
    <t>Above materials are packed by vendor (PEI) in 50 cartons on 11 skids</t>
  </si>
  <si>
    <t>PSL Project # 75405-3, 4, 5, 6, &amp; 7</t>
  </si>
  <si>
    <t>Total Shipped to date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</si>
</sst>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mmmm\ d\,\ yyyy"/>
    <numFmt numFmtId="169" formatCode="00000"/>
    <numFmt numFmtId="170" formatCode="m/d/yy\ h:mm\ AM/PM"/>
    <numFmt numFmtId="171" formatCode="&quot;$&quot;#,##0.00"/>
    <numFmt numFmtId="172" formatCode="m/d"/>
    <numFmt numFmtId="173" formatCode="m/d/yyyy"/>
  </numFmts>
  <fonts count="7">
    <font>
      <sz val="10"/>
      <name val="Arial"/>
      <family val="0"/>
    </font>
    <font>
      <b/>
      <sz val="10"/>
      <name val="Arial"/>
      <family val="0"/>
    </font>
    <font>
      <i/>
      <sz val="10"/>
      <name val="Arial"/>
      <family val="0"/>
    </font>
    <font>
      <b/>
      <i/>
      <sz val="10"/>
      <name val="Arial"/>
      <family val="0"/>
    </font>
    <font>
      <b/>
      <sz val="14"/>
      <name val="Arial"/>
      <family val="0"/>
    </font>
    <font>
      <sz val="14"/>
      <name val="Arial"/>
      <family val="0"/>
    </font>
    <font>
      <sz val="18"/>
      <name val="Arial"/>
      <family val="0"/>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29">
    <border>
      <left/>
      <right/>
      <top/>
      <bottom/>
      <diagonal/>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0" fillId="0" borderId="0" xfId="0" applyAlignment="1">
      <alignment wrapText="1"/>
    </xf>
    <xf numFmtId="164" fontId="0" fillId="0" borderId="0" xfId="0" applyNumberFormat="1" applyAlignment="1">
      <alignment/>
    </xf>
    <xf numFmtId="167" fontId="0" fillId="0" borderId="0" xfId="0" applyNumberFormat="1" applyAlignment="1">
      <alignment/>
    </xf>
    <xf numFmtId="2" fontId="0" fillId="0" borderId="0" xfId="0" applyNumberFormat="1"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3" xfId="0" applyBorder="1" applyAlignment="1">
      <alignment wrapText="1"/>
    </xf>
    <xf numFmtId="164" fontId="0" fillId="0" borderId="3" xfId="0" applyNumberFormat="1" applyBorder="1" applyAlignment="1">
      <alignment/>
    </xf>
    <xf numFmtId="0" fontId="0" fillId="0" borderId="0" xfId="0" applyAlignment="1">
      <alignment horizontal="left"/>
    </xf>
    <xf numFmtId="0" fontId="0" fillId="0" borderId="0" xfId="0" applyAlignment="1">
      <alignment/>
    </xf>
    <xf numFmtId="49" fontId="0" fillId="0" borderId="0" xfId="0" applyNumberFormat="1" applyAlignment="1">
      <alignment wrapText="1"/>
    </xf>
    <xf numFmtId="49" fontId="0" fillId="0" borderId="0" xfId="0" applyNumberFormat="1" applyAlignment="1">
      <alignment/>
    </xf>
    <xf numFmtId="0" fontId="0" fillId="2" borderId="0" xfId="0" applyFill="1" applyAlignment="1">
      <alignment/>
    </xf>
    <xf numFmtId="0" fontId="0" fillId="2" borderId="0" xfId="0" applyFill="1" applyAlignment="1">
      <alignment wrapText="1"/>
    </xf>
    <xf numFmtId="164" fontId="0" fillId="2" borderId="0" xfId="0" applyNumberFormat="1" applyFill="1" applyAlignment="1">
      <alignment/>
    </xf>
    <xf numFmtId="49" fontId="0" fillId="2" borderId="0" xfId="0" applyNumberFormat="1" applyFill="1" applyAlignment="1">
      <alignment/>
    </xf>
    <xf numFmtId="49" fontId="0" fillId="2" borderId="0" xfId="0" applyNumberFormat="1" applyFill="1" applyAlignment="1">
      <alignment wrapText="1"/>
    </xf>
    <xf numFmtId="0" fontId="0" fillId="2" borderId="3" xfId="0" applyFill="1" applyBorder="1" applyAlignment="1">
      <alignment wrapText="1"/>
    </xf>
    <xf numFmtId="164" fontId="0" fillId="2" borderId="3" xfId="0" applyNumberFormat="1" applyFill="1" applyBorder="1" applyAlignment="1">
      <alignment/>
    </xf>
    <xf numFmtId="0" fontId="0" fillId="0" borderId="0" xfId="0" applyFill="1" applyAlignment="1">
      <alignment/>
    </xf>
    <xf numFmtId="0" fontId="0" fillId="0" borderId="0" xfId="0" applyFill="1" applyAlignment="1">
      <alignment wrapText="1"/>
    </xf>
    <xf numFmtId="1" fontId="0" fillId="0" borderId="0" xfId="0" applyNumberFormat="1" applyAlignment="1">
      <alignment/>
    </xf>
    <xf numFmtId="1" fontId="0" fillId="0" borderId="0" xfId="0" applyNumberFormat="1" applyAlignment="1">
      <alignment wrapText="1"/>
    </xf>
    <xf numFmtId="1" fontId="0" fillId="0" borderId="3" xfId="0" applyNumberFormat="1" applyBorder="1" applyAlignment="1">
      <alignment/>
    </xf>
    <xf numFmtId="1" fontId="0" fillId="0" borderId="0" xfId="0" applyNumberFormat="1" applyBorder="1" applyAlignment="1">
      <alignment/>
    </xf>
    <xf numFmtId="166" fontId="0" fillId="0" borderId="0" xfId="0" applyNumberFormat="1" applyAlignment="1">
      <alignment/>
    </xf>
    <xf numFmtId="0" fontId="0" fillId="0" borderId="0" xfId="0" applyAlignment="1">
      <alignment horizontal="right"/>
    </xf>
    <xf numFmtId="22" fontId="0" fillId="0" borderId="0" xfId="0" applyNumberFormat="1" applyAlignment="1">
      <alignment/>
    </xf>
    <xf numFmtId="170" fontId="0" fillId="0" borderId="0" xfId="0" applyNumberFormat="1" applyAlignment="1">
      <alignment/>
    </xf>
    <xf numFmtId="9" fontId="0" fillId="0" borderId="0" xfId="0" applyNumberFormat="1" applyAlignment="1" quotePrefix="1">
      <alignment/>
    </xf>
    <xf numFmtId="2" fontId="0" fillId="0" borderId="0" xfId="0" applyNumberFormat="1" applyAlignment="1">
      <alignment horizontal="right"/>
    </xf>
    <xf numFmtId="0" fontId="0" fillId="0" borderId="0" xfId="0" applyFont="1" applyAlignment="1">
      <alignment/>
    </xf>
    <xf numFmtId="0" fontId="0" fillId="0" borderId="4" xfId="0" applyBorder="1" applyAlignment="1">
      <alignment/>
    </xf>
    <xf numFmtId="0" fontId="1" fillId="0" borderId="5" xfId="0" applyFont="1" applyBorder="1" applyAlignment="1">
      <alignment/>
    </xf>
    <xf numFmtId="1" fontId="0" fillId="0" borderId="5" xfId="0" applyNumberFormat="1" applyBorder="1" applyAlignment="1">
      <alignment/>
    </xf>
    <xf numFmtId="0" fontId="0" fillId="0" borderId="6" xfId="0" applyBorder="1" applyAlignment="1">
      <alignment/>
    </xf>
    <xf numFmtId="0" fontId="0" fillId="0" borderId="7" xfId="0" applyBorder="1" applyAlignment="1">
      <alignment/>
    </xf>
    <xf numFmtId="0" fontId="1" fillId="0" borderId="0" xfId="0" applyFont="1" applyBorder="1" applyAlignment="1">
      <alignment/>
    </xf>
    <xf numFmtId="0" fontId="0" fillId="0" borderId="8" xfId="0" applyBorder="1" applyAlignment="1">
      <alignment/>
    </xf>
    <xf numFmtId="1" fontId="0" fillId="0" borderId="8" xfId="0" applyNumberFormat="1" applyBorder="1" applyAlignment="1">
      <alignment/>
    </xf>
    <xf numFmtId="0" fontId="0" fillId="0" borderId="9" xfId="0" applyBorder="1" applyAlignment="1">
      <alignment/>
    </xf>
    <xf numFmtId="0" fontId="0" fillId="0" borderId="10" xfId="0" applyBorder="1" applyAlignment="1">
      <alignment/>
    </xf>
    <xf numFmtId="1" fontId="0" fillId="0" borderId="10" xfId="0" applyNumberFormat="1" applyBorder="1" applyAlignment="1">
      <alignment/>
    </xf>
    <xf numFmtId="0" fontId="0" fillId="0" borderId="11" xfId="0" applyBorder="1" applyAlignment="1">
      <alignment/>
    </xf>
    <xf numFmtId="1" fontId="0" fillId="0" borderId="5" xfId="0" applyNumberFormat="1" applyBorder="1" applyAlignment="1">
      <alignment wrapText="1"/>
    </xf>
    <xf numFmtId="1" fontId="1" fillId="0" borderId="5" xfId="0" applyNumberFormat="1" applyFont="1" applyBorder="1" applyAlignment="1">
      <alignment/>
    </xf>
    <xf numFmtId="1" fontId="1" fillId="0" borderId="0" xfId="0" applyNumberFormat="1" applyFont="1" applyBorder="1" applyAlignment="1">
      <alignment/>
    </xf>
    <xf numFmtId="0" fontId="0" fillId="0" borderId="10" xfId="0" applyFont="1" applyBorder="1" applyAlignment="1">
      <alignment/>
    </xf>
    <xf numFmtId="171" fontId="0" fillId="0" borderId="0" xfId="0" applyNumberFormat="1" applyAlignment="1">
      <alignment/>
    </xf>
    <xf numFmtId="167" fontId="0" fillId="0" borderId="12" xfId="0" applyNumberFormat="1" applyBorder="1" applyAlignment="1">
      <alignment/>
    </xf>
    <xf numFmtId="1" fontId="1" fillId="0" borderId="0" xfId="0" applyNumberFormat="1" applyFont="1" applyAlignment="1">
      <alignment/>
    </xf>
    <xf numFmtId="49" fontId="0" fillId="0" borderId="0" xfId="0" applyNumberFormat="1" applyAlignment="1">
      <alignment horizontal="right"/>
    </xf>
    <xf numFmtId="0" fontId="0" fillId="0" borderId="13" xfId="0" applyBorder="1" applyAlignment="1">
      <alignment/>
    </xf>
    <xf numFmtId="0" fontId="0" fillId="0" borderId="14" xfId="0" applyBorder="1" applyAlignment="1">
      <alignment horizontal="right"/>
    </xf>
    <xf numFmtId="2" fontId="0" fillId="0" borderId="15" xfId="0" applyNumberFormat="1" applyBorder="1" applyAlignment="1">
      <alignment/>
    </xf>
    <xf numFmtId="49" fontId="0" fillId="0" borderId="0" xfId="0" applyNumberFormat="1" applyAlignment="1" quotePrefix="1">
      <alignment/>
    </xf>
    <xf numFmtId="0" fontId="1" fillId="0" borderId="0" xfId="0" applyFont="1" applyAlignment="1">
      <alignment wrapText="1"/>
    </xf>
    <xf numFmtId="1" fontId="0" fillId="0" borderId="0" xfId="0" applyNumberFormat="1" applyBorder="1" applyAlignment="1">
      <alignment wrapText="1"/>
    </xf>
    <xf numFmtId="0" fontId="0" fillId="0" borderId="0" xfId="0" applyBorder="1" applyAlignment="1">
      <alignment/>
    </xf>
    <xf numFmtId="0" fontId="1" fillId="0" borderId="15" xfId="0" applyFont="1" applyBorder="1" applyAlignment="1">
      <alignment/>
    </xf>
    <xf numFmtId="2" fontId="0" fillId="0" borderId="16" xfId="0" applyNumberFormat="1" applyBorder="1" applyAlignment="1">
      <alignment/>
    </xf>
    <xf numFmtId="0" fontId="0" fillId="0" borderId="17" xfId="0" applyBorder="1" applyAlignment="1">
      <alignment/>
    </xf>
    <xf numFmtId="0" fontId="0" fillId="3" borderId="0" xfId="0" applyFill="1" applyAlignment="1">
      <alignment/>
    </xf>
    <xf numFmtId="49" fontId="0" fillId="3" borderId="0" xfId="0" applyNumberFormat="1" applyFill="1" applyAlignment="1">
      <alignment/>
    </xf>
    <xf numFmtId="1" fontId="0" fillId="2" borderId="0" xfId="0" applyNumberFormat="1" applyFill="1" applyAlignment="1">
      <alignment/>
    </xf>
    <xf numFmtId="2" fontId="0" fillId="2" borderId="0" xfId="0" applyNumberFormat="1" applyFill="1" applyAlignment="1">
      <alignment/>
    </xf>
    <xf numFmtId="2" fontId="0" fillId="0" borderId="0" xfId="0" applyNumberFormat="1" applyAlignment="1">
      <alignment wrapText="1"/>
    </xf>
    <xf numFmtId="2" fontId="1" fillId="0" borderId="0" xfId="0" applyNumberFormat="1" applyFont="1" applyAlignment="1">
      <alignment/>
    </xf>
    <xf numFmtId="0" fontId="0" fillId="0" borderId="18" xfId="0" applyBorder="1" applyAlignment="1">
      <alignment/>
    </xf>
    <xf numFmtId="1" fontId="0" fillId="0" borderId="18" xfId="0" applyNumberFormat="1" applyBorder="1" applyAlignment="1">
      <alignment/>
    </xf>
    <xf numFmtId="0" fontId="0" fillId="0" borderId="19" xfId="0" applyBorder="1" applyAlignment="1">
      <alignment/>
    </xf>
    <xf numFmtId="1" fontId="0" fillId="0" borderId="19" xfId="0" applyNumberFormat="1" applyBorder="1" applyAlignment="1">
      <alignment/>
    </xf>
    <xf numFmtId="164" fontId="0" fillId="0" borderId="19" xfId="0" applyNumberFormat="1" applyBorder="1" applyAlignment="1">
      <alignment/>
    </xf>
    <xf numFmtId="11" fontId="0" fillId="0" borderId="0" xfId="0" applyNumberFormat="1" applyAlignment="1">
      <alignment/>
    </xf>
    <xf numFmtId="16" fontId="0" fillId="0" borderId="0" xfId="0" applyNumberFormat="1" applyAlignment="1">
      <alignment/>
    </xf>
    <xf numFmtId="14" fontId="0" fillId="0" borderId="19" xfId="0" applyNumberFormat="1" applyBorder="1" applyAlignment="1">
      <alignment/>
    </xf>
    <xf numFmtId="14" fontId="0" fillId="0" borderId="0" xfId="0" applyNumberFormat="1" applyAlignment="1">
      <alignment/>
    </xf>
    <xf numFmtId="49" fontId="0" fillId="0" borderId="20" xfId="0" applyNumberFormat="1" applyBorder="1" applyAlignment="1">
      <alignment/>
    </xf>
    <xf numFmtId="49" fontId="0" fillId="0" borderId="21" xfId="0" applyNumberFormat="1" applyBorder="1" applyAlignment="1">
      <alignment/>
    </xf>
    <xf numFmtId="49" fontId="0" fillId="0" borderId="22" xfId="0" applyNumberFormat="1" applyBorder="1" applyAlignment="1">
      <alignment/>
    </xf>
    <xf numFmtId="0" fontId="0" fillId="0" borderId="18" xfId="0" applyBorder="1" applyAlignment="1">
      <alignment wrapText="1"/>
    </xf>
    <xf numFmtId="49" fontId="0" fillId="0" borderId="22" xfId="0" applyNumberFormat="1" applyBorder="1" applyAlignment="1">
      <alignment wrapText="1"/>
    </xf>
    <xf numFmtId="1" fontId="0" fillId="0" borderId="18" xfId="0" applyNumberFormat="1" applyBorder="1" applyAlignment="1">
      <alignment wrapText="1"/>
    </xf>
    <xf numFmtId="2" fontId="0" fillId="0" borderId="19" xfId="0" applyNumberFormat="1" applyBorder="1" applyAlignment="1">
      <alignment/>
    </xf>
    <xf numFmtId="2" fontId="0" fillId="0" borderId="18" xfId="0" applyNumberFormat="1" applyBorder="1" applyAlignment="1">
      <alignment/>
    </xf>
    <xf numFmtId="2" fontId="0" fillId="0" borderId="0" xfId="0" applyNumberFormat="1" applyBorder="1" applyAlignment="1">
      <alignment/>
    </xf>
    <xf numFmtId="1" fontId="0" fillId="0" borderId="14" xfId="0" applyNumberFormat="1" applyBorder="1" applyAlignment="1">
      <alignment/>
    </xf>
    <xf numFmtId="1" fontId="0" fillId="0" borderId="15"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5" xfId="0" applyBorder="1" applyAlignment="1">
      <alignment/>
    </xf>
    <xf numFmtId="1" fontId="0" fillId="0" borderId="6" xfId="0" applyNumberFormat="1" applyBorder="1" applyAlignment="1">
      <alignment/>
    </xf>
    <xf numFmtId="0" fontId="0" fillId="0" borderId="0" xfId="0" applyBorder="1" applyAlignment="1">
      <alignment horizontal="right"/>
    </xf>
    <xf numFmtId="171" fontId="0" fillId="0" borderId="8" xfId="0" applyNumberFormat="1" applyBorder="1" applyAlignment="1">
      <alignment/>
    </xf>
    <xf numFmtId="0" fontId="0" fillId="0" borderId="10" xfId="0" applyBorder="1" applyAlignment="1">
      <alignment horizontal="right"/>
    </xf>
    <xf numFmtId="171" fontId="0" fillId="0" borderId="11" xfId="0" applyNumberFormat="1" applyBorder="1" applyAlignment="1">
      <alignment/>
    </xf>
    <xf numFmtId="1" fontId="0" fillId="0" borderId="7" xfId="0" applyNumberFormat="1" applyBorder="1" applyAlignment="1">
      <alignment/>
    </xf>
    <xf numFmtId="49" fontId="0" fillId="0" borderId="0" xfId="0" applyNumberFormat="1" applyBorder="1" applyAlignment="1">
      <alignment/>
    </xf>
    <xf numFmtId="49" fontId="0" fillId="0" borderId="18" xfId="0" applyNumberFormat="1" applyBorder="1" applyAlignment="1">
      <alignment wrapText="1"/>
    </xf>
    <xf numFmtId="49" fontId="0" fillId="0" borderId="23" xfId="0" applyNumberFormat="1" applyBorder="1" applyAlignment="1">
      <alignment/>
    </xf>
    <xf numFmtId="49" fontId="0" fillId="0" borderId="24" xfId="0" applyNumberFormat="1" applyBorder="1" applyAlignment="1">
      <alignment/>
    </xf>
    <xf numFmtId="2" fontId="0" fillId="3" borderId="0" xfId="0" applyNumberFormat="1" applyFill="1" applyAlignment="1">
      <alignment/>
    </xf>
    <xf numFmtId="0" fontId="0" fillId="0" borderId="25" xfId="0" applyBorder="1" applyAlignment="1">
      <alignment/>
    </xf>
    <xf numFmtId="49" fontId="0" fillId="0" borderId="25" xfId="0" applyNumberFormat="1" applyBorder="1" applyAlignment="1">
      <alignment/>
    </xf>
    <xf numFmtId="1" fontId="0" fillId="0" borderId="25" xfId="0" applyNumberFormat="1" applyBorder="1" applyAlignment="1">
      <alignment/>
    </xf>
    <xf numFmtId="49" fontId="0" fillId="0" borderId="19" xfId="0" applyNumberFormat="1" applyBorder="1" applyAlignment="1">
      <alignment/>
    </xf>
    <xf numFmtId="1" fontId="0" fillId="0" borderId="19" xfId="0" applyNumberFormat="1" applyBorder="1" applyAlignment="1">
      <alignment wrapText="1"/>
    </xf>
    <xf numFmtId="0" fontId="4" fillId="0" borderId="0" xfId="0" applyFont="1" applyAlignment="1">
      <alignment/>
    </xf>
    <xf numFmtId="0" fontId="6" fillId="0" borderId="0" xfId="0" applyFont="1" applyAlignment="1">
      <alignment/>
    </xf>
    <xf numFmtId="0" fontId="0" fillId="0" borderId="26" xfId="0" applyBorder="1" applyAlignment="1">
      <alignment wrapText="1"/>
    </xf>
    <xf numFmtId="0" fontId="0" fillId="0" borderId="27" xfId="0" applyBorder="1" applyAlignment="1">
      <alignment/>
    </xf>
    <xf numFmtId="0" fontId="0" fillId="0" borderId="16" xfId="0" applyBorder="1" applyAlignment="1">
      <alignment/>
    </xf>
    <xf numFmtId="1" fontId="0" fillId="0" borderId="27" xfId="0" applyNumberFormat="1" applyBorder="1" applyAlignment="1">
      <alignment/>
    </xf>
    <xf numFmtId="4" fontId="0" fillId="0" borderId="0" xfId="0" applyNumberFormat="1" applyAlignment="1">
      <alignment/>
    </xf>
    <xf numFmtId="4" fontId="0" fillId="2" borderId="0" xfId="0" applyNumberFormat="1" applyFill="1" applyAlignment="1">
      <alignment/>
    </xf>
    <xf numFmtId="0" fontId="4" fillId="0" borderId="23" xfId="0" applyFont="1" applyBorder="1" applyAlignment="1">
      <alignment wrapText="1"/>
    </xf>
    <xf numFmtId="0" fontId="4" fillId="0" borderId="19" xfId="0" applyFont="1" applyBorder="1" applyAlignment="1">
      <alignment wrapText="1"/>
    </xf>
    <xf numFmtId="0" fontId="4" fillId="0" borderId="21" xfId="0" applyFont="1" applyBorder="1" applyAlignment="1">
      <alignment wrapText="1"/>
    </xf>
    <xf numFmtId="0" fontId="4" fillId="0" borderId="28" xfId="0" applyFont="1" applyBorder="1" applyAlignment="1">
      <alignment wrapText="1"/>
    </xf>
    <xf numFmtId="0" fontId="4" fillId="0" borderId="0" xfId="0" applyFont="1" applyBorder="1" applyAlignment="1">
      <alignment wrapText="1"/>
    </xf>
    <xf numFmtId="0" fontId="4" fillId="0" borderId="20" xfId="0" applyFont="1" applyBorder="1" applyAlignment="1">
      <alignment wrapText="1"/>
    </xf>
    <xf numFmtId="0" fontId="4" fillId="0" borderId="24" xfId="0" applyFont="1" applyBorder="1" applyAlignment="1">
      <alignment wrapText="1"/>
    </xf>
    <xf numFmtId="0" fontId="4" fillId="0" borderId="18" xfId="0" applyFont="1" applyBorder="1" applyAlignment="1">
      <alignment wrapText="1"/>
    </xf>
    <xf numFmtId="0" fontId="4" fillId="0" borderId="22" xfId="0" applyFont="1" applyBorder="1" applyAlignment="1">
      <alignment wrapText="1"/>
    </xf>
    <xf numFmtId="0" fontId="4" fillId="0" borderId="16" xfId="0" applyFont="1" applyBorder="1" applyAlignment="1">
      <alignment wrapText="1"/>
    </xf>
    <xf numFmtId="0" fontId="4" fillId="0" borderId="27" xfId="0" applyFont="1" applyBorder="1" applyAlignment="1">
      <alignment wrapText="1"/>
    </xf>
    <xf numFmtId="0" fontId="5" fillId="0" borderId="27" xfId="0" applyFont="1" applyBorder="1" applyAlignment="1">
      <alignment wrapText="1"/>
    </xf>
    <xf numFmtId="0" fontId="5" fillId="0" borderId="17" xfId="0" applyFont="1" applyBorder="1" applyAlignment="1">
      <alignment wrapText="1"/>
    </xf>
    <xf numFmtId="0" fontId="0" fillId="0" borderId="0" xfId="0" applyAlignment="1">
      <alignment vertical="top" wrapText="1"/>
    </xf>
    <xf numFmtId="49" fontId="0" fillId="0" borderId="0" xfId="0" applyNumberFormat="1" applyAlignment="1">
      <alignment vertical="top" wrapText="1"/>
    </xf>
    <xf numFmtId="0" fontId="0" fillId="0" borderId="0" xfId="0" applyAlignment="1">
      <alignment horizontal="center"/>
    </xf>
    <xf numFmtId="0" fontId="6" fillId="0" borderId="0" xfId="0" applyFont="1" applyAlignment="1">
      <alignment horizontal="center"/>
    </xf>
    <xf numFmtId="0" fontId="0" fillId="0" borderId="0" xfId="0" applyAlignment="1">
      <alignment horizontal="center" vertical="top" wrapText="1"/>
    </xf>
    <xf numFmtId="0" fontId="1" fillId="0" borderId="0" xfId="0" applyFont="1" applyAlignment="1">
      <alignment horizontal="center" vertical="top" wrapText="1"/>
    </xf>
    <xf numFmtId="0" fontId="0" fillId="0" borderId="0" xfId="0" applyFont="1" applyAlignment="1">
      <alignment horizontal="center"/>
    </xf>
    <xf numFmtId="0" fontId="0" fillId="2" borderId="0" xfId="0" applyFill="1" applyAlignment="1">
      <alignment horizontal="center"/>
    </xf>
    <xf numFmtId="0"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8"/>
  <sheetViews>
    <sheetView workbookViewId="0" topLeftCell="A1">
      <selection activeCell="A14" sqref="A14"/>
    </sheetView>
  </sheetViews>
  <sheetFormatPr defaultColWidth="9.140625" defaultRowHeight="12.75"/>
  <cols>
    <col min="1" max="1" width="40.7109375" style="0" customWidth="1"/>
    <col min="2" max="2" width="11.140625" style="0" customWidth="1"/>
    <col min="3" max="3" width="18.00390625" style="0" customWidth="1"/>
    <col min="4" max="4" width="10.00390625" style="0" customWidth="1"/>
    <col min="5" max="5" width="9.28125" style="0" hidden="1" customWidth="1"/>
    <col min="6" max="6" width="11.421875" style="0" hidden="1" customWidth="1"/>
    <col min="7" max="7" width="26.8515625" style="1" customWidth="1"/>
  </cols>
  <sheetData>
    <row r="1" spans="1:4" ht="27.75">
      <c r="A1" s="1" t="s">
        <v>931</v>
      </c>
      <c r="B1" s="14" t="s">
        <v>955</v>
      </c>
      <c r="C1" s="14"/>
      <c r="D1" s="111" t="s">
        <v>949</v>
      </c>
    </row>
    <row r="2" spans="1:3" ht="12.75">
      <c r="A2" t="s">
        <v>952</v>
      </c>
      <c r="B2" s="14"/>
      <c r="C2" s="14" t="s">
        <v>953</v>
      </c>
    </row>
    <row r="3" spans="1:12" ht="102">
      <c r="A3" s="1" t="s">
        <v>2</v>
      </c>
      <c r="B3" s="13" t="s">
        <v>547</v>
      </c>
      <c r="C3" s="13" t="s">
        <v>558</v>
      </c>
      <c r="D3" s="1" t="s">
        <v>921</v>
      </c>
      <c r="E3" s="1" t="s">
        <v>728</v>
      </c>
      <c r="F3" s="1" t="s">
        <v>727</v>
      </c>
      <c r="H3" s="1"/>
      <c r="I3" s="1"/>
      <c r="J3" s="1"/>
      <c r="K3" s="1"/>
      <c r="L3" s="1"/>
    </row>
    <row r="4" spans="1:6" ht="12.75">
      <c r="A4" s="1" t="s">
        <v>937</v>
      </c>
      <c r="B4" s="14" t="s">
        <v>316</v>
      </c>
      <c r="C4" t="s">
        <v>343</v>
      </c>
      <c r="D4">
        <v>524</v>
      </c>
      <c r="E4">
        <v>9.89</v>
      </c>
      <c r="F4" s="116">
        <f>E4*D4</f>
        <v>5182.360000000001</v>
      </c>
    </row>
    <row r="5" spans="1:6" ht="12.75">
      <c r="A5" s="1" t="s">
        <v>938</v>
      </c>
      <c r="B5" s="14" t="s">
        <v>316</v>
      </c>
      <c r="C5" t="s">
        <v>343</v>
      </c>
      <c r="D5">
        <v>1367</v>
      </c>
      <c r="E5">
        <v>14.56</v>
      </c>
      <c r="F5" s="116">
        <f>E5*D5</f>
        <v>19903.52</v>
      </c>
    </row>
    <row r="6" spans="1:6" ht="12.75">
      <c r="A6" s="1" t="s">
        <v>939</v>
      </c>
      <c r="B6" s="14" t="s">
        <v>316</v>
      </c>
      <c r="C6" t="s">
        <v>343</v>
      </c>
      <c r="D6">
        <v>508</v>
      </c>
      <c r="E6">
        <v>24.26</v>
      </c>
      <c r="F6" s="116">
        <f>E6*D6</f>
        <v>12324.08</v>
      </c>
    </row>
    <row r="7" spans="1:6" ht="12.75">
      <c r="A7" t="s">
        <v>944</v>
      </c>
      <c r="B7" s="14" t="s">
        <v>317</v>
      </c>
      <c r="C7" t="s">
        <v>343</v>
      </c>
      <c r="D7">
        <v>220</v>
      </c>
      <c r="E7">
        <v>20.83</v>
      </c>
      <c r="F7" s="116">
        <f>E7*D7</f>
        <v>4582.599999999999</v>
      </c>
    </row>
    <row r="8" spans="1:6" ht="12.75" hidden="1">
      <c r="A8" s="1" t="s">
        <v>730</v>
      </c>
      <c r="B8" s="14"/>
      <c r="C8" s="14"/>
      <c r="E8">
        <f>0.15*SUM(F4:F7)</f>
        <v>6298.883999999999</v>
      </c>
      <c r="F8" s="116">
        <f>E8*1</f>
        <v>6298.883999999999</v>
      </c>
    </row>
    <row r="9" spans="1:6" ht="12.75" hidden="1">
      <c r="A9" s="1" t="s">
        <v>731</v>
      </c>
      <c r="B9" s="14"/>
      <c r="C9" s="14"/>
      <c r="E9">
        <f>0.02*SUM(F4:F7)</f>
        <v>839.8512</v>
      </c>
      <c r="F9" s="116">
        <f>E9*1</f>
        <v>839.8512</v>
      </c>
    </row>
    <row r="10" spans="1:6" ht="25.5" hidden="1">
      <c r="A10" s="1" t="s">
        <v>915</v>
      </c>
      <c r="B10" s="14"/>
      <c r="C10" s="14"/>
      <c r="F10" s="116">
        <f>SUM(F4:F9)</f>
        <v>49131.29519999999</v>
      </c>
    </row>
    <row r="11" ht="12.75">
      <c r="A11" s="1"/>
    </row>
    <row r="12" spans="1:4" ht="12.75">
      <c r="A12" s="1" t="s">
        <v>607</v>
      </c>
      <c r="D12">
        <v>1</v>
      </c>
    </row>
    <row r="13" ht="12.75">
      <c r="A13" s="1"/>
    </row>
    <row r="14" ht="25.5">
      <c r="A14" s="1" t="s">
        <v>954</v>
      </c>
    </row>
    <row r="15" ht="12.75">
      <c r="A15" s="1"/>
    </row>
    <row r="16" ht="12.75">
      <c r="A16" s="14"/>
    </row>
    <row r="17" ht="12.75">
      <c r="A17" s="14"/>
    </row>
    <row r="18" ht="12.75">
      <c r="A18" s="14"/>
    </row>
    <row r="19" ht="12.75">
      <c r="A19" s="14"/>
    </row>
    <row r="20" ht="12.75">
      <c r="A20" s="14"/>
    </row>
    <row r="21" ht="12.75">
      <c r="A21" s="14"/>
    </row>
    <row r="22" ht="12.75">
      <c r="A22" s="1"/>
    </row>
    <row r="23" ht="12.75">
      <c r="A23" s="1"/>
    </row>
    <row r="24" ht="12.75">
      <c r="A24" s="1"/>
    </row>
    <row r="25" ht="12.75">
      <c r="A25" s="1"/>
    </row>
    <row r="26" ht="12.75">
      <c r="A26" s="1"/>
    </row>
    <row r="27" ht="12.75">
      <c r="A27" s="1"/>
    </row>
    <row r="28" ht="12.75">
      <c r="A28" s="1"/>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5" ht="12.75">
      <c r="A45" s="14"/>
    </row>
    <row r="46" ht="12.75">
      <c r="A46" s="14"/>
    </row>
    <row r="47" ht="12.75">
      <c r="A47" s="14"/>
    </row>
    <row r="48" ht="12.75">
      <c r="A48" s="14"/>
    </row>
  </sheetData>
  <printOptions gridLines="1"/>
  <pageMargins left="0.375" right="0.375" top="0.5" bottom="0.5" header="0.25" footer="0.25"/>
  <pageSetup fitToHeight="2" fitToWidth="1" horizontalDpi="600" verticalDpi="600" orientation="landscape" r:id="rId1"/>
  <headerFooter alignWithMargins="0">
    <oddHeader>&amp;C&amp;A&amp;R&amp;F</oddHeader>
    <oddFooter>&amp;LK. Kriesel&amp;CPage &amp;P of &amp;N&amp;R&amp;D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J101"/>
  <sheetViews>
    <sheetView workbookViewId="0" topLeftCell="A1">
      <pane xSplit="7050" ySplit="3045" topLeftCell="AA34" activePane="bottomLeft" state="split"/>
      <selection pane="topLeft" activeCell="A2" sqref="A2"/>
      <selection pane="topRight" activeCell="AE1" sqref="AE1:AE16384"/>
      <selection pane="bottomLeft" activeCell="D43" sqref="D43"/>
      <selection pane="bottomRight" activeCell="AB61" sqref="AB61"/>
    </sheetView>
  </sheetViews>
  <sheetFormatPr defaultColWidth="9.140625" defaultRowHeight="12.75"/>
  <cols>
    <col min="1" max="1" width="8.140625" style="0" customWidth="1"/>
    <col min="2" max="2" width="39.7109375" style="0" customWidth="1"/>
    <col min="3" max="3" width="10.7109375" style="14" customWidth="1"/>
    <col min="4" max="4" width="15.00390625" style="14" customWidth="1"/>
    <col min="5" max="5" width="7.7109375" style="0" customWidth="1"/>
    <col min="6" max="6" width="10.00390625" style="0" customWidth="1"/>
    <col min="7" max="7" width="7.7109375" style="24" customWidth="1"/>
    <col min="8" max="8" width="8.7109375" style="24" customWidth="1"/>
    <col min="9" max="9" width="7.8515625" style="24" customWidth="1"/>
    <col min="10" max="10" width="9.140625" style="24" customWidth="1"/>
    <col min="11" max="11" width="10.7109375" style="24" customWidth="1"/>
    <col min="12" max="12" width="10.7109375" style="0" customWidth="1"/>
    <col min="13" max="13" width="7.7109375" style="24" customWidth="1"/>
    <col min="14" max="14" width="15.00390625" style="24" customWidth="1"/>
    <col min="15" max="15" width="11.140625" style="0" customWidth="1"/>
    <col min="16" max="16" width="8.140625" style="0" customWidth="1"/>
    <col min="18" max="18" width="7.8515625" style="0" customWidth="1"/>
    <col min="19" max="19" width="7.140625" style="0" customWidth="1"/>
    <col min="20" max="20" width="10.8515625" style="0" customWidth="1"/>
    <col min="21" max="21" width="7.8515625" style="0" customWidth="1"/>
    <col min="22" max="22" width="7.7109375" style="0" customWidth="1"/>
    <col min="23" max="23" width="6.421875" style="0" customWidth="1"/>
    <col min="24" max="28" width="7.7109375" style="0" customWidth="1"/>
    <col min="29" max="29" width="8.8515625" style="0" customWidth="1"/>
    <col min="30" max="30" width="7.140625" style="0" customWidth="1"/>
    <col min="31" max="31" width="7.140625" style="113" customWidth="1"/>
    <col min="32" max="33" width="7.140625" style="0" customWidth="1"/>
    <col min="36" max="36" width="27.421875" style="0" customWidth="1"/>
  </cols>
  <sheetData>
    <row r="1" spans="1:17" ht="12" customHeight="1" thickBot="1">
      <c r="A1" t="s">
        <v>263</v>
      </c>
      <c r="B1" s="31">
        <f ca="1">NOW()</f>
        <v>36721.7069494213</v>
      </c>
      <c r="C1" s="80"/>
      <c r="D1" s="100"/>
      <c r="E1" t="s">
        <v>262</v>
      </c>
      <c r="F1" t="s">
        <v>292</v>
      </c>
      <c r="G1" s="24" t="s">
        <v>265</v>
      </c>
      <c r="H1" s="24" t="s">
        <v>266</v>
      </c>
      <c r="I1" s="24" t="s">
        <v>268</v>
      </c>
      <c r="J1" s="24" t="s">
        <v>269</v>
      </c>
      <c r="K1" s="24" t="s">
        <v>270</v>
      </c>
      <c r="L1" t="s">
        <v>271</v>
      </c>
      <c r="Q1" t="s">
        <v>290</v>
      </c>
    </row>
    <row r="2" spans="1:36" s="83" customFormat="1" ht="141" thickBot="1">
      <c r="A2" s="83" t="s">
        <v>919</v>
      </c>
      <c r="B2" s="83" t="s">
        <v>2</v>
      </c>
      <c r="C2" s="84" t="s">
        <v>892</v>
      </c>
      <c r="D2" s="101" t="s">
        <v>893</v>
      </c>
      <c r="E2" s="83" t="s">
        <v>4</v>
      </c>
      <c r="F2" s="83" t="s">
        <v>4</v>
      </c>
      <c r="G2" s="85" t="s">
        <v>4</v>
      </c>
      <c r="H2" s="85" t="s">
        <v>4</v>
      </c>
      <c r="I2" s="85" t="s">
        <v>4</v>
      </c>
      <c r="J2" s="85" t="s">
        <v>4</v>
      </c>
      <c r="K2" s="85" t="s">
        <v>4</v>
      </c>
      <c r="L2" s="85" t="s">
        <v>4</v>
      </c>
      <c r="M2" s="85" t="s">
        <v>858</v>
      </c>
      <c r="N2" s="85" t="s">
        <v>287</v>
      </c>
      <c r="O2" s="83" t="s">
        <v>288</v>
      </c>
      <c r="P2" s="83" t="s">
        <v>898</v>
      </c>
      <c r="Q2" s="83" t="s">
        <v>289</v>
      </c>
      <c r="R2" s="83" t="s">
        <v>295</v>
      </c>
      <c r="S2" s="83" t="s">
        <v>291</v>
      </c>
      <c r="T2" s="83" t="s">
        <v>341</v>
      </c>
      <c r="U2" s="83" t="s">
        <v>340</v>
      </c>
      <c r="V2" s="83" t="s">
        <v>854</v>
      </c>
      <c r="W2" s="83" t="s">
        <v>853</v>
      </c>
      <c r="X2" s="83" t="s">
        <v>744</v>
      </c>
      <c r="Y2" s="83" t="s">
        <v>745</v>
      </c>
      <c r="Z2" s="83" t="s">
        <v>741</v>
      </c>
      <c r="AA2" s="83" t="s">
        <v>757</v>
      </c>
      <c r="AB2" s="83" t="s">
        <v>857</v>
      </c>
      <c r="AC2" s="83" t="s">
        <v>758</v>
      </c>
      <c r="AD2" s="83" t="s">
        <v>899</v>
      </c>
      <c r="AE2" s="112" t="s">
        <v>916</v>
      </c>
      <c r="AF2" s="83" t="s">
        <v>859</v>
      </c>
      <c r="AG2" s="83" t="s">
        <v>852</v>
      </c>
      <c r="AH2" s="83" t="s">
        <v>860</v>
      </c>
      <c r="AI2" s="83" t="s">
        <v>861</v>
      </c>
      <c r="AJ2" s="83" t="s">
        <v>887</v>
      </c>
    </row>
    <row r="3" spans="1:35" ht="12.75">
      <c r="A3" s="22">
        <v>3001</v>
      </c>
      <c r="B3" t="s">
        <v>210</v>
      </c>
      <c r="C3" s="80" t="s">
        <v>8</v>
      </c>
      <c r="D3" s="14" t="s">
        <v>557</v>
      </c>
      <c r="E3">
        <v>64</v>
      </c>
      <c r="F3">
        <v>64</v>
      </c>
      <c r="G3" s="24">
        <v>72</v>
      </c>
      <c r="H3" s="24">
        <v>94</v>
      </c>
      <c r="I3" s="24">
        <v>66</v>
      </c>
      <c r="J3" s="25">
        <v>64</v>
      </c>
      <c r="K3" s="25" t="s">
        <v>281</v>
      </c>
      <c r="L3" s="1" t="s">
        <v>281</v>
      </c>
      <c r="N3" s="25"/>
      <c r="Q3" s="34"/>
      <c r="T3">
        <v>130</v>
      </c>
      <c r="U3">
        <f aca="true" t="shared" si="0" ref="U3:U22">H3*25</f>
        <v>2350</v>
      </c>
      <c r="V3">
        <v>2360</v>
      </c>
      <c r="X3">
        <f aca="true" t="shared" si="1" ref="X3:X22">A3-T3-V3</f>
        <v>511</v>
      </c>
      <c r="Y3">
        <v>150</v>
      </c>
      <c r="Z3">
        <f aca="true" t="shared" si="2" ref="Z3:Z35">X3-Y3</f>
        <v>361</v>
      </c>
      <c r="AA3">
        <v>0</v>
      </c>
      <c r="AB3">
        <f>W3-AA3</f>
        <v>0</v>
      </c>
      <c r="AC3">
        <f>Z3-AA3</f>
        <v>361</v>
      </c>
      <c r="AD3">
        <v>138</v>
      </c>
      <c r="AE3" s="113">
        <f>AC3-AD3</f>
        <v>223</v>
      </c>
      <c r="AF3">
        <f aca="true" t="shared" si="3" ref="AF3:AF34">E3</f>
        <v>64</v>
      </c>
      <c r="AG3">
        <f>AE3-AF3</f>
        <v>159</v>
      </c>
      <c r="AH3" s="4">
        <f aca="true" t="shared" si="4" ref="AH3:AH22">AG3/MAX(E3:L3)</f>
        <v>1.6914893617021276</v>
      </c>
      <c r="AI3" s="4">
        <f aca="true" t="shared" si="5" ref="AI3:AI22">AH3+M3/MAX(E3:L3)</f>
        <v>1.6914893617021276</v>
      </c>
    </row>
    <row r="4" spans="1:35" ht="12.75">
      <c r="A4" s="22">
        <v>1076</v>
      </c>
      <c r="B4" t="s">
        <v>246</v>
      </c>
      <c r="C4" s="80" t="s">
        <v>8</v>
      </c>
      <c r="D4" s="14" t="s">
        <v>548</v>
      </c>
      <c r="E4">
        <v>24</v>
      </c>
      <c r="F4">
        <v>24</v>
      </c>
      <c r="G4" s="24">
        <v>18</v>
      </c>
      <c r="H4" s="24">
        <v>18</v>
      </c>
      <c r="I4" s="24">
        <v>18</v>
      </c>
      <c r="J4" s="24">
        <v>24</v>
      </c>
      <c r="K4" s="24">
        <v>18</v>
      </c>
      <c r="L4" s="2"/>
      <c r="T4">
        <v>50</v>
      </c>
      <c r="U4">
        <f t="shared" si="0"/>
        <v>450</v>
      </c>
      <c r="V4">
        <v>455</v>
      </c>
      <c r="X4">
        <f t="shared" si="1"/>
        <v>571</v>
      </c>
      <c r="Y4">
        <v>38</v>
      </c>
      <c r="Z4">
        <f t="shared" si="2"/>
        <v>533</v>
      </c>
      <c r="AA4">
        <v>0</v>
      </c>
      <c r="AB4">
        <f aca="true" t="shared" si="6" ref="AB4:AB67">W4-AA4</f>
        <v>0</v>
      </c>
      <c r="AC4">
        <f aca="true" t="shared" si="7" ref="AC4:AC70">Z4-AA4</f>
        <v>533</v>
      </c>
      <c r="AD4">
        <v>38</v>
      </c>
      <c r="AE4" s="113">
        <f aca="true" t="shared" si="8" ref="AE4:AE70">AC4-AD4</f>
        <v>495</v>
      </c>
      <c r="AF4">
        <f t="shared" si="3"/>
        <v>24</v>
      </c>
      <c r="AG4">
        <f aca="true" t="shared" si="9" ref="AG4:AG68">AE4-AF4</f>
        <v>471</v>
      </c>
      <c r="AH4" s="4">
        <f t="shared" si="4"/>
        <v>19.625</v>
      </c>
      <c r="AI4" s="4">
        <f t="shared" si="5"/>
        <v>19.625</v>
      </c>
    </row>
    <row r="5" spans="1:35" ht="12.75">
      <c r="A5" s="22">
        <v>293</v>
      </c>
      <c r="B5" t="s">
        <v>247</v>
      </c>
      <c r="C5" s="80" t="s">
        <v>8</v>
      </c>
      <c r="D5" s="14" t="s">
        <v>555</v>
      </c>
      <c r="E5">
        <v>8</v>
      </c>
      <c r="F5">
        <v>8</v>
      </c>
      <c r="G5" s="24">
        <v>6</v>
      </c>
      <c r="H5" s="24">
        <v>6</v>
      </c>
      <c r="I5" s="24">
        <v>6</v>
      </c>
      <c r="J5" s="24">
        <v>8</v>
      </c>
      <c r="K5" s="24">
        <v>6</v>
      </c>
      <c r="L5" s="2"/>
      <c r="T5">
        <v>17</v>
      </c>
      <c r="U5">
        <f t="shared" si="0"/>
        <v>150</v>
      </c>
      <c r="V5">
        <v>152</v>
      </c>
      <c r="X5">
        <f t="shared" si="1"/>
        <v>124</v>
      </c>
      <c r="Y5">
        <v>13</v>
      </c>
      <c r="Z5">
        <f t="shared" si="2"/>
        <v>111</v>
      </c>
      <c r="AA5">
        <v>0</v>
      </c>
      <c r="AB5">
        <f t="shared" si="6"/>
        <v>0</v>
      </c>
      <c r="AC5">
        <f t="shared" si="7"/>
        <v>111</v>
      </c>
      <c r="AD5">
        <v>13</v>
      </c>
      <c r="AE5" s="113">
        <f t="shared" si="8"/>
        <v>98</v>
      </c>
      <c r="AF5">
        <f t="shared" si="3"/>
        <v>8</v>
      </c>
      <c r="AG5">
        <f t="shared" si="9"/>
        <v>90</v>
      </c>
      <c r="AH5" s="4">
        <f t="shared" si="4"/>
        <v>11.25</v>
      </c>
      <c r="AI5" s="4">
        <f t="shared" si="5"/>
        <v>11.25</v>
      </c>
    </row>
    <row r="6" spans="1:35" ht="12.75">
      <c r="A6">
        <v>4115</v>
      </c>
      <c r="B6" t="s">
        <v>209</v>
      </c>
      <c r="C6" s="80" t="s">
        <v>8</v>
      </c>
      <c r="D6" s="14" t="s">
        <v>576</v>
      </c>
      <c r="E6">
        <v>46</v>
      </c>
      <c r="F6">
        <v>46</v>
      </c>
      <c r="G6" s="24">
        <v>56</v>
      </c>
      <c r="H6" s="24">
        <v>96</v>
      </c>
      <c r="I6" s="24">
        <v>52</v>
      </c>
      <c r="J6" s="24">
        <v>46</v>
      </c>
      <c r="K6" s="1" t="s">
        <v>281</v>
      </c>
      <c r="L6" s="2"/>
      <c r="T6">
        <v>94</v>
      </c>
      <c r="U6">
        <f t="shared" si="0"/>
        <v>2400</v>
      </c>
      <c r="V6">
        <v>2420</v>
      </c>
      <c r="X6">
        <f t="shared" si="1"/>
        <v>1601</v>
      </c>
      <c r="Y6">
        <v>117</v>
      </c>
      <c r="Z6">
        <f t="shared" si="2"/>
        <v>1484</v>
      </c>
      <c r="AA6">
        <v>0</v>
      </c>
      <c r="AB6">
        <f t="shared" si="6"/>
        <v>0</v>
      </c>
      <c r="AC6">
        <f t="shared" si="7"/>
        <v>1484</v>
      </c>
      <c r="AD6">
        <v>109</v>
      </c>
      <c r="AE6" s="113">
        <f t="shared" si="8"/>
        <v>1375</v>
      </c>
      <c r="AF6">
        <f t="shared" si="3"/>
        <v>46</v>
      </c>
      <c r="AG6">
        <f t="shared" si="9"/>
        <v>1329</v>
      </c>
      <c r="AH6" s="4">
        <f t="shared" si="4"/>
        <v>13.84375</v>
      </c>
      <c r="AI6" s="4">
        <f t="shared" si="5"/>
        <v>13.84375</v>
      </c>
    </row>
    <row r="7" spans="1:35" ht="12.75">
      <c r="A7">
        <v>3045</v>
      </c>
      <c r="B7" t="s">
        <v>228</v>
      </c>
      <c r="C7" s="80" t="s">
        <v>8</v>
      </c>
      <c r="D7" s="14" t="s">
        <v>577</v>
      </c>
      <c r="E7">
        <v>46</v>
      </c>
      <c r="F7">
        <v>46</v>
      </c>
      <c r="G7" s="24">
        <v>56</v>
      </c>
      <c r="H7" s="24">
        <v>96</v>
      </c>
      <c r="I7" s="24">
        <v>52</v>
      </c>
      <c r="J7" s="24">
        <v>46</v>
      </c>
      <c r="K7" s="1" t="s">
        <v>281</v>
      </c>
      <c r="L7" s="2"/>
      <c r="T7">
        <v>94</v>
      </c>
      <c r="U7">
        <f t="shared" si="0"/>
        <v>2400</v>
      </c>
      <c r="V7">
        <v>2420</v>
      </c>
      <c r="X7">
        <f t="shared" si="1"/>
        <v>531</v>
      </c>
      <c r="Y7">
        <v>117</v>
      </c>
      <c r="Z7">
        <f t="shared" si="2"/>
        <v>414</v>
      </c>
      <c r="AA7">
        <v>0</v>
      </c>
      <c r="AB7">
        <f t="shared" si="6"/>
        <v>0</v>
      </c>
      <c r="AC7">
        <f t="shared" si="7"/>
        <v>414</v>
      </c>
      <c r="AD7">
        <v>109</v>
      </c>
      <c r="AE7" s="113">
        <f t="shared" si="8"/>
        <v>305</v>
      </c>
      <c r="AF7">
        <f t="shared" si="3"/>
        <v>46</v>
      </c>
      <c r="AG7">
        <f t="shared" si="9"/>
        <v>259</v>
      </c>
      <c r="AH7" s="4">
        <f t="shared" si="4"/>
        <v>2.6979166666666665</v>
      </c>
      <c r="AI7" s="4">
        <f t="shared" si="5"/>
        <v>2.6979166666666665</v>
      </c>
    </row>
    <row r="8" spans="1:35" ht="12.75">
      <c r="A8">
        <v>1176</v>
      </c>
      <c r="B8" t="s">
        <v>208</v>
      </c>
      <c r="C8" s="80" t="s">
        <v>8</v>
      </c>
      <c r="D8" s="14" t="s">
        <v>581</v>
      </c>
      <c r="E8">
        <v>26</v>
      </c>
      <c r="F8">
        <v>28</v>
      </c>
      <c r="G8" s="24">
        <v>26</v>
      </c>
      <c r="H8" s="24">
        <v>28</v>
      </c>
      <c r="I8" s="24">
        <v>26</v>
      </c>
      <c r="J8" s="24">
        <v>26</v>
      </c>
      <c r="K8" s="24">
        <v>26</v>
      </c>
      <c r="P8">
        <v>0.013718</v>
      </c>
      <c r="T8">
        <v>60</v>
      </c>
      <c r="U8">
        <f t="shared" si="0"/>
        <v>700</v>
      </c>
      <c r="V8">
        <v>710</v>
      </c>
      <c r="X8">
        <f t="shared" si="1"/>
        <v>406</v>
      </c>
      <c r="Y8">
        <v>55</v>
      </c>
      <c r="Z8">
        <f t="shared" si="2"/>
        <v>351</v>
      </c>
      <c r="AA8">
        <v>0</v>
      </c>
      <c r="AB8">
        <f t="shared" si="6"/>
        <v>0</v>
      </c>
      <c r="AC8">
        <f t="shared" si="7"/>
        <v>351</v>
      </c>
      <c r="AD8">
        <v>55</v>
      </c>
      <c r="AE8" s="113">
        <f t="shared" si="8"/>
        <v>296</v>
      </c>
      <c r="AF8">
        <f t="shared" si="3"/>
        <v>26</v>
      </c>
      <c r="AG8">
        <f t="shared" si="9"/>
        <v>270</v>
      </c>
      <c r="AH8" s="4">
        <f t="shared" si="4"/>
        <v>9.642857142857142</v>
      </c>
      <c r="AI8" s="4">
        <f t="shared" si="5"/>
        <v>9.642857142857142</v>
      </c>
    </row>
    <row r="9" spans="1:35" ht="12.75">
      <c r="A9">
        <v>1257</v>
      </c>
      <c r="B9" t="s">
        <v>260</v>
      </c>
      <c r="C9" s="80" t="s">
        <v>8</v>
      </c>
      <c r="D9" s="13" t="s">
        <v>601</v>
      </c>
      <c r="E9">
        <v>24</v>
      </c>
      <c r="F9">
        <v>24</v>
      </c>
      <c r="G9" s="24">
        <v>24</v>
      </c>
      <c r="H9" s="24">
        <v>24</v>
      </c>
      <c r="I9" s="24">
        <v>24</v>
      </c>
      <c r="J9" s="24">
        <v>24</v>
      </c>
      <c r="K9" s="24">
        <v>24</v>
      </c>
      <c r="L9" s="2"/>
      <c r="P9">
        <v>0.000534</v>
      </c>
      <c r="T9">
        <v>50</v>
      </c>
      <c r="U9">
        <f t="shared" si="0"/>
        <v>600</v>
      </c>
      <c r="V9">
        <v>610</v>
      </c>
      <c r="X9">
        <f t="shared" si="1"/>
        <v>597</v>
      </c>
      <c r="Y9">
        <v>51</v>
      </c>
      <c r="Z9">
        <f t="shared" si="2"/>
        <v>546</v>
      </c>
      <c r="AA9">
        <v>0</v>
      </c>
      <c r="AB9">
        <f t="shared" si="6"/>
        <v>0</v>
      </c>
      <c r="AC9">
        <f t="shared" si="7"/>
        <v>546</v>
      </c>
      <c r="AD9">
        <v>51</v>
      </c>
      <c r="AE9" s="113">
        <f t="shared" si="8"/>
        <v>495</v>
      </c>
      <c r="AF9">
        <f t="shared" si="3"/>
        <v>24</v>
      </c>
      <c r="AG9">
        <f t="shared" si="9"/>
        <v>471</v>
      </c>
      <c r="AH9" s="4">
        <f t="shared" si="4"/>
        <v>19.625</v>
      </c>
      <c r="AI9" s="4">
        <f t="shared" si="5"/>
        <v>19.625</v>
      </c>
    </row>
    <row r="10" spans="1:35" ht="12.75">
      <c r="A10" s="22">
        <v>294</v>
      </c>
      <c r="B10" t="s">
        <v>249</v>
      </c>
      <c r="C10" s="80" t="s">
        <v>8</v>
      </c>
      <c r="D10" s="14" t="s">
        <v>582</v>
      </c>
      <c r="E10">
        <v>8</v>
      </c>
      <c r="F10">
        <v>8</v>
      </c>
      <c r="G10" s="24">
        <v>6</v>
      </c>
      <c r="H10" s="24">
        <v>6</v>
      </c>
      <c r="I10" s="24">
        <v>6</v>
      </c>
      <c r="J10" s="24">
        <v>8</v>
      </c>
      <c r="K10" s="24">
        <v>6</v>
      </c>
      <c r="L10" s="2"/>
      <c r="T10">
        <v>18</v>
      </c>
      <c r="U10">
        <f t="shared" si="0"/>
        <v>150</v>
      </c>
      <c r="V10">
        <v>154</v>
      </c>
      <c r="X10">
        <f t="shared" si="1"/>
        <v>122</v>
      </c>
      <c r="Y10">
        <v>13</v>
      </c>
      <c r="Z10">
        <f t="shared" si="2"/>
        <v>109</v>
      </c>
      <c r="AA10">
        <v>0</v>
      </c>
      <c r="AB10">
        <f t="shared" si="6"/>
        <v>0</v>
      </c>
      <c r="AC10">
        <f t="shared" si="7"/>
        <v>109</v>
      </c>
      <c r="AD10">
        <v>13</v>
      </c>
      <c r="AE10" s="113">
        <f t="shared" si="8"/>
        <v>96</v>
      </c>
      <c r="AF10">
        <f t="shared" si="3"/>
        <v>8</v>
      </c>
      <c r="AG10">
        <f t="shared" si="9"/>
        <v>88</v>
      </c>
      <c r="AH10" s="4">
        <f t="shared" si="4"/>
        <v>11</v>
      </c>
      <c r="AI10" s="4">
        <f t="shared" si="5"/>
        <v>11</v>
      </c>
    </row>
    <row r="11" spans="1:35" ht="12.75">
      <c r="A11" s="22">
        <v>102</v>
      </c>
      <c r="B11" t="s">
        <v>219</v>
      </c>
      <c r="C11" s="80" t="s">
        <v>8</v>
      </c>
      <c r="D11" s="14" t="s">
        <v>564</v>
      </c>
      <c r="E11">
        <v>2</v>
      </c>
      <c r="F11">
        <v>2</v>
      </c>
      <c r="G11" s="24">
        <v>2</v>
      </c>
      <c r="H11" s="24">
        <v>2</v>
      </c>
      <c r="I11" s="24">
        <v>2</v>
      </c>
      <c r="J11" s="24">
        <v>2</v>
      </c>
      <c r="K11" s="24">
        <v>2</v>
      </c>
      <c r="T11">
        <v>5</v>
      </c>
      <c r="U11">
        <f t="shared" si="0"/>
        <v>50</v>
      </c>
      <c r="V11">
        <v>52</v>
      </c>
      <c r="X11">
        <f t="shared" si="1"/>
        <v>45</v>
      </c>
      <c r="Y11">
        <v>5</v>
      </c>
      <c r="Z11">
        <f t="shared" si="2"/>
        <v>40</v>
      </c>
      <c r="AA11">
        <v>0</v>
      </c>
      <c r="AB11">
        <f t="shared" si="6"/>
        <v>0</v>
      </c>
      <c r="AC11">
        <f t="shared" si="7"/>
        <v>40</v>
      </c>
      <c r="AD11">
        <v>5</v>
      </c>
      <c r="AE11" s="113">
        <f t="shared" si="8"/>
        <v>35</v>
      </c>
      <c r="AF11">
        <f t="shared" si="3"/>
        <v>2</v>
      </c>
      <c r="AG11">
        <f t="shared" si="9"/>
        <v>33</v>
      </c>
      <c r="AH11" s="4">
        <f t="shared" si="4"/>
        <v>16.5</v>
      </c>
      <c r="AI11" s="4">
        <f t="shared" si="5"/>
        <v>16.5</v>
      </c>
    </row>
    <row r="12" spans="1:35" ht="12.75">
      <c r="A12">
        <v>189</v>
      </c>
      <c r="B12" t="s">
        <v>338</v>
      </c>
      <c r="C12" s="80" t="s">
        <v>8</v>
      </c>
      <c r="D12" s="14" t="s">
        <v>550</v>
      </c>
      <c r="E12">
        <v>2</v>
      </c>
      <c r="F12">
        <v>2</v>
      </c>
      <c r="G12" s="24">
        <v>2</v>
      </c>
      <c r="H12" s="24">
        <v>2</v>
      </c>
      <c r="I12" s="24">
        <v>2</v>
      </c>
      <c r="J12" s="24">
        <v>2</v>
      </c>
      <c r="K12" s="24">
        <v>2</v>
      </c>
      <c r="L12" s="2"/>
      <c r="N12" s="27"/>
      <c r="T12">
        <v>5</v>
      </c>
      <c r="U12">
        <f t="shared" si="0"/>
        <v>50</v>
      </c>
      <c r="V12" s="34">
        <v>52</v>
      </c>
      <c r="X12">
        <f t="shared" si="1"/>
        <v>132</v>
      </c>
      <c r="Y12">
        <v>5</v>
      </c>
      <c r="Z12">
        <f t="shared" si="2"/>
        <v>127</v>
      </c>
      <c r="AA12">
        <v>0</v>
      </c>
      <c r="AB12">
        <f t="shared" si="6"/>
        <v>0</v>
      </c>
      <c r="AC12">
        <f t="shared" si="7"/>
        <v>127</v>
      </c>
      <c r="AD12">
        <v>5</v>
      </c>
      <c r="AE12" s="113">
        <f t="shared" si="8"/>
        <v>122</v>
      </c>
      <c r="AF12">
        <f t="shared" si="3"/>
        <v>2</v>
      </c>
      <c r="AG12">
        <f t="shared" si="9"/>
        <v>120</v>
      </c>
      <c r="AH12" s="4">
        <f t="shared" si="4"/>
        <v>60</v>
      </c>
      <c r="AI12" s="4">
        <f t="shared" si="5"/>
        <v>60</v>
      </c>
    </row>
    <row r="13" spans="1:35" ht="25.5">
      <c r="A13">
        <f>186+693</f>
        <v>879</v>
      </c>
      <c r="B13" s="1" t="s">
        <v>339</v>
      </c>
      <c r="C13" s="80" t="s">
        <v>8</v>
      </c>
      <c r="D13" s="14" t="s">
        <v>592</v>
      </c>
      <c r="E13">
        <v>8</v>
      </c>
      <c r="F13">
        <v>8</v>
      </c>
      <c r="G13" s="24">
        <v>6</v>
      </c>
      <c r="H13" s="24">
        <v>6</v>
      </c>
      <c r="I13" s="24">
        <v>6</v>
      </c>
      <c r="J13" s="24">
        <v>8</v>
      </c>
      <c r="K13" s="24">
        <v>6</v>
      </c>
      <c r="L13" s="2"/>
      <c r="N13" s="27"/>
      <c r="T13">
        <v>18</v>
      </c>
      <c r="U13">
        <f t="shared" si="0"/>
        <v>150</v>
      </c>
      <c r="V13" s="34">
        <v>154</v>
      </c>
      <c r="X13">
        <f t="shared" si="1"/>
        <v>707</v>
      </c>
      <c r="Y13">
        <v>13</v>
      </c>
      <c r="Z13">
        <f t="shared" si="2"/>
        <v>694</v>
      </c>
      <c r="AA13">
        <v>0</v>
      </c>
      <c r="AB13">
        <f t="shared" si="6"/>
        <v>0</v>
      </c>
      <c r="AC13">
        <f t="shared" si="7"/>
        <v>694</v>
      </c>
      <c r="AD13">
        <v>13</v>
      </c>
      <c r="AE13" s="113">
        <f t="shared" si="8"/>
        <v>681</v>
      </c>
      <c r="AF13">
        <f t="shared" si="3"/>
        <v>8</v>
      </c>
      <c r="AG13">
        <f t="shared" si="9"/>
        <v>673</v>
      </c>
      <c r="AH13" s="4">
        <f t="shared" si="4"/>
        <v>84.125</v>
      </c>
      <c r="AI13" s="4">
        <f t="shared" si="5"/>
        <v>84.125</v>
      </c>
    </row>
    <row r="14" spans="1:36" ht="12.75">
      <c r="A14" s="22">
        <f>63+1147</f>
        <v>1210</v>
      </c>
      <c r="B14" t="s">
        <v>778</v>
      </c>
      <c r="C14" s="80" t="s">
        <v>233</v>
      </c>
      <c r="D14" s="14" t="s">
        <v>584</v>
      </c>
      <c r="E14">
        <v>4</v>
      </c>
      <c r="F14">
        <v>4</v>
      </c>
      <c r="G14" s="24">
        <v>2</v>
      </c>
      <c r="H14" s="24">
        <v>2</v>
      </c>
      <c r="I14" s="24">
        <v>2</v>
      </c>
      <c r="J14" s="24">
        <v>4</v>
      </c>
      <c r="K14" s="24">
        <v>2</v>
      </c>
      <c r="L14" s="2"/>
      <c r="Q14" s="79"/>
      <c r="T14">
        <f aca="true" t="shared" si="10" ref="T14:T19">F14*2</f>
        <v>8</v>
      </c>
      <c r="U14">
        <f t="shared" si="0"/>
        <v>50</v>
      </c>
      <c r="V14">
        <v>50</v>
      </c>
      <c r="X14">
        <f t="shared" si="1"/>
        <v>1152</v>
      </c>
      <c r="Y14">
        <v>4</v>
      </c>
      <c r="Z14">
        <f t="shared" si="2"/>
        <v>1148</v>
      </c>
      <c r="AA14">
        <v>0</v>
      </c>
      <c r="AB14">
        <f t="shared" si="6"/>
        <v>0</v>
      </c>
      <c r="AC14">
        <f t="shared" si="7"/>
        <v>1148</v>
      </c>
      <c r="AD14">
        <f aca="true" t="shared" si="11" ref="AD14:AD19">I14*2</f>
        <v>4</v>
      </c>
      <c r="AE14" s="113">
        <f t="shared" si="8"/>
        <v>1144</v>
      </c>
      <c r="AF14">
        <f t="shared" si="3"/>
        <v>4</v>
      </c>
      <c r="AG14">
        <f t="shared" si="9"/>
        <v>1140</v>
      </c>
      <c r="AH14" s="4">
        <f t="shared" si="4"/>
        <v>285</v>
      </c>
      <c r="AI14" s="4">
        <f t="shared" si="5"/>
        <v>285</v>
      </c>
      <c r="AJ14" t="s">
        <v>917</v>
      </c>
    </row>
    <row r="15" spans="1:36" ht="12.75">
      <c r="A15" s="22">
        <f>64+1147</f>
        <v>1211</v>
      </c>
      <c r="B15" t="s">
        <v>779</v>
      </c>
      <c r="C15" s="80" t="s">
        <v>233</v>
      </c>
      <c r="D15" s="14" t="s">
        <v>585</v>
      </c>
      <c r="E15">
        <v>4</v>
      </c>
      <c r="F15">
        <v>4</v>
      </c>
      <c r="G15" s="24">
        <v>2</v>
      </c>
      <c r="H15" s="24">
        <v>2</v>
      </c>
      <c r="I15" s="24">
        <v>2</v>
      </c>
      <c r="J15" s="24">
        <v>4</v>
      </c>
      <c r="K15" s="24">
        <v>2</v>
      </c>
      <c r="Q15" s="79"/>
      <c r="T15">
        <f t="shared" si="10"/>
        <v>8</v>
      </c>
      <c r="U15">
        <f t="shared" si="0"/>
        <v>50</v>
      </c>
      <c r="V15">
        <v>50</v>
      </c>
      <c r="X15">
        <f t="shared" si="1"/>
        <v>1153</v>
      </c>
      <c r="Y15">
        <v>4</v>
      </c>
      <c r="Z15">
        <f t="shared" si="2"/>
        <v>1149</v>
      </c>
      <c r="AA15">
        <v>0</v>
      </c>
      <c r="AB15">
        <f t="shared" si="6"/>
        <v>0</v>
      </c>
      <c r="AC15">
        <f t="shared" si="7"/>
        <v>1149</v>
      </c>
      <c r="AD15">
        <f t="shared" si="11"/>
        <v>4</v>
      </c>
      <c r="AE15" s="113">
        <f t="shared" si="8"/>
        <v>1145</v>
      </c>
      <c r="AF15">
        <f t="shared" si="3"/>
        <v>4</v>
      </c>
      <c r="AG15">
        <f t="shared" si="9"/>
        <v>1141</v>
      </c>
      <c r="AH15" s="4">
        <f t="shared" si="4"/>
        <v>285.25</v>
      </c>
      <c r="AI15" s="4">
        <f t="shared" si="5"/>
        <v>285.25</v>
      </c>
      <c r="AJ15" t="s">
        <v>917</v>
      </c>
    </row>
    <row r="16" spans="1:36" ht="12.75">
      <c r="A16">
        <f>128+2294</f>
        <v>2422</v>
      </c>
      <c r="B16" t="s">
        <v>780</v>
      </c>
      <c r="C16" s="80" t="s">
        <v>233</v>
      </c>
      <c r="D16" s="14" t="s">
        <v>586</v>
      </c>
      <c r="E16">
        <v>8</v>
      </c>
      <c r="F16">
        <v>8</v>
      </c>
      <c r="G16" s="24">
        <v>4</v>
      </c>
      <c r="H16" s="24">
        <v>4</v>
      </c>
      <c r="I16" s="24">
        <v>4</v>
      </c>
      <c r="J16" s="24">
        <v>8</v>
      </c>
      <c r="K16" s="24">
        <v>4</v>
      </c>
      <c r="L16" s="2"/>
      <c r="Q16" s="79"/>
      <c r="T16">
        <f t="shared" si="10"/>
        <v>16</v>
      </c>
      <c r="U16">
        <f t="shared" si="0"/>
        <v>100</v>
      </c>
      <c r="V16">
        <v>100</v>
      </c>
      <c r="X16">
        <f t="shared" si="1"/>
        <v>2306</v>
      </c>
      <c r="Y16">
        <v>8</v>
      </c>
      <c r="Z16">
        <f t="shared" si="2"/>
        <v>2298</v>
      </c>
      <c r="AA16">
        <v>0</v>
      </c>
      <c r="AB16">
        <f t="shared" si="6"/>
        <v>0</v>
      </c>
      <c r="AC16">
        <f t="shared" si="7"/>
        <v>2298</v>
      </c>
      <c r="AD16">
        <f t="shared" si="11"/>
        <v>8</v>
      </c>
      <c r="AE16" s="113">
        <f t="shared" si="8"/>
        <v>2290</v>
      </c>
      <c r="AF16">
        <f t="shared" si="3"/>
        <v>8</v>
      </c>
      <c r="AG16">
        <f t="shared" si="9"/>
        <v>2282</v>
      </c>
      <c r="AH16" s="4">
        <f t="shared" si="4"/>
        <v>285.25</v>
      </c>
      <c r="AI16" s="4">
        <f t="shared" si="5"/>
        <v>285.25</v>
      </c>
      <c r="AJ16" t="s">
        <v>917</v>
      </c>
    </row>
    <row r="17" spans="1:36" ht="12.75">
      <c r="A17">
        <f>29+240</f>
        <v>269</v>
      </c>
      <c r="B17" t="s">
        <v>781</v>
      </c>
      <c r="C17" s="80" t="s">
        <v>278</v>
      </c>
      <c r="D17" s="14" t="s">
        <v>587</v>
      </c>
      <c r="E17">
        <v>0</v>
      </c>
      <c r="F17">
        <v>0</v>
      </c>
      <c r="G17" s="24">
        <v>1</v>
      </c>
      <c r="H17" s="24">
        <v>1</v>
      </c>
      <c r="I17" s="24">
        <v>1</v>
      </c>
      <c r="J17" s="24">
        <v>0</v>
      </c>
      <c r="K17" s="24">
        <v>1</v>
      </c>
      <c r="L17" s="2"/>
      <c r="Q17" s="79"/>
      <c r="T17">
        <f t="shared" si="10"/>
        <v>0</v>
      </c>
      <c r="U17">
        <f t="shared" si="0"/>
        <v>25</v>
      </c>
      <c r="V17">
        <v>25</v>
      </c>
      <c r="X17">
        <f t="shared" si="1"/>
        <v>244</v>
      </c>
      <c r="Y17">
        <v>2</v>
      </c>
      <c r="Z17">
        <f t="shared" si="2"/>
        <v>242</v>
      </c>
      <c r="AA17">
        <v>0</v>
      </c>
      <c r="AB17">
        <f t="shared" si="6"/>
        <v>0</v>
      </c>
      <c r="AC17">
        <f t="shared" si="7"/>
        <v>242</v>
      </c>
      <c r="AD17">
        <f t="shared" si="11"/>
        <v>2</v>
      </c>
      <c r="AE17" s="113">
        <f t="shared" si="8"/>
        <v>240</v>
      </c>
      <c r="AF17">
        <f t="shared" si="3"/>
        <v>0</v>
      </c>
      <c r="AG17">
        <f t="shared" si="9"/>
        <v>240</v>
      </c>
      <c r="AH17" s="4">
        <f t="shared" si="4"/>
        <v>240</v>
      </c>
      <c r="AI17" s="4">
        <f t="shared" si="5"/>
        <v>240</v>
      </c>
      <c r="AJ17" t="s">
        <v>917</v>
      </c>
    </row>
    <row r="18" spans="1:36" ht="12.75">
      <c r="A18">
        <f>29+240</f>
        <v>269</v>
      </c>
      <c r="B18" t="s">
        <v>783</v>
      </c>
      <c r="C18" s="80" t="s">
        <v>278</v>
      </c>
      <c r="D18" s="14" t="s">
        <v>588</v>
      </c>
      <c r="E18">
        <v>0</v>
      </c>
      <c r="F18">
        <v>0</v>
      </c>
      <c r="G18" s="24">
        <v>1</v>
      </c>
      <c r="H18" s="24">
        <v>1</v>
      </c>
      <c r="I18" s="24">
        <v>1</v>
      </c>
      <c r="J18" s="24">
        <v>0</v>
      </c>
      <c r="K18" s="24">
        <v>1</v>
      </c>
      <c r="L18" s="2"/>
      <c r="Q18" s="79"/>
      <c r="T18">
        <f t="shared" si="10"/>
        <v>0</v>
      </c>
      <c r="U18">
        <f t="shared" si="0"/>
        <v>25</v>
      </c>
      <c r="V18">
        <v>25</v>
      </c>
      <c r="X18">
        <f t="shared" si="1"/>
        <v>244</v>
      </c>
      <c r="Y18">
        <v>2</v>
      </c>
      <c r="Z18">
        <f t="shared" si="2"/>
        <v>242</v>
      </c>
      <c r="AA18">
        <v>0</v>
      </c>
      <c r="AB18">
        <f t="shared" si="6"/>
        <v>0</v>
      </c>
      <c r="AC18">
        <f t="shared" si="7"/>
        <v>242</v>
      </c>
      <c r="AD18">
        <f t="shared" si="11"/>
        <v>2</v>
      </c>
      <c r="AE18" s="113">
        <f t="shared" si="8"/>
        <v>240</v>
      </c>
      <c r="AF18">
        <f t="shared" si="3"/>
        <v>0</v>
      </c>
      <c r="AG18">
        <f t="shared" si="9"/>
        <v>240</v>
      </c>
      <c r="AH18" s="4">
        <f t="shared" si="4"/>
        <v>240</v>
      </c>
      <c r="AI18" s="4">
        <f t="shared" si="5"/>
        <v>240</v>
      </c>
      <c r="AJ18" t="s">
        <v>917</v>
      </c>
    </row>
    <row r="19" spans="1:36" ht="12.75">
      <c r="A19">
        <f>56+480</f>
        <v>536</v>
      </c>
      <c r="B19" t="s">
        <v>782</v>
      </c>
      <c r="C19" s="80" t="s">
        <v>278</v>
      </c>
      <c r="D19" s="14" t="s">
        <v>589</v>
      </c>
      <c r="E19">
        <v>0</v>
      </c>
      <c r="F19">
        <v>0</v>
      </c>
      <c r="G19" s="24">
        <v>2</v>
      </c>
      <c r="H19" s="24">
        <v>2</v>
      </c>
      <c r="I19" s="24">
        <v>2</v>
      </c>
      <c r="J19" s="24">
        <v>0</v>
      </c>
      <c r="K19" s="24">
        <v>2</v>
      </c>
      <c r="L19" s="2"/>
      <c r="Q19" s="79"/>
      <c r="T19">
        <f t="shared" si="10"/>
        <v>0</v>
      </c>
      <c r="U19">
        <f t="shared" si="0"/>
        <v>50</v>
      </c>
      <c r="V19">
        <v>50</v>
      </c>
      <c r="X19">
        <f t="shared" si="1"/>
        <v>486</v>
      </c>
      <c r="Y19">
        <v>4</v>
      </c>
      <c r="Z19">
        <f t="shared" si="2"/>
        <v>482</v>
      </c>
      <c r="AA19">
        <v>0</v>
      </c>
      <c r="AB19">
        <f t="shared" si="6"/>
        <v>0</v>
      </c>
      <c r="AC19">
        <f t="shared" si="7"/>
        <v>482</v>
      </c>
      <c r="AD19">
        <f t="shared" si="11"/>
        <v>4</v>
      </c>
      <c r="AE19" s="113">
        <f t="shared" si="8"/>
        <v>478</v>
      </c>
      <c r="AF19">
        <f t="shared" si="3"/>
        <v>0</v>
      </c>
      <c r="AG19">
        <f t="shared" si="9"/>
        <v>478</v>
      </c>
      <c r="AH19" s="4">
        <f t="shared" si="4"/>
        <v>239</v>
      </c>
      <c r="AI19" s="4">
        <f t="shared" si="5"/>
        <v>239</v>
      </c>
      <c r="AJ19" t="s">
        <v>917</v>
      </c>
    </row>
    <row r="20" spans="1:35" ht="12.75">
      <c r="A20" s="22">
        <v>989</v>
      </c>
      <c r="B20" t="s">
        <v>7</v>
      </c>
      <c r="C20" s="80" t="s">
        <v>775</v>
      </c>
      <c r="D20" s="14" t="s">
        <v>563</v>
      </c>
      <c r="E20">
        <v>20</v>
      </c>
      <c r="F20">
        <v>20</v>
      </c>
      <c r="G20" s="24">
        <v>20</v>
      </c>
      <c r="H20" s="24">
        <v>32</v>
      </c>
      <c r="I20" s="24">
        <v>18</v>
      </c>
      <c r="J20" s="24">
        <v>20</v>
      </c>
      <c r="K20" s="1" t="s">
        <v>281</v>
      </c>
      <c r="L20" s="2"/>
      <c r="T20">
        <v>41</v>
      </c>
      <c r="U20">
        <f t="shared" si="0"/>
        <v>800</v>
      </c>
      <c r="V20">
        <v>803</v>
      </c>
      <c r="X20">
        <f t="shared" si="1"/>
        <v>145</v>
      </c>
      <c r="Y20">
        <v>42</v>
      </c>
      <c r="Z20">
        <f t="shared" si="2"/>
        <v>103</v>
      </c>
      <c r="AA20">
        <v>0</v>
      </c>
      <c r="AB20">
        <f t="shared" si="6"/>
        <v>0</v>
      </c>
      <c r="AC20">
        <f t="shared" si="7"/>
        <v>103</v>
      </c>
      <c r="AD20">
        <v>38</v>
      </c>
      <c r="AE20" s="113">
        <f t="shared" si="8"/>
        <v>65</v>
      </c>
      <c r="AF20">
        <f t="shared" si="3"/>
        <v>20</v>
      </c>
      <c r="AG20">
        <f t="shared" si="9"/>
        <v>45</v>
      </c>
      <c r="AH20" s="4">
        <f t="shared" si="4"/>
        <v>1.40625</v>
      </c>
      <c r="AI20" s="4">
        <f t="shared" si="5"/>
        <v>1.40625</v>
      </c>
    </row>
    <row r="21" spans="1:35" ht="14.25" customHeight="1" thickBot="1">
      <c r="A21">
        <v>206</v>
      </c>
      <c r="B21" t="s">
        <v>6</v>
      </c>
      <c r="C21" s="80" t="s">
        <v>776</v>
      </c>
      <c r="D21" s="14" t="s">
        <v>562</v>
      </c>
      <c r="E21">
        <v>0</v>
      </c>
      <c r="F21">
        <v>0</v>
      </c>
      <c r="G21" s="24">
        <v>6</v>
      </c>
      <c r="H21" s="24">
        <v>6</v>
      </c>
      <c r="I21" s="24">
        <v>6</v>
      </c>
      <c r="J21" s="24">
        <v>0</v>
      </c>
      <c r="K21" s="24">
        <v>6</v>
      </c>
      <c r="L21" s="2"/>
      <c r="T21">
        <f>F21*2</f>
        <v>0</v>
      </c>
      <c r="U21">
        <f t="shared" si="0"/>
        <v>150</v>
      </c>
      <c r="V21">
        <v>153</v>
      </c>
      <c r="X21">
        <f t="shared" si="1"/>
        <v>53</v>
      </c>
      <c r="Y21">
        <v>13</v>
      </c>
      <c r="Z21">
        <f t="shared" si="2"/>
        <v>40</v>
      </c>
      <c r="AA21">
        <v>0</v>
      </c>
      <c r="AB21">
        <f t="shared" si="6"/>
        <v>0</v>
      </c>
      <c r="AC21">
        <f t="shared" si="7"/>
        <v>40</v>
      </c>
      <c r="AD21">
        <v>13</v>
      </c>
      <c r="AE21" s="113">
        <f t="shared" si="8"/>
        <v>27</v>
      </c>
      <c r="AF21" s="71">
        <f t="shared" si="3"/>
        <v>0</v>
      </c>
      <c r="AG21" s="71">
        <f t="shared" si="9"/>
        <v>27</v>
      </c>
      <c r="AH21" s="4">
        <f t="shared" si="4"/>
        <v>4.5</v>
      </c>
      <c r="AI21" s="4">
        <f t="shared" si="5"/>
        <v>4.5</v>
      </c>
    </row>
    <row r="22" spans="1:36" s="73" customFormat="1" ht="14.25" customHeight="1">
      <c r="A22" s="73">
        <f>190+200</f>
        <v>390</v>
      </c>
      <c r="B22" s="73" t="s">
        <v>5</v>
      </c>
      <c r="C22" s="81" t="s">
        <v>240</v>
      </c>
      <c r="D22" s="102" t="s">
        <v>552</v>
      </c>
      <c r="E22" s="73">
        <v>8</v>
      </c>
      <c r="F22" s="73">
        <v>8</v>
      </c>
      <c r="G22" s="74">
        <v>6</v>
      </c>
      <c r="H22" s="74">
        <v>6</v>
      </c>
      <c r="I22" s="74">
        <v>6</v>
      </c>
      <c r="J22" s="74">
        <v>8</v>
      </c>
      <c r="K22" s="74">
        <v>6</v>
      </c>
      <c r="L22" s="75"/>
      <c r="M22" s="74"/>
      <c r="N22" s="74"/>
      <c r="Q22" s="78"/>
      <c r="T22" s="73">
        <v>17</v>
      </c>
      <c r="U22" s="73">
        <f t="shared" si="0"/>
        <v>150</v>
      </c>
      <c r="V22" s="73">
        <v>152</v>
      </c>
      <c r="X22" s="73">
        <f t="shared" si="1"/>
        <v>221</v>
      </c>
      <c r="Y22" s="73">
        <v>13</v>
      </c>
      <c r="Z22" s="73">
        <f t="shared" si="2"/>
        <v>208</v>
      </c>
      <c r="AA22" s="73">
        <v>0</v>
      </c>
      <c r="AB22" s="73">
        <f t="shared" si="6"/>
        <v>0</v>
      </c>
      <c r="AC22" s="73">
        <f t="shared" si="7"/>
        <v>208</v>
      </c>
      <c r="AD22" s="73">
        <v>13</v>
      </c>
      <c r="AE22" s="114">
        <f t="shared" si="8"/>
        <v>195</v>
      </c>
      <c r="AF22">
        <f t="shared" si="3"/>
        <v>8</v>
      </c>
      <c r="AG22">
        <f t="shared" si="9"/>
        <v>187</v>
      </c>
      <c r="AH22" s="86">
        <f t="shared" si="4"/>
        <v>23.375</v>
      </c>
      <c r="AI22" s="86">
        <f t="shared" si="5"/>
        <v>23.375</v>
      </c>
      <c r="AJ22" t="s">
        <v>918</v>
      </c>
    </row>
    <row r="23" spans="1:34" s="71" customFormat="1" ht="14.25" customHeight="1" thickBot="1">
      <c r="A23" s="71">
        <v>0</v>
      </c>
      <c r="B23" s="71" t="s">
        <v>5</v>
      </c>
      <c r="C23" s="82" t="s">
        <v>759</v>
      </c>
      <c r="D23" s="103" t="s">
        <v>552</v>
      </c>
      <c r="G23" s="72"/>
      <c r="H23" s="72"/>
      <c r="I23" s="72"/>
      <c r="J23" s="72"/>
      <c r="K23" s="72"/>
      <c r="L23" s="72"/>
      <c r="M23" s="72"/>
      <c r="N23" s="72"/>
      <c r="AA23" s="71">
        <v>0</v>
      </c>
      <c r="AB23" s="71">
        <f t="shared" si="6"/>
        <v>0</v>
      </c>
      <c r="AE23" s="64"/>
      <c r="AF23" s="71">
        <f t="shared" si="3"/>
        <v>0</v>
      </c>
      <c r="AG23" s="71">
        <f t="shared" si="9"/>
        <v>0</v>
      </c>
      <c r="AH23" s="87"/>
    </row>
    <row r="24" spans="1:36" ht="12.75">
      <c r="A24">
        <f>50+50</f>
        <v>100</v>
      </c>
      <c r="B24" t="s">
        <v>27</v>
      </c>
      <c r="C24" s="80" t="s">
        <v>232</v>
      </c>
      <c r="D24" t="s">
        <v>691</v>
      </c>
      <c r="E24">
        <v>0</v>
      </c>
      <c r="F24">
        <v>0</v>
      </c>
      <c r="G24" s="24">
        <v>2</v>
      </c>
      <c r="H24" s="24">
        <v>2</v>
      </c>
      <c r="I24" s="24">
        <v>2</v>
      </c>
      <c r="J24" s="24">
        <v>0</v>
      </c>
      <c r="K24" s="24">
        <v>2</v>
      </c>
      <c r="L24" s="24"/>
      <c r="N24" s="27"/>
      <c r="O24" s="61"/>
      <c r="Q24" s="79"/>
      <c r="T24">
        <f aca="true" t="shared" si="12" ref="T24:T48">F24*2</f>
        <v>0</v>
      </c>
      <c r="U24">
        <f aca="true" t="shared" si="13" ref="U24:U45">H24*25</f>
        <v>50</v>
      </c>
      <c r="V24">
        <v>4</v>
      </c>
      <c r="W24">
        <v>46</v>
      </c>
      <c r="X24">
        <f aca="true" t="shared" si="14" ref="X24:X48">A24-T24-V24</f>
        <v>96</v>
      </c>
      <c r="Y24">
        <v>4</v>
      </c>
      <c r="Z24">
        <f t="shared" si="2"/>
        <v>92</v>
      </c>
      <c r="AA24">
        <v>4</v>
      </c>
      <c r="AB24">
        <f t="shared" si="6"/>
        <v>42</v>
      </c>
      <c r="AC24">
        <f t="shared" si="7"/>
        <v>88</v>
      </c>
      <c r="AD24">
        <f aca="true" t="shared" si="15" ref="AD24:AD48">I24*2</f>
        <v>4</v>
      </c>
      <c r="AE24" s="113">
        <f t="shared" si="8"/>
        <v>84</v>
      </c>
      <c r="AF24">
        <f t="shared" si="3"/>
        <v>0</v>
      </c>
      <c r="AG24">
        <f t="shared" si="9"/>
        <v>84</v>
      </c>
      <c r="AH24" s="4">
        <f aca="true" t="shared" si="16" ref="AH24:AH33">AG24/MAX(E24:L24)</f>
        <v>42</v>
      </c>
      <c r="AI24" s="4">
        <f aca="true" t="shared" si="17" ref="AI24:AI33">AH24+M24/MAX(E24:L24)</f>
        <v>42</v>
      </c>
      <c r="AJ24" t="s">
        <v>918</v>
      </c>
    </row>
    <row r="25" spans="1:36" ht="12.75">
      <c r="A25">
        <f>58+60</f>
        <v>118</v>
      </c>
      <c r="B25" t="s">
        <v>248</v>
      </c>
      <c r="C25" s="80" t="s">
        <v>743</v>
      </c>
      <c r="D25" t="s">
        <v>690</v>
      </c>
      <c r="E25">
        <v>4</v>
      </c>
      <c r="F25">
        <v>4</v>
      </c>
      <c r="G25" s="24">
        <v>2</v>
      </c>
      <c r="H25" s="24">
        <v>2</v>
      </c>
      <c r="I25" s="24">
        <v>2</v>
      </c>
      <c r="J25" s="24">
        <v>4</v>
      </c>
      <c r="K25" s="24">
        <v>2</v>
      </c>
      <c r="L25" s="24"/>
      <c r="N25" s="27"/>
      <c r="O25" s="61"/>
      <c r="Q25" s="79"/>
      <c r="T25">
        <f t="shared" si="12"/>
        <v>8</v>
      </c>
      <c r="U25">
        <f t="shared" si="13"/>
        <v>50</v>
      </c>
      <c r="V25">
        <v>4</v>
      </c>
      <c r="W25">
        <v>46</v>
      </c>
      <c r="X25">
        <f t="shared" si="14"/>
        <v>106</v>
      </c>
      <c r="Y25">
        <v>4</v>
      </c>
      <c r="Z25">
        <f t="shared" si="2"/>
        <v>102</v>
      </c>
      <c r="AA25">
        <v>4</v>
      </c>
      <c r="AB25">
        <f t="shared" si="6"/>
        <v>42</v>
      </c>
      <c r="AC25">
        <f t="shared" si="7"/>
        <v>98</v>
      </c>
      <c r="AD25">
        <f t="shared" si="15"/>
        <v>4</v>
      </c>
      <c r="AE25" s="113">
        <f t="shared" si="8"/>
        <v>94</v>
      </c>
      <c r="AF25">
        <f t="shared" si="3"/>
        <v>4</v>
      </c>
      <c r="AG25">
        <f t="shared" si="9"/>
        <v>90</v>
      </c>
      <c r="AH25" s="4">
        <f t="shared" si="16"/>
        <v>22.5</v>
      </c>
      <c r="AI25" s="4">
        <f t="shared" si="17"/>
        <v>22.5</v>
      </c>
      <c r="AJ25" t="s">
        <v>918</v>
      </c>
    </row>
    <row r="26" spans="1:36" ht="12.75">
      <c r="A26" s="22">
        <v>27</v>
      </c>
      <c r="B26" t="s">
        <v>150</v>
      </c>
      <c r="C26" s="80" t="s">
        <v>241</v>
      </c>
      <c r="D26" s="14" t="s">
        <v>559</v>
      </c>
      <c r="E26">
        <v>1</v>
      </c>
      <c r="F26">
        <v>1</v>
      </c>
      <c r="G26" s="24">
        <v>1</v>
      </c>
      <c r="H26" s="24">
        <v>1</v>
      </c>
      <c r="I26" s="24">
        <v>1</v>
      </c>
      <c r="J26" s="24">
        <v>0</v>
      </c>
      <c r="K26" s="24">
        <v>1</v>
      </c>
      <c r="L26" s="24"/>
      <c r="T26">
        <f t="shared" si="12"/>
        <v>2</v>
      </c>
      <c r="U26">
        <f t="shared" si="13"/>
        <v>25</v>
      </c>
      <c r="V26">
        <v>2</v>
      </c>
      <c r="W26">
        <v>23</v>
      </c>
      <c r="X26">
        <f t="shared" si="14"/>
        <v>23</v>
      </c>
      <c r="Y26">
        <v>2</v>
      </c>
      <c r="Z26">
        <f t="shared" si="2"/>
        <v>21</v>
      </c>
      <c r="AA26">
        <v>2</v>
      </c>
      <c r="AB26">
        <f t="shared" si="6"/>
        <v>21</v>
      </c>
      <c r="AC26">
        <f t="shared" si="7"/>
        <v>19</v>
      </c>
      <c r="AD26">
        <f t="shared" si="15"/>
        <v>2</v>
      </c>
      <c r="AE26" s="113">
        <f t="shared" si="8"/>
        <v>17</v>
      </c>
      <c r="AF26">
        <f t="shared" si="3"/>
        <v>1</v>
      </c>
      <c r="AG26">
        <f t="shared" si="9"/>
        <v>16</v>
      </c>
      <c r="AH26" s="4">
        <f t="shared" si="16"/>
        <v>16</v>
      </c>
      <c r="AI26" s="4">
        <f t="shared" si="17"/>
        <v>16</v>
      </c>
      <c r="AJ26" t="s">
        <v>918</v>
      </c>
    </row>
    <row r="27" spans="1:36" ht="12.75">
      <c r="A27" s="22">
        <v>27</v>
      </c>
      <c r="B27" t="s">
        <v>151</v>
      </c>
      <c r="C27" s="80" t="s">
        <v>242</v>
      </c>
      <c r="D27" s="14" t="s">
        <v>565</v>
      </c>
      <c r="E27">
        <v>1</v>
      </c>
      <c r="F27">
        <v>1</v>
      </c>
      <c r="G27" s="24">
        <v>1</v>
      </c>
      <c r="H27" s="24">
        <v>1</v>
      </c>
      <c r="I27" s="24">
        <v>1</v>
      </c>
      <c r="J27" s="24">
        <v>0</v>
      </c>
      <c r="K27" s="24">
        <v>1</v>
      </c>
      <c r="L27" s="24"/>
      <c r="T27">
        <f t="shared" si="12"/>
        <v>2</v>
      </c>
      <c r="U27">
        <f t="shared" si="13"/>
        <v>25</v>
      </c>
      <c r="V27">
        <v>2</v>
      </c>
      <c r="W27">
        <v>23</v>
      </c>
      <c r="X27">
        <f t="shared" si="14"/>
        <v>23</v>
      </c>
      <c r="Y27">
        <v>2</v>
      </c>
      <c r="Z27">
        <f t="shared" si="2"/>
        <v>21</v>
      </c>
      <c r="AA27">
        <v>2</v>
      </c>
      <c r="AB27">
        <f t="shared" si="6"/>
        <v>21</v>
      </c>
      <c r="AC27">
        <f t="shared" si="7"/>
        <v>19</v>
      </c>
      <c r="AD27">
        <f t="shared" si="15"/>
        <v>2</v>
      </c>
      <c r="AE27" s="113">
        <f t="shared" si="8"/>
        <v>17</v>
      </c>
      <c r="AF27">
        <f t="shared" si="3"/>
        <v>1</v>
      </c>
      <c r="AG27">
        <f t="shared" si="9"/>
        <v>16</v>
      </c>
      <c r="AH27" s="4">
        <f t="shared" si="16"/>
        <v>16</v>
      </c>
      <c r="AI27" s="4">
        <f t="shared" si="17"/>
        <v>16</v>
      </c>
      <c r="AJ27" t="s">
        <v>918</v>
      </c>
    </row>
    <row r="28" spans="1:36" ht="12.75">
      <c r="A28" s="22">
        <v>27</v>
      </c>
      <c r="B28" t="s">
        <v>152</v>
      </c>
      <c r="C28" s="80" t="s">
        <v>243</v>
      </c>
      <c r="D28" s="14" t="s">
        <v>560</v>
      </c>
      <c r="E28">
        <v>1</v>
      </c>
      <c r="F28">
        <v>1</v>
      </c>
      <c r="G28" s="24">
        <v>1</v>
      </c>
      <c r="H28" s="24">
        <v>1</v>
      </c>
      <c r="I28" s="24">
        <v>1</v>
      </c>
      <c r="J28" s="24">
        <v>0</v>
      </c>
      <c r="K28" s="24">
        <v>1</v>
      </c>
      <c r="L28" s="24"/>
      <c r="T28">
        <f t="shared" si="12"/>
        <v>2</v>
      </c>
      <c r="U28">
        <f t="shared" si="13"/>
        <v>25</v>
      </c>
      <c r="V28">
        <v>2</v>
      </c>
      <c r="W28">
        <v>23</v>
      </c>
      <c r="X28">
        <f t="shared" si="14"/>
        <v>23</v>
      </c>
      <c r="Y28">
        <v>2</v>
      </c>
      <c r="Z28">
        <f t="shared" si="2"/>
        <v>21</v>
      </c>
      <c r="AA28">
        <v>2</v>
      </c>
      <c r="AB28">
        <f t="shared" si="6"/>
        <v>21</v>
      </c>
      <c r="AC28">
        <f t="shared" si="7"/>
        <v>19</v>
      </c>
      <c r="AD28">
        <f t="shared" si="15"/>
        <v>2</v>
      </c>
      <c r="AE28" s="113">
        <f t="shared" si="8"/>
        <v>17</v>
      </c>
      <c r="AF28">
        <f t="shared" si="3"/>
        <v>1</v>
      </c>
      <c r="AG28">
        <f t="shared" si="9"/>
        <v>16</v>
      </c>
      <c r="AH28" s="4">
        <f t="shared" si="16"/>
        <v>16</v>
      </c>
      <c r="AI28" s="4">
        <f t="shared" si="17"/>
        <v>16</v>
      </c>
      <c r="AJ28" t="s">
        <v>918</v>
      </c>
    </row>
    <row r="29" spans="1:36" ht="12.75">
      <c r="A29">
        <v>27</v>
      </c>
      <c r="B29" t="s">
        <v>153</v>
      </c>
      <c r="C29" s="80" t="s">
        <v>244</v>
      </c>
      <c r="D29" s="14" t="s">
        <v>566</v>
      </c>
      <c r="E29">
        <v>1</v>
      </c>
      <c r="F29">
        <v>1</v>
      </c>
      <c r="G29" s="24">
        <v>1</v>
      </c>
      <c r="H29" s="24">
        <v>1</v>
      </c>
      <c r="I29" s="24">
        <v>1</v>
      </c>
      <c r="J29" s="24">
        <v>0</v>
      </c>
      <c r="K29" s="24">
        <v>1</v>
      </c>
      <c r="L29" s="24"/>
      <c r="T29">
        <f t="shared" si="12"/>
        <v>2</v>
      </c>
      <c r="U29">
        <f t="shared" si="13"/>
        <v>25</v>
      </c>
      <c r="V29">
        <v>2</v>
      </c>
      <c r="W29">
        <v>23</v>
      </c>
      <c r="X29">
        <f t="shared" si="14"/>
        <v>23</v>
      </c>
      <c r="Y29">
        <v>2</v>
      </c>
      <c r="Z29">
        <f t="shared" si="2"/>
        <v>21</v>
      </c>
      <c r="AA29">
        <v>2</v>
      </c>
      <c r="AB29">
        <f t="shared" si="6"/>
        <v>21</v>
      </c>
      <c r="AC29">
        <f t="shared" si="7"/>
        <v>19</v>
      </c>
      <c r="AD29">
        <f t="shared" si="15"/>
        <v>2</v>
      </c>
      <c r="AE29" s="113">
        <f t="shared" si="8"/>
        <v>17</v>
      </c>
      <c r="AF29">
        <f t="shared" si="3"/>
        <v>1</v>
      </c>
      <c r="AG29">
        <f t="shared" si="9"/>
        <v>16</v>
      </c>
      <c r="AH29" s="4">
        <f t="shared" si="16"/>
        <v>16</v>
      </c>
      <c r="AI29" s="4">
        <f t="shared" si="17"/>
        <v>16</v>
      </c>
      <c r="AJ29" t="s">
        <v>918</v>
      </c>
    </row>
    <row r="30" spans="1:36" ht="12.75">
      <c r="A30">
        <v>25</v>
      </c>
      <c r="B30" t="s">
        <v>154</v>
      </c>
      <c r="C30" s="80" t="s">
        <v>264</v>
      </c>
      <c r="D30" s="14" t="s">
        <v>561</v>
      </c>
      <c r="E30">
        <v>0</v>
      </c>
      <c r="F30">
        <v>0</v>
      </c>
      <c r="G30" s="24">
        <v>1</v>
      </c>
      <c r="H30" s="24">
        <v>1</v>
      </c>
      <c r="I30" s="24">
        <v>1</v>
      </c>
      <c r="J30" s="24">
        <v>0</v>
      </c>
      <c r="K30" s="24">
        <v>1</v>
      </c>
      <c r="L30" s="24"/>
      <c r="T30">
        <f t="shared" si="12"/>
        <v>0</v>
      </c>
      <c r="U30">
        <f t="shared" si="13"/>
        <v>25</v>
      </c>
      <c r="V30">
        <v>2</v>
      </c>
      <c r="W30">
        <v>23</v>
      </c>
      <c r="X30">
        <f t="shared" si="14"/>
        <v>23</v>
      </c>
      <c r="Y30">
        <v>2</v>
      </c>
      <c r="Z30">
        <f t="shared" si="2"/>
        <v>21</v>
      </c>
      <c r="AA30">
        <v>2</v>
      </c>
      <c r="AB30">
        <f t="shared" si="6"/>
        <v>21</v>
      </c>
      <c r="AC30">
        <f t="shared" si="7"/>
        <v>19</v>
      </c>
      <c r="AD30">
        <f t="shared" si="15"/>
        <v>2</v>
      </c>
      <c r="AE30" s="113">
        <f t="shared" si="8"/>
        <v>17</v>
      </c>
      <c r="AF30">
        <f t="shared" si="3"/>
        <v>0</v>
      </c>
      <c r="AG30">
        <f t="shared" si="9"/>
        <v>17</v>
      </c>
      <c r="AH30" s="4">
        <f t="shared" si="16"/>
        <v>17</v>
      </c>
      <c r="AI30" s="4">
        <f t="shared" si="17"/>
        <v>17</v>
      </c>
      <c r="AJ30" t="s">
        <v>918</v>
      </c>
    </row>
    <row r="31" spans="1:36" ht="12.75">
      <c r="A31">
        <v>25</v>
      </c>
      <c r="B31" t="s">
        <v>155</v>
      </c>
      <c r="C31" s="80" t="s">
        <v>267</v>
      </c>
      <c r="D31" s="14" t="s">
        <v>567</v>
      </c>
      <c r="E31">
        <v>0</v>
      </c>
      <c r="F31">
        <v>0</v>
      </c>
      <c r="G31" s="24">
        <v>1</v>
      </c>
      <c r="H31" s="24">
        <v>1</v>
      </c>
      <c r="I31" s="24">
        <v>1</v>
      </c>
      <c r="J31" s="24">
        <v>0</v>
      </c>
      <c r="K31" s="24">
        <v>1</v>
      </c>
      <c r="L31" s="24"/>
      <c r="T31">
        <f t="shared" si="12"/>
        <v>0</v>
      </c>
      <c r="U31">
        <f t="shared" si="13"/>
        <v>25</v>
      </c>
      <c r="V31">
        <v>2</v>
      </c>
      <c r="W31">
        <v>23</v>
      </c>
      <c r="X31">
        <f t="shared" si="14"/>
        <v>23</v>
      </c>
      <c r="Y31">
        <v>2</v>
      </c>
      <c r="Z31">
        <f t="shared" si="2"/>
        <v>21</v>
      </c>
      <c r="AA31">
        <v>2</v>
      </c>
      <c r="AB31">
        <f t="shared" si="6"/>
        <v>21</v>
      </c>
      <c r="AC31">
        <f t="shared" si="7"/>
        <v>19</v>
      </c>
      <c r="AD31">
        <f t="shared" si="15"/>
        <v>2</v>
      </c>
      <c r="AE31" s="113">
        <f t="shared" si="8"/>
        <v>17</v>
      </c>
      <c r="AF31">
        <f t="shared" si="3"/>
        <v>0</v>
      </c>
      <c r="AG31">
        <f t="shared" si="9"/>
        <v>17</v>
      </c>
      <c r="AH31" s="4">
        <f t="shared" si="16"/>
        <v>17</v>
      </c>
      <c r="AI31" s="4">
        <f t="shared" si="17"/>
        <v>17</v>
      </c>
      <c r="AJ31" t="s">
        <v>918</v>
      </c>
    </row>
    <row r="32" spans="1:35" ht="12.75">
      <c r="A32">
        <v>2</v>
      </c>
      <c r="B32" t="s">
        <v>760</v>
      </c>
      <c r="C32" s="80" t="s">
        <v>777</v>
      </c>
      <c r="D32" t="s">
        <v>680</v>
      </c>
      <c r="E32">
        <v>0</v>
      </c>
      <c r="F32">
        <v>0</v>
      </c>
      <c r="G32" s="24">
        <v>1</v>
      </c>
      <c r="H32" s="24">
        <v>0</v>
      </c>
      <c r="I32" s="24">
        <v>0</v>
      </c>
      <c r="J32" s="24">
        <v>0</v>
      </c>
      <c r="K32" s="24">
        <v>0</v>
      </c>
      <c r="L32" s="24">
        <v>0</v>
      </c>
      <c r="T32">
        <f t="shared" si="12"/>
        <v>0</v>
      </c>
      <c r="U32">
        <f t="shared" si="13"/>
        <v>0</v>
      </c>
      <c r="X32">
        <f t="shared" si="14"/>
        <v>2</v>
      </c>
      <c r="Y32">
        <v>2</v>
      </c>
      <c r="Z32">
        <f t="shared" si="2"/>
        <v>0</v>
      </c>
      <c r="AB32">
        <f t="shared" si="6"/>
        <v>0</v>
      </c>
      <c r="AC32">
        <f t="shared" si="7"/>
        <v>0</v>
      </c>
      <c r="AD32">
        <f t="shared" si="15"/>
        <v>0</v>
      </c>
      <c r="AE32" s="113">
        <f t="shared" si="8"/>
        <v>0</v>
      </c>
      <c r="AF32">
        <f t="shared" si="3"/>
        <v>0</v>
      </c>
      <c r="AG32">
        <f t="shared" si="9"/>
        <v>0</v>
      </c>
      <c r="AH32" s="4">
        <f t="shared" si="16"/>
        <v>0</v>
      </c>
      <c r="AI32" s="4">
        <f t="shared" si="17"/>
        <v>0</v>
      </c>
    </row>
    <row r="33" spans="1:35" ht="12.75">
      <c r="A33">
        <v>2</v>
      </c>
      <c r="B33" t="s">
        <v>761</v>
      </c>
      <c r="C33" s="80" t="s">
        <v>634</v>
      </c>
      <c r="D33" t="s">
        <v>681</v>
      </c>
      <c r="E33">
        <v>0</v>
      </c>
      <c r="F33">
        <v>0</v>
      </c>
      <c r="G33" s="24">
        <v>1</v>
      </c>
      <c r="H33" s="24">
        <v>0</v>
      </c>
      <c r="I33" s="24">
        <v>0</v>
      </c>
      <c r="J33" s="24">
        <v>0</v>
      </c>
      <c r="K33" s="24">
        <v>0</v>
      </c>
      <c r="L33" s="24">
        <v>0</v>
      </c>
      <c r="T33">
        <f t="shared" si="12"/>
        <v>0</v>
      </c>
      <c r="U33">
        <f t="shared" si="13"/>
        <v>0</v>
      </c>
      <c r="X33">
        <f t="shared" si="14"/>
        <v>2</v>
      </c>
      <c r="Y33">
        <v>2</v>
      </c>
      <c r="Z33">
        <f t="shared" si="2"/>
        <v>0</v>
      </c>
      <c r="AB33">
        <f t="shared" si="6"/>
        <v>0</v>
      </c>
      <c r="AC33">
        <f t="shared" si="7"/>
        <v>0</v>
      </c>
      <c r="AD33">
        <f t="shared" si="15"/>
        <v>0</v>
      </c>
      <c r="AE33" s="113">
        <f t="shared" si="8"/>
        <v>0</v>
      </c>
      <c r="AF33">
        <f t="shared" si="3"/>
        <v>0</v>
      </c>
      <c r="AG33">
        <f t="shared" si="9"/>
        <v>0</v>
      </c>
      <c r="AH33" s="4">
        <f t="shared" si="16"/>
        <v>0</v>
      </c>
      <c r="AI33" s="4">
        <f t="shared" si="17"/>
        <v>0</v>
      </c>
    </row>
    <row r="34" spans="1:34" ht="25.5">
      <c r="A34">
        <v>0</v>
      </c>
      <c r="B34" s="1" t="s">
        <v>762</v>
      </c>
      <c r="C34" s="80" t="s">
        <v>763</v>
      </c>
      <c r="D34" s="100" t="s">
        <v>343</v>
      </c>
      <c r="E34">
        <v>0</v>
      </c>
      <c r="F34">
        <v>0</v>
      </c>
      <c r="G34" s="24">
        <v>0</v>
      </c>
      <c r="H34" s="24">
        <v>0</v>
      </c>
      <c r="I34" s="24">
        <v>0</v>
      </c>
      <c r="J34" s="24">
        <v>0</v>
      </c>
      <c r="K34" s="24">
        <v>0</v>
      </c>
      <c r="L34" s="24">
        <v>0</v>
      </c>
      <c r="T34">
        <f t="shared" si="12"/>
        <v>0</v>
      </c>
      <c r="U34">
        <f t="shared" si="13"/>
        <v>0</v>
      </c>
      <c r="X34">
        <f t="shared" si="14"/>
        <v>0</v>
      </c>
      <c r="Z34">
        <f t="shared" si="2"/>
        <v>0</v>
      </c>
      <c r="AB34">
        <f t="shared" si="6"/>
        <v>0</v>
      </c>
      <c r="AC34">
        <f t="shared" si="7"/>
        <v>0</v>
      </c>
      <c r="AD34">
        <f t="shared" si="15"/>
        <v>0</v>
      </c>
      <c r="AE34" s="113">
        <f t="shared" si="8"/>
        <v>0</v>
      </c>
      <c r="AF34">
        <f t="shared" si="3"/>
        <v>0</v>
      </c>
      <c r="AG34">
        <f t="shared" si="9"/>
        <v>0</v>
      </c>
      <c r="AH34" s="4"/>
    </row>
    <row r="35" spans="1:35" ht="12.75">
      <c r="A35">
        <v>2</v>
      </c>
      <c r="B35" t="s">
        <v>764</v>
      </c>
      <c r="C35" s="80" t="s">
        <v>641</v>
      </c>
      <c r="D35" s="14" t="s">
        <v>683</v>
      </c>
      <c r="E35">
        <v>0</v>
      </c>
      <c r="F35">
        <v>0</v>
      </c>
      <c r="G35" s="24">
        <v>1</v>
      </c>
      <c r="H35" s="24">
        <v>0</v>
      </c>
      <c r="I35" s="24">
        <v>0</v>
      </c>
      <c r="J35" s="24">
        <v>0</v>
      </c>
      <c r="K35" s="24">
        <v>0</v>
      </c>
      <c r="L35" s="24">
        <v>0</v>
      </c>
      <c r="T35">
        <f t="shared" si="12"/>
        <v>0</v>
      </c>
      <c r="U35">
        <f t="shared" si="13"/>
        <v>0</v>
      </c>
      <c r="X35">
        <f t="shared" si="14"/>
        <v>2</v>
      </c>
      <c r="Y35">
        <v>2</v>
      </c>
      <c r="Z35">
        <f t="shared" si="2"/>
        <v>0</v>
      </c>
      <c r="AB35">
        <f t="shared" si="6"/>
        <v>0</v>
      </c>
      <c r="AC35">
        <f t="shared" si="7"/>
        <v>0</v>
      </c>
      <c r="AD35">
        <f t="shared" si="15"/>
        <v>0</v>
      </c>
      <c r="AE35" s="113">
        <f t="shared" si="8"/>
        <v>0</v>
      </c>
      <c r="AF35">
        <f aca="true" t="shared" si="18" ref="AF35:AF68">E35</f>
        <v>0</v>
      </c>
      <c r="AG35">
        <f t="shared" si="9"/>
        <v>0</v>
      </c>
      <c r="AH35" s="4">
        <f aca="true" t="shared" si="19" ref="AH35:AH45">AG35/MAX(E35:L35)</f>
        <v>0</v>
      </c>
      <c r="AI35" s="4">
        <f aca="true" t="shared" si="20" ref="AI35:AI45">AH35+M35/MAX(E35:L35)</f>
        <v>0</v>
      </c>
    </row>
    <row r="36" spans="1:35" ht="12.75">
      <c r="A36">
        <v>2</v>
      </c>
      <c r="B36" t="s">
        <v>765</v>
      </c>
      <c r="C36" s="80" t="s">
        <v>642</v>
      </c>
      <c r="D36" s="14" t="s">
        <v>648</v>
      </c>
      <c r="E36">
        <v>0</v>
      </c>
      <c r="F36">
        <v>0</v>
      </c>
      <c r="G36" s="24">
        <v>1</v>
      </c>
      <c r="H36" s="24">
        <v>0</v>
      </c>
      <c r="I36" s="24">
        <v>0</v>
      </c>
      <c r="J36" s="24">
        <v>0</v>
      </c>
      <c r="K36" s="24">
        <v>0</v>
      </c>
      <c r="L36" s="24">
        <v>0</v>
      </c>
      <c r="T36">
        <f t="shared" si="12"/>
        <v>0</v>
      </c>
      <c r="U36">
        <f t="shared" si="13"/>
        <v>0</v>
      </c>
      <c r="X36">
        <f t="shared" si="14"/>
        <v>2</v>
      </c>
      <c r="Y36">
        <v>2</v>
      </c>
      <c r="Z36">
        <f aca="true" t="shared" si="21" ref="Z36:Z69">X36-Y36</f>
        <v>0</v>
      </c>
      <c r="AB36">
        <f t="shared" si="6"/>
        <v>0</v>
      </c>
      <c r="AC36">
        <f t="shared" si="7"/>
        <v>0</v>
      </c>
      <c r="AD36">
        <f t="shared" si="15"/>
        <v>0</v>
      </c>
      <c r="AE36" s="113">
        <f t="shared" si="8"/>
        <v>0</v>
      </c>
      <c r="AF36">
        <f t="shared" si="18"/>
        <v>0</v>
      </c>
      <c r="AG36">
        <f t="shared" si="9"/>
        <v>0</v>
      </c>
      <c r="AH36" s="4">
        <f t="shared" si="19"/>
        <v>0</v>
      </c>
      <c r="AI36" s="4">
        <f t="shared" si="20"/>
        <v>0</v>
      </c>
    </row>
    <row r="37" spans="1:35" ht="12.75">
      <c r="A37">
        <v>2</v>
      </c>
      <c r="B37" t="s">
        <v>766</v>
      </c>
      <c r="C37" s="80" t="s">
        <v>649</v>
      </c>
      <c r="D37" s="14" t="s">
        <v>684</v>
      </c>
      <c r="E37">
        <v>0</v>
      </c>
      <c r="F37">
        <v>0</v>
      </c>
      <c r="G37" s="24">
        <v>1</v>
      </c>
      <c r="H37" s="24">
        <v>0</v>
      </c>
      <c r="I37" s="24">
        <v>0</v>
      </c>
      <c r="J37" s="24">
        <v>0</v>
      </c>
      <c r="K37" s="24">
        <v>0</v>
      </c>
      <c r="L37" s="24">
        <v>0</v>
      </c>
      <c r="T37">
        <f t="shared" si="12"/>
        <v>0</v>
      </c>
      <c r="U37">
        <f t="shared" si="13"/>
        <v>0</v>
      </c>
      <c r="X37">
        <f t="shared" si="14"/>
        <v>2</v>
      </c>
      <c r="Y37">
        <v>2</v>
      </c>
      <c r="Z37">
        <f t="shared" si="21"/>
        <v>0</v>
      </c>
      <c r="AB37">
        <f t="shared" si="6"/>
        <v>0</v>
      </c>
      <c r="AC37">
        <f t="shared" si="7"/>
        <v>0</v>
      </c>
      <c r="AD37">
        <f t="shared" si="15"/>
        <v>0</v>
      </c>
      <c r="AE37" s="113">
        <f t="shared" si="8"/>
        <v>0</v>
      </c>
      <c r="AF37">
        <f t="shared" si="18"/>
        <v>0</v>
      </c>
      <c r="AG37">
        <f t="shared" si="9"/>
        <v>0</v>
      </c>
      <c r="AH37" s="4">
        <f t="shared" si="19"/>
        <v>0</v>
      </c>
      <c r="AI37" s="4">
        <f t="shared" si="20"/>
        <v>0</v>
      </c>
    </row>
    <row r="38" spans="1:35" ht="12.75">
      <c r="A38">
        <v>4</v>
      </c>
      <c r="B38" t="s">
        <v>767</v>
      </c>
      <c r="C38" s="80" t="s">
        <v>716</v>
      </c>
      <c r="D38" s="14" t="s">
        <v>685</v>
      </c>
      <c r="E38">
        <v>0</v>
      </c>
      <c r="F38">
        <v>0</v>
      </c>
      <c r="G38" s="24">
        <v>1</v>
      </c>
      <c r="H38" s="24">
        <v>0</v>
      </c>
      <c r="I38" s="24">
        <v>1</v>
      </c>
      <c r="J38" s="24">
        <v>0</v>
      </c>
      <c r="K38" s="24">
        <v>1</v>
      </c>
      <c r="L38" s="24"/>
      <c r="T38">
        <f t="shared" si="12"/>
        <v>0</v>
      </c>
      <c r="U38">
        <f t="shared" si="13"/>
        <v>0</v>
      </c>
      <c r="X38">
        <f t="shared" si="14"/>
        <v>4</v>
      </c>
      <c r="Y38">
        <v>2</v>
      </c>
      <c r="Z38">
        <f t="shared" si="21"/>
        <v>2</v>
      </c>
      <c r="AB38">
        <f t="shared" si="6"/>
        <v>0</v>
      </c>
      <c r="AC38">
        <f t="shared" si="7"/>
        <v>2</v>
      </c>
      <c r="AD38">
        <f t="shared" si="15"/>
        <v>2</v>
      </c>
      <c r="AE38" s="113">
        <f t="shared" si="8"/>
        <v>0</v>
      </c>
      <c r="AF38">
        <f t="shared" si="18"/>
        <v>0</v>
      </c>
      <c r="AG38">
        <f t="shared" si="9"/>
        <v>0</v>
      </c>
      <c r="AH38" s="4">
        <f t="shared" si="19"/>
        <v>0</v>
      </c>
      <c r="AI38" s="4">
        <f t="shared" si="20"/>
        <v>0</v>
      </c>
    </row>
    <row r="39" spans="1:35" ht="12.75">
      <c r="A39">
        <v>4</v>
      </c>
      <c r="B39" t="s">
        <v>768</v>
      </c>
      <c r="C39" s="80" t="s">
        <v>742</v>
      </c>
      <c r="D39" t="s">
        <v>686</v>
      </c>
      <c r="E39">
        <v>0</v>
      </c>
      <c r="F39">
        <v>0</v>
      </c>
      <c r="G39" s="24">
        <v>1</v>
      </c>
      <c r="H39" s="24">
        <v>0</v>
      </c>
      <c r="I39" s="24">
        <v>1</v>
      </c>
      <c r="J39" s="24">
        <v>0</v>
      </c>
      <c r="K39" s="24">
        <v>1</v>
      </c>
      <c r="L39" s="24"/>
      <c r="T39">
        <f t="shared" si="12"/>
        <v>0</v>
      </c>
      <c r="U39">
        <f t="shared" si="13"/>
        <v>0</v>
      </c>
      <c r="X39">
        <f t="shared" si="14"/>
        <v>4</v>
      </c>
      <c r="Y39">
        <v>2</v>
      </c>
      <c r="Z39">
        <f t="shared" si="21"/>
        <v>2</v>
      </c>
      <c r="AB39">
        <f t="shared" si="6"/>
        <v>0</v>
      </c>
      <c r="AC39">
        <f t="shared" si="7"/>
        <v>2</v>
      </c>
      <c r="AD39">
        <f t="shared" si="15"/>
        <v>2</v>
      </c>
      <c r="AE39" s="113">
        <f t="shared" si="8"/>
        <v>0</v>
      </c>
      <c r="AF39">
        <f t="shared" si="18"/>
        <v>0</v>
      </c>
      <c r="AG39">
        <f t="shared" si="9"/>
        <v>0</v>
      </c>
      <c r="AH39" s="4">
        <f t="shared" si="19"/>
        <v>0</v>
      </c>
      <c r="AI39" s="4">
        <f t="shared" si="20"/>
        <v>0</v>
      </c>
    </row>
    <row r="40" spans="1:35" ht="12.75">
      <c r="A40">
        <v>4</v>
      </c>
      <c r="B40" t="s">
        <v>771</v>
      </c>
      <c r="C40" s="80" t="s">
        <v>635</v>
      </c>
      <c r="D40" t="s">
        <v>687</v>
      </c>
      <c r="E40">
        <v>0</v>
      </c>
      <c r="F40">
        <v>0</v>
      </c>
      <c r="G40" s="24">
        <v>2</v>
      </c>
      <c r="H40" s="24">
        <v>0</v>
      </c>
      <c r="I40" s="24">
        <v>0</v>
      </c>
      <c r="J40" s="24">
        <v>0</v>
      </c>
      <c r="K40" s="24">
        <v>0</v>
      </c>
      <c r="L40" s="24"/>
      <c r="T40">
        <f t="shared" si="12"/>
        <v>0</v>
      </c>
      <c r="U40">
        <f t="shared" si="13"/>
        <v>0</v>
      </c>
      <c r="X40">
        <f t="shared" si="14"/>
        <v>4</v>
      </c>
      <c r="Y40">
        <v>4</v>
      </c>
      <c r="Z40">
        <f t="shared" si="21"/>
        <v>0</v>
      </c>
      <c r="AB40">
        <f t="shared" si="6"/>
        <v>0</v>
      </c>
      <c r="AC40">
        <f t="shared" si="7"/>
        <v>0</v>
      </c>
      <c r="AD40">
        <f t="shared" si="15"/>
        <v>0</v>
      </c>
      <c r="AE40" s="113">
        <f t="shared" si="8"/>
        <v>0</v>
      </c>
      <c r="AF40">
        <f t="shared" si="18"/>
        <v>0</v>
      </c>
      <c r="AG40">
        <f t="shared" si="9"/>
        <v>0</v>
      </c>
      <c r="AH40" s="4">
        <f t="shared" si="19"/>
        <v>0</v>
      </c>
      <c r="AI40" s="4">
        <f t="shared" si="20"/>
        <v>0</v>
      </c>
    </row>
    <row r="41" spans="1:35" ht="12.75">
      <c r="A41">
        <v>4</v>
      </c>
      <c r="B41" t="s">
        <v>772</v>
      </c>
      <c r="C41" s="80" t="s">
        <v>636</v>
      </c>
      <c r="D41" t="s">
        <v>688</v>
      </c>
      <c r="E41">
        <v>0</v>
      </c>
      <c r="F41">
        <v>0</v>
      </c>
      <c r="G41" s="24">
        <v>1</v>
      </c>
      <c r="H41" s="24">
        <v>0</v>
      </c>
      <c r="I41" s="24">
        <v>0</v>
      </c>
      <c r="J41" s="24">
        <v>0</v>
      </c>
      <c r="K41" s="24">
        <v>0</v>
      </c>
      <c r="L41" s="24">
        <v>0</v>
      </c>
      <c r="T41">
        <f t="shared" si="12"/>
        <v>0</v>
      </c>
      <c r="U41">
        <f t="shared" si="13"/>
        <v>0</v>
      </c>
      <c r="X41">
        <f t="shared" si="14"/>
        <v>4</v>
      </c>
      <c r="Y41">
        <v>2</v>
      </c>
      <c r="Z41">
        <f t="shared" si="21"/>
        <v>2</v>
      </c>
      <c r="AB41">
        <f t="shared" si="6"/>
        <v>0</v>
      </c>
      <c r="AC41">
        <f t="shared" si="7"/>
        <v>2</v>
      </c>
      <c r="AD41">
        <f t="shared" si="15"/>
        <v>0</v>
      </c>
      <c r="AE41" s="113">
        <f t="shared" si="8"/>
        <v>2</v>
      </c>
      <c r="AF41">
        <f t="shared" si="18"/>
        <v>0</v>
      </c>
      <c r="AG41">
        <f t="shared" si="9"/>
        <v>2</v>
      </c>
      <c r="AH41" s="4">
        <f t="shared" si="19"/>
        <v>2</v>
      </c>
      <c r="AI41" s="4">
        <f t="shared" si="20"/>
        <v>2</v>
      </c>
    </row>
    <row r="42" spans="1:35" ht="12.75">
      <c r="A42">
        <v>4</v>
      </c>
      <c r="B42" t="s">
        <v>769</v>
      </c>
      <c r="C42" s="80" t="s">
        <v>740</v>
      </c>
      <c r="D42" t="s">
        <v>689</v>
      </c>
      <c r="E42">
        <v>0</v>
      </c>
      <c r="F42">
        <v>0</v>
      </c>
      <c r="G42" s="24">
        <v>1</v>
      </c>
      <c r="H42" s="24">
        <v>0</v>
      </c>
      <c r="I42" s="24">
        <v>1</v>
      </c>
      <c r="J42" s="24">
        <v>0</v>
      </c>
      <c r="K42" s="24">
        <v>1</v>
      </c>
      <c r="L42" s="24">
        <v>0</v>
      </c>
      <c r="T42">
        <f t="shared" si="12"/>
        <v>0</v>
      </c>
      <c r="U42">
        <f t="shared" si="13"/>
        <v>0</v>
      </c>
      <c r="X42">
        <f t="shared" si="14"/>
        <v>4</v>
      </c>
      <c r="Y42">
        <v>2</v>
      </c>
      <c r="Z42">
        <f t="shared" si="21"/>
        <v>2</v>
      </c>
      <c r="AB42">
        <f t="shared" si="6"/>
        <v>0</v>
      </c>
      <c r="AC42">
        <f t="shared" si="7"/>
        <v>2</v>
      </c>
      <c r="AD42">
        <f t="shared" si="15"/>
        <v>2</v>
      </c>
      <c r="AE42" s="113">
        <f t="shared" si="8"/>
        <v>0</v>
      </c>
      <c r="AF42">
        <f t="shared" si="18"/>
        <v>0</v>
      </c>
      <c r="AG42">
        <f t="shared" si="9"/>
        <v>0</v>
      </c>
      <c r="AH42" s="4">
        <f t="shared" si="19"/>
        <v>0</v>
      </c>
      <c r="AI42" s="4">
        <f t="shared" si="20"/>
        <v>0</v>
      </c>
    </row>
    <row r="43" spans="1:36" ht="12.75">
      <c r="A43">
        <v>114</v>
      </c>
      <c r="B43" t="s">
        <v>770</v>
      </c>
      <c r="C43" s="80" t="s">
        <v>639</v>
      </c>
      <c r="D43" t="s">
        <v>693</v>
      </c>
      <c r="E43">
        <v>0</v>
      </c>
      <c r="F43">
        <v>0</v>
      </c>
      <c r="G43" s="24">
        <v>4</v>
      </c>
      <c r="H43" s="24">
        <v>0</v>
      </c>
      <c r="I43" s="24">
        <v>4</v>
      </c>
      <c r="J43" s="24">
        <v>0</v>
      </c>
      <c r="K43" s="24">
        <v>4</v>
      </c>
      <c r="L43" s="24"/>
      <c r="Q43" s="77"/>
      <c r="T43">
        <f t="shared" si="12"/>
        <v>0</v>
      </c>
      <c r="U43">
        <f t="shared" si="13"/>
        <v>0</v>
      </c>
      <c r="X43">
        <f t="shared" si="14"/>
        <v>114</v>
      </c>
      <c r="Y43">
        <v>8</v>
      </c>
      <c r="Z43">
        <f t="shared" si="21"/>
        <v>106</v>
      </c>
      <c r="AB43">
        <f t="shared" si="6"/>
        <v>0</v>
      </c>
      <c r="AC43">
        <f t="shared" si="7"/>
        <v>106</v>
      </c>
      <c r="AD43">
        <f t="shared" si="15"/>
        <v>8</v>
      </c>
      <c r="AE43" s="113">
        <f t="shared" si="8"/>
        <v>98</v>
      </c>
      <c r="AF43">
        <f t="shared" si="18"/>
        <v>0</v>
      </c>
      <c r="AG43">
        <f t="shared" si="9"/>
        <v>98</v>
      </c>
      <c r="AH43" s="4">
        <f t="shared" si="19"/>
        <v>24.5</v>
      </c>
      <c r="AI43" s="4">
        <f t="shared" si="20"/>
        <v>24.5</v>
      </c>
      <c r="AJ43" t="s">
        <v>918</v>
      </c>
    </row>
    <row r="44" spans="1:35" ht="12.75">
      <c r="A44">
        <v>28</v>
      </c>
      <c r="B44" t="s">
        <v>784</v>
      </c>
      <c r="C44" s="80" t="s">
        <v>272</v>
      </c>
      <c r="D44" s="14" t="s">
        <v>568</v>
      </c>
      <c r="E44">
        <v>0</v>
      </c>
      <c r="F44">
        <v>0</v>
      </c>
      <c r="G44" s="24">
        <v>0</v>
      </c>
      <c r="H44" s="24">
        <v>1</v>
      </c>
      <c r="I44" s="24">
        <v>0</v>
      </c>
      <c r="J44" s="24">
        <v>0</v>
      </c>
      <c r="K44" s="24">
        <v>0</v>
      </c>
      <c r="L44" s="24">
        <v>0</v>
      </c>
      <c r="T44">
        <f t="shared" si="12"/>
        <v>0</v>
      </c>
      <c r="U44">
        <f t="shared" si="13"/>
        <v>25</v>
      </c>
      <c r="V44">
        <v>2</v>
      </c>
      <c r="W44">
        <v>23</v>
      </c>
      <c r="X44">
        <f t="shared" si="14"/>
        <v>26</v>
      </c>
      <c r="Z44">
        <f t="shared" si="21"/>
        <v>26</v>
      </c>
      <c r="AA44">
        <v>23</v>
      </c>
      <c r="AB44">
        <f t="shared" si="6"/>
        <v>0</v>
      </c>
      <c r="AC44">
        <f t="shared" si="7"/>
        <v>3</v>
      </c>
      <c r="AD44">
        <f t="shared" si="15"/>
        <v>0</v>
      </c>
      <c r="AE44" s="113">
        <f t="shared" si="8"/>
        <v>3</v>
      </c>
      <c r="AF44">
        <f t="shared" si="18"/>
        <v>0</v>
      </c>
      <c r="AG44">
        <f t="shared" si="9"/>
        <v>3</v>
      </c>
      <c r="AH44" s="4">
        <f t="shared" si="19"/>
        <v>3</v>
      </c>
      <c r="AI44" s="4">
        <f t="shared" si="20"/>
        <v>3</v>
      </c>
    </row>
    <row r="45" spans="1:35" ht="12.75">
      <c r="A45">
        <v>28</v>
      </c>
      <c r="B45" t="s">
        <v>785</v>
      </c>
      <c r="C45" s="80" t="s">
        <v>273</v>
      </c>
      <c r="D45" s="14" t="s">
        <v>569</v>
      </c>
      <c r="E45">
        <v>0</v>
      </c>
      <c r="F45">
        <v>0</v>
      </c>
      <c r="G45" s="24">
        <v>0</v>
      </c>
      <c r="H45" s="24">
        <v>1</v>
      </c>
      <c r="I45" s="24">
        <v>0</v>
      </c>
      <c r="J45" s="24">
        <v>0</v>
      </c>
      <c r="K45" s="24">
        <v>0</v>
      </c>
      <c r="L45" s="24">
        <v>0</v>
      </c>
      <c r="T45">
        <f t="shared" si="12"/>
        <v>0</v>
      </c>
      <c r="U45">
        <f t="shared" si="13"/>
        <v>25</v>
      </c>
      <c r="V45">
        <v>2</v>
      </c>
      <c r="W45">
        <v>23</v>
      </c>
      <c r="X45">
        <f t="shared" si="14"/>
        <v>26</v>
      </c>
      <c r="Z45">
        <f t="shared" si="21"/>
        <v>26</v>
      </c>
      <c r="AA45">
        <v>23</v>
      </c>
      <c r="AB45">
        <f t="shared" si="6"/>
        <v>0</v>
      </c>
      <c r="AC45">
        <f t="shared" si="7"/>
        <v>3</v>
      </c>
      <c r="AD45">
        <f t="shared" si="15"/>
        <v>0</v>
      </c>
      <c r="AE45" s="113">
        <f t="shared" si="8"/>
        <v>3</v>
      </c>
      <c r="AF45">
        <f t="shared" si="18"/>
        <v>0</v>
      </c>
      <c r="AG45">
        <f t="shared" si="9"/>
        <v>3</v>
      </c>
      <c r="AH45" s="4">
        <f t="shared" si="19"/>
        <v>3</v>
      </c>
      <c r="AI45" s="4">
        <f t="shared" si="20"/>
        <v>3</v>
      </c>
    </row>
    <row r="46" spans="1:34" ht="26.25" thickBot="1">
      <c r="A46">
        <v>25</v>
      </c>
      <c r="B46" s="1" t="s">
        <v>895</v>
      </c>
      <c r="C46" s="80" t="s">
        <v>750</v>
      </c>
      <c r="D46" s="14" t="s">
        <v>570</v>
      </c>
      <c r="E46">
        <v>0</v>
      </c>
      <c r="F46">
        <v>0</v>
      </c>
      <c r="G46" s="24">
        <v>0</v>
      </c>
      <c r="H46" s="24">
        <v>0</v>
      </c>
      <c r="I46" s="24">
        <v>0</v>
      </c>
      <c r="J46" s="24">
        <v>0</v>
      </c>
      <c r="K46" s="24">
        <v>0</v>
      </c>
      <c r="L46" s="24">
        <v>0</v>
      </c>
      <c r="T46">
        <f t="shared" si="12"/>
        <v>0</v>
      </c>
      <c r="U46">
        <v>2</v>
      </c>
      <c r="V46">
        <v>2</v>
      </c>
      <c r="W46">
        <v>23</v>
      </c>
      <c r="X46">
        <f t="shared" si="14"/>
        <v>23</v>
      </c>
      <c r="Z46">
        <f t="shared" si="21"/>
        <v>23</v>
      </c>
      <c r="AA46">
        <v>2</v>
      </c>
      <c r="AB46">
        <f t="shared" si="6"/>
        <v>21</v>
      </c>
      <c r="AC46">
        <f t="shared" si="7"/>
        <v>21</v>
      </c>
      <c r="AD46">
        <f t="shared" si="15"/>
        <v>0</v>
      </c>
      <c r="AE46" s="113">
        <f t="shared" si="8"/>
        <v>21</v>
      </c>
      <c r="AF46">
        <f t="shared" si="18"/>
        <v>0</v>
      </c>
      <c r="AG46">
        <f t="shared" si="9"/>
        <v>21</v>
      </c>
      <c r="AH46" s="4"/>
    </row>
    <row r="47" spans="1:34" s="73" customFormat="1" ht="12.75">
      <c r="A47" s="73">
        <v>2</v>
      </c>
      <c r="B47" s="73" t="s">
        <v>786</v>
      </c>
      <c r="C47" s="81" t="s">
        <v>297</v>
      </c>
      <c r="D47" s="102" t="s">
        <v>571</v>
      </c>
      <c r="E47" s="73">
        <v>0</v>
      </c>
      <c r="F47" s="73">
        <v>0</v>
      </c>
      <c r="G47" s="74">
        <v>0</v>
      </c>
      <c r="H47" s="74">
        <v>0</v>
      </c>
      <c r="I47" s="74">
        <v>0</v>
      </c>
      <c r="J47" s="74">
        <v>0</v>
      </c>
      <c r="K47" s="74">
        <v>0</v>
      </c>
      <c r="L47" s="74">
        <v>0</v>
      </c>
      <c r="M47" s="74"/>
      <c r="N47" s="74"/>
      <c r="T47" s="73">
        <f t="shared" si="12"/>
        <v>0</v>
      </c>
      <c r="U47" s="73">
        <f>H47*25</f>
        <v>0</v>
      </c>
      <c r="V47" s="73">
        <v>2</v>
      </c>
      <c r="X47" s="73">
        <f t="shared" si="14"/>
        <v>0</v>
      </c>
      <c r="Z47" s="73">
        <f t="shared" si="21"/>
        <v>0</v>
      </c>
      <c r="AB47" s="73">
        <f t="shared" si="6"/>
        <v>0</v>
      </c>
      <c r="AC47" s="73">
        <f t="shared" si="7"/>
        <v>0</v>
      </c>
      <c r="AD47" s="73">
        <f t="shared" si="15"/>
        <v>0</v>
      </c>
      <c r="AE47" s="114">
        <f t="shared" si="8"/>
        <v>0</v>
      </c>
      <c r="AF47" s="73">
        <f t="shared" si="18"/>
        <v>0</v>
      </c>
      <c r="AG47" s="73">
        <f t="shared" si="9"/>
        <v>0</v>
      </c>
      <c r="AH47" s="86"/>
    </row>
    <row r="48" spans="1:35" s="61" customFormat="1" ht="12.75">
      <c r="A48" s="61">
        <v>23</v>
      </c>
      <c r="B48" s="61" t="s">
        <v>786</v>
      </c>
      <c r="C48" s="80" t="s">
        <v>725</v>
      </c>
      <c r="D48" s="14" t="s">
        <v>571</v>
      </c>
      <c r="E48" s="61">
        <v>0</v>
      </c>
      <c r="F48" s="61">
        <v>0</v>
      </c>
      <c r="G48" s="27">
        <v>0</v>
      </c>
      <c r="H48" s="27">
        <v>1</v>
      </c>
      <c r="I48" s="27">
        <v>0</v>
      </c>
      <c r="J48" s="27">
        <v>0</v>
      </c>
      <c r="K48" s="27">
        <v>0</v>
      </c>
      <c r="L48" s="27">
        <v>0</v>
      </c>
      <c r="M48" s="27"/>
      <c r="N48" s="27"/>
      <c r="T48" s="61">
        <f t="shared" si="12"/>
        <v>0</v>
      </c>
      <c r="U48" s="61">
        <f>H48*25</f>
        <v>25</v>
      </c>
      <c r="W48" s="61">
        <v>23</v>
      </c>
      <c r="X48" s="61">
        <f t="shared" si="14"/>
        <v>23</v>
      </c>
      <c r="Z48" s="61">
        <f>X48-Y48</f>
        <v>23</v>
      </c>
      <c r="AA48" s="61">
        <v>2</v>
      </c>
      <c r="AB48">
        <f t="shared" si="6"/>
        <v>21</v>
      </c>
      <c r="AC48" s="61">
        <f>Z48-AA48</f>
        <v>21</v>
      </c>
      <c r="AD48" s="61">
        <f t="shared" si="15"/>
        <v>0</v>
      </c>
      <c r="AE48" s="113">
        <f>AC48-AD48</f>
        <v>21</v>
      </c>
      <c r="AF48" s="61">
        <f t="shared" si="18"/>
        <v>0</v>
      </c>
      <c r="AG48" s="61">
        <f>AE48-AF48</f>
        <v>21</v>
      </c>
      <c r="AH48" s="88">
        <f aca="true" t="shared" si="22" ref="AH48:AH79">AG48/MAX(E48:L48)</f>
        <v>21</v>
      </c>
      <c r="AI48" s="4">
        <f aca="true" t="shared" si="23" ref="AI48:AI79">AH48+M48/MAX(E48:L48)</f>
        <v>21</v>
      </c>
    </row>
    <row r="49" spans="2:35" s="71" customFormat="1" ht="13.5" thickBot="1">
      <c r="B49" s="71" t="s">
        <v>786</v>
      </c>
      <c r="C49" s="82" t="s">
        <v>620</v>
      </c>
      <c r="D49" s="103" t="s">
        <v>571</v>
      </c>
      <c r="E49" s="71">
        <v>0</v>
      </c>
      <c r="F49" s="71">
        <v>0</v>
      </c>
      <c r="G49" s="72">
        <v>0</v>
      </c>
      <c r="H49" s="72">
        <v>1</v>
      </c>
      <c r="I49" s="72">
        <v>0</v>
      </c>
      <c r="J49" s="72">
        <v>0</v>
      </c>
      <c r="K49" s="72">
        <v>0</v>
      </c>
      <c r="L49" s="72">
        <v>0</v>
      </c>
      <c r="M49" s="72"/>
      <c r="N49" s="72"/>
      <c r="AB49" s="71">
        <f t="shared" si="6"/>
        <v>0</v>
      </c>
      <c r="AE49" s="64"/>
      <c r="AF49" s="71">
        <f t="shared" si="18"/>
        <v>0</v>
      </c>
      <c r="AG49" s="71">
        <f t="shared" si="9"/>
        <v>0</v>
      </c>
      <c r="AH49" s="87">
        <f t="shared" si="22"/>
        <v>0</v>
      </c>
      <c r="AI49" s="87">
        <f t="shared" si="23"/>
        <v>0</v>
      </c>
    </row>
    <row r="50" spans="1:35" ht="12.75">
      <c r="A50">
        <v>0</v>
      </c>
      <c r="B50" t="s">
        <v>787</v>
      </c>
      <c r="C50" s="80" t="s">
        <v>746</v>
      </c>
      <c r="D50" s="14" t="s">
        <v>572</v>
      </c>
      <c r="E50">
        <v>0</v>
      </c>
      <c r="F50">
        <v>0</v>
      </c>
      <c r="G50" s="24">
        <v>0</v>
      </c>
      <c r="H50" s="24">
        <v>1</v>
      </c>
      <c r="I50" s="24">
        <v>0</v>
      </c>
      <c r="J50" s="24">
        <v>0</v>
      </c>
      <c r="K50" s="24">
        <v>0</v>
      </c>
      <c r="L50" s="24">
        <v>0</v>
      </c>
      <c r="T50">
        <f aca="true" t="shared" si="24" ref="T50:T71">F50*2</f>
        <v>0</v>
      </c>
      <c r="U50">
        <v>0</v>
      </c>
      <c r="V50">
        <v>0</v>
      </c>
      <c r="X50">
        <f aca="true" t="shared" si="25" ref="X50:X93">A50-T50-V50</f>
        <v>0</v>
      </c>
      <c r="Z50">
        <f t="shared" si="21"/>
        <v>0</v>
      </c>
      <c r="AB50">
        <f t="shared" si="6"/>
        <v>0</v>
      </c>
      <c r="AC50">
        <f t="shared" si="7"/>
        <v>0</v>
      </c>
      <c r="AD50">
        <f aca="true" t="shared" si="26" ref="AD50:AD70">I50*2</f>
        <v>0</v>
      </c>
      <c r="AE50" s="113">
        <f t="shared" si="8"/>
        <v>0</v>
      </c>
      <c r="AF50">
        <f t="shared" si="18"/>
        <v>0</v>
      </c>
      <c r="AG50">
        <f t="shared" si="9"/>
        <v>0</v>
      </c>
      <c r="AH50" s="4">
        <f t="shared" si="22"/>
        <v>0</v>
      </c>
      <c r="AI50" s="4">
        <f t="shared" si="23"/>
        <v>0</v>
      </c>
    </row>
    <row r="51" spans="1:35" ht="12.75">
      <c r="A51">
        <v>25</v>
      </c>
      <c r="B51" t="s">
        <v>788</v>
      </c>
      <c r="C51" s="80" t="s">
        <v>726</v>
      </c>
      <c r="D51" s="14" t="s">
        <v>573</v>
      </c>
      <c r="E51">
        <v>0</v>
      </c>
      <c r="F51">
        <v>0</v>
      </c>
      <c r="G51" s="24">
        <v>0</v>
      </c>
      <c r="H51" s="24">
        <v>1</v>
      </c>
      <c r="I51" s="24">
        <v>0</v>
      </c>
      <c r="J51" s="24">
        <v>0</v>
      </c>
      <c r="K51" s="24">
        <v>0</v>
      </c>
      <c r="L51" s="24">
        <v>0</v>
      </c>
      <c r="T51">
        <f t="shared" si="24"/>
        <v>0</v>
      </c>
      <c r="U51">
        <f aca="true" t="shared" si="27" ref="U51:U71">H51*25</f>
        <v>25</v>
      </c>
      <c r="V51">
        <v>2</v>
      </c>
      <c r="W51">
        <v>23</v>
      </c>
      <c r="X51">
        <f t="shared" si="25"/>
        <v>23</v>
      </c>
      <c r="Z51">
        <f>X51-Y51</f>
        <v>23</v>
      </c>
      <c r="AA51">
        <v>2</v>
      </c>
      <c r="AB51">
        <f t="shared" si="6"/>
        <v>21</v>
      </c>
      <c r="AC51">
        <f>Z51-AA51</f>
        <v>21</v>
      </c>
      <c r="AD51">
        <f t="shared" si="26"/>
        <v>0</v>
      </c>
      <c r="AE51" s="113">
        <f>AC51-AD51</f>
        <v>21</v>
      </c>
      <c r="AF51">
        <f t="shared" si="18"/>
        <v>0</v>
      </c>
      <c r="AG51">
        <f t="shared" si="9"/>
        <v>21</v>
      </c>
      <c r="AH51" s="4">
        <f t="shared" si="22"/>
        <v>21</v>
      </c>
      <c r="AI51" s="4">
        <f t="shared" si="23"/>
        <v>21</v>
      </c>
    </row>
    <row r="52" spans="1:35" ht="12.75">
      <c r="A52">
        <v>26</v>
      </c>
      <c r="B52" t="s">
        <v>789</v>
      </c>
      <c r="C52" s="80" t="s">
        <v>751</v>
      </c>
      <c r="D52" s="14" t="s">
        <v>574</v>
      </c>
      <c r="E52">
        <v>0</v>
      </c>
      <c r="F52">
        <v>0</v>
      </c>
      <c r="G52" s="24">
        <v>0</v>
      </c>
      <c r="H52" s="24">
        <v>1</v>
      </c>
      <c r="I52" s="24">
        <v>0</v>
      </c>
      <c r="J52" s="24">
        <v>0</v>
      </c>
      <c r="K52" s="24">
        <v>0</v>
      </c>
      <c r="L52" s="24">
        <v>0</v>
      </c>
      <c r="T52">
        <f t="shared" si="24"/>
        <v>0</v>
      </c>
      <c r="U52">
        <f t="shared" si="27"/>
        <v>25</v>
      </c>
      <c r="V52">
        <v>2</v>
      </c>
      <c r="W52">
        <v>23</v>
      </c>
      <c r="X52">
        <f t="shared" si="25"/>
        <v>24</v>
      </c>
      <c r="Z52">
        <f t="shared" si="21"/>
        <v>24</v>
      </c>
      <c r="AA52">
        <v>2</v>
      </c>
      <c r="AB52">
        <f t="shared" si="6"/>
        <v>21</v>
      </c>
      <c r="AC52">
        <f t="shared" si="7"/>
        <v>22</v>
      </c>
      <c r="AD52">
        <f t="shared" si="26"/>
        <v>0</v>
      </c>
      <c r="AE52" s="113">
        <f t="shared" si="8"/>
        <v>22</v>
      </c>
      <c r="AF52">
        <f t="shared" si="18"/>
        <v>0</v>
      </c>
      <c r="AG52">
        <f t="shared" si="9"/>
        <v>22</v>
      </c>
      <c r="AH52" s="4">
        <f t="shared" si="22"/>
        <v>22</v>
      </c>
      <c r="AI52" s="4">
        <f t="shared" si="23"/>
        <v>22</v>
      </c>
    </row>
    <row r="53" spans="1:35" ht="12.75">
      <c r="A53">
        <v>26</v>
      </c>
      <c r="B53" t="s">
        <v>790</v>
      </c>
      <c r="C53" s="80" t="s">
        <v>294</v>
      </c>
      <c r="D53" s="14" t="s">
        <v>575</v>
      </c>
      <c r="E53">
        <v>0</v>
      </c>
      <c r="F53">
        <v>0</v>
      </c>
      <c r="G53" s="24">
        <v>0</v>
      </c>
      <c r="H53" s="24">
        <v>1</v>
      </c>
      <c r="I53" s="24">
        <v>0</v>
      </c>
      <c r="J53" s="24">
        <v>0</v>
      </c>
      <c r="K53" s="24">
        <v>0</v>
      </c>
      <c r="L53" s="24">
        <v>0</v>
      </c>
      <c r="T53">
        <f t="shared" si="24"/>
        <v>0</v>
      </c>
      <c r="U53">
        <f t="shared" si="27"/>
        <v>25</v>
      </c>
      <c r="V53">
        <v>2</v>
      </c>
      <c r="W53">
        <v>23</v>
      </c>
      <c r="X53">
        <f t="shared" si="25"/>
        <v>24</v>
      </c>
      <c r="Z53">
        <f t="shared" si="21"/>
        <v>24</v>
      </c>
      <c r="AA53">
        <v>23</v>
      </c>
      <c r="AB53">
        <f t="shared" si="6"/>
        <v>0</v>
      </c>
      <c r="AC53">
        <f t="shared" si="7"/>
        <v>1</v>
      </c>
      <c r="AD53">
        <f t="shared" si="26"/>
        <v>0</v>
      </c>
      <c r="AE53" s="113">
        <f t="shared" si="8"/>
        <v>1</v>
      </c>
      <c r="AF53">
        <f t="shared" si="18"/>
        <v>0</v>
      </c>
      <c r="AG53">
        <f t="shared" si="9"/>
        <v>1</v>
      </c>
      <c r="AH53" s="4">
        <f t="shared" si="22"/>
        <v>1</v>
      </c>
      <c r="AI53" s="4">
        <f t="shared" si="23"/>
        <v>1</v>
      </c>
    </row>
    <row r="54" spans="1:35" ht="12.75">
      <c r="A54">
        <v>51</v>
      </c>
      <c r="B54" t="s">
        <v>791</v>
      </c>
      <c r="C54" s="80" t="s">
        <v>230</v>
      </c>
      <c r="D54" s="14" t="s">
        <v>578</v>
      </c>
      <c r="E54">
        <v>0</v>
      </c>
      <c r="F54">
        <v>0</v>
      </c>
      <c r="G54" s="24">
        <v>0</v>
      </c>
      <c r="H54" s="24">
        <v>2</v>
      </c>
      <c r="I54" s="24">
        <v>0</v>
      </c>
      <c r="J54" s="24">
        <v>0</v>
      </c>
      <c r="K54" s="24">
        <v>0</v>
      </c>
      <c r="L54" s="24">
        <v>0</v>
      </c>
      <c r="T54">
        <f t="shared" si="24"/>
        <v>0</v>
      </c>
      <c r="U54">
        <f t="shared" si="27"/>
        <v>50</v>
      </c>
      <c r="V54">
        <v>4</v>
      </c>
      <c r="W54">
        <v>46</v>
      </c>
      <c r="X54">
        <f t="shared" si="25"/>
        <v>47</v>
      </c>
      <c r="Z54">
        <f t="shared" si="21"/>
        <v>47</v>
      </c>
      <c r="AA54">
        <v>46</v>
      </c>
      <c r="AB54">
        <f t="shared" si="6"/>
        <v>0</v>
      </c>
      <c r="AC54">
        <f t="shared" si="7"/>
        <v>1</v>
      </c>
      <c r="AD54">
        <f t="shared" si="26"/>
        <v>0</v>
      </c>
      <c r="AE54" s="113">
        <f t="shared" si="8"/>
        <v>1</v>
      </c>
      <c r="AF54">
        <f t="shared" si="18"/>
        <v>0</v>
      </c>
      <c r="AG54">
        <f t="shared" si="9"/>
        <v>1</v>
      </c>
      <c r="AH54" s="4">
        <f t="shared" si="22"/>
        <v>0.5</v>
      </c>
      <c r="AI54" s="4">
        <f t="shared" si="23"/>
        <v>0.5</v>
      </c>
    </row>
    <row r="55" spans="1:36" ht="12.75">
      <c r="A55">
        <v>62</v>
      </c>
      <c r="B55" t="s">
        <v>792</v>
      </c>
      <c r="C55" s="80" t="s">
        <v>276</v>
      </c>
      <c r="D55" s="14" t="s">
        <v>579</v>
      </c>
      <c r="E55">
        <v>0</v>
      </c>
      <c r="F55">
        <v>0</v>
      </c>
      <c r="G55" s="24">
        <v>0</v>
      </c>
      <c r="H55" s="24">
        <v>1</v>
      </c>
      <c r="I55" s="24">
        <v>0</v>
      </c>
      <c r="J55" s="24">
        <v>0</v>
      </c>
      <c r="K55" s="24">
        <v>0</v>
      </c>
      <c r="L55" s="24">
        <v>0</v>
      </c>
      <c r="M55" s="25"/>
      <c r="N55" s="25"/>
      <c r="O55" s="1"/>
      <c r="P55" s="1"/>
      <c r="Q55" s="1"/>
      <c r="T55">
        <f t="shared" si="24"/>
        <v>0</v>
      </c>
      <c r="U55">
        <f t="shared" si="27"/>
        <v>25</v>
      </c>
      <c r="V55">
        <v>2</v>
      </c>
      <c r="W55">
        <v>23</v>
      </c>
      <c r="X55">
        <f t="shared" si="25"/>
        <v>60</v>
      </c>
      <c r="Z55">
        <f t="shared" si="21"/>
        <v>60</v>
      </c>
      <c r="AA55">
        <v>2</v>
      </c>
      <c r="AB55">
        <f t="shared" si="6"/>
        <v>21</v>
      </c>
      <c r="AC55">
        <f t="shared" si="7"/>
        <v>58</v>
      </c>
      <c r="AD55">
        <f t="shared" si="26"/>
        <v>0</v>
      </c>
      <c r="AE55" s="113">
        <f t="shared" si="8"/>
        <v>58</v>
      </c>
      <c r="AF55">
        <f t="shared" si="18"/>
        <v>0</v>
      </c>
      <c r="AG55">
        <f t="shared" si="9"/>
        <v>58</v>
      </c>
      <c r="AH55" s="4">
        <f t="shared" si="22"/>
        <v>58</v>
      </c>
      <c r="AI55" s="4">
        <f t="shared" si="23"/>
        <v>58</v>
      </c>
      <c r="AJ55" t="s">
        <v>918</v>
      </c>
    </row>
    <row r="56" spans="1:36" ht="12.75">
      <c r="A56">
        <v>155</v>
      </c>
      <c r="B56" t="s">
        <v>793</v>
      </c>
      <c r="C56" s="80" t="s">
        <v>277</v>
      </c>
      <c r="D56" s="14" t="s">
        <v>580</v>
      </c>
      <c r="E56">
        <v>0</v>
      </c>
      <c r="F56">
        <v>0</v>
      </c>
      <c r="G56" s="24">
        <v>0</v>
      </c>
      <c r="H56" s="24">
        <v>1</v>
      </c>
      <c r="I56" s="24">
        <v>0</v>
      </c>
      <c r="J56" s="24">
        <v>0</v>
      </c>
      <c r="K56" s="24">
        <v>0</v>
      </c>
      <c r="L56" s="24">
        <v>0</v>
      </c>
      <c r="N56" s="25"/>
      <c r="O56" s="1"/>
      <c r="Q56" s="1"/>
      <c r="T56">
        <f t="shared" si="24"/>
        <v>0</v>
      </c>
      <c r="U56">
        <f t="shared" si="27"/>
        <v>25</v>
      </c>
      <c r="V56">
        <v>2</v>
      </c>
      <c r="W56">
        <v>23</v>
      </c>
      <c r="X56">
        <f t="shared" si="25"/>
        <v>153</v>
      </c>
      <c r="Z56">
        <f t="shared" si="21"/>
        <v>153</v>
      </c>
      <c r="AA56">
        <v>2</v>
      </c>
      <c r="AB56">
        <f t="shared" si="6"/>
        <v>21</v>
      </c>
      <c r="AC56">
        <f t="shared" si="7"/>
        <v>151</v>
      </c>
      <c r="AD56">
        <f t="shared" si="26"/>
        <v>0</v>
      </c>
      <c r="AE56" s="113">
        <f t="shared" si="8"/>
        <v>151</v>
      </c>
      <c r="AF56">
        <f t="shared" si="18"/>
        <v>0</v>
      </c>
      <c r="AG56">
        <f t="shared" si="9"/>
        <v>151</v>
      </c>
      <c r="AH56" s="4">
        <f t="shared" si="22"/>
        <v>151</v>
      </c>
      <c r="AI56" s="4">
        <f t="shared" si="23"/>
        <v>151</v>
      </c>
      <c r="AJ56" t="s">
        <v>918</v>
      </c>
    </row>
    <row r="57" spans="1:35" ht="12.75">
      <c r="A57">
        <v>102</v>
      </c>
      <c r="B57" t="s">
        <v>279</v>
      </c>
      <c r="C57" s="80" t="s">
        <v>280</v>
      </c>
      <c r="D57" s="14" t="s">
        <v>583</v>
      </c>
      <c r="E57">
        <v>0</v>
      </c>
      <c r="F57">
        <v>0</v>
      </c>
      <c r="G57" s="24">
        <v>0</v>
      </c>
      <c r="H57" s="24">
        <v>4</v>
      </c>
      <c r="I57" s="24">
        <v>0</v>
      </c>
      <c r="J57" s="24">
        <v>0</v>
      </c>
      <c r="K57" s="24">
        <v>0</v>
      </c>
      <c r="L57" s="24">
        <v>0</v>
      </c>
      <c r="T57">
        <f t="shared" si="24"/>
        <v>0</v>
      </c>
      <c r="U57">
        <f t="shared" si="27"/>
        <v>100</v>
      </c>
      <c r="V57">
        <v>8</v>
      </c>
      <c r="W57">
        <v>92</v>
      </c>
      <c r="X57">
        <f t="shared" si="25"/>
        <v>94</v>
      </c>
      <c r="Z57">
        <f t="shared" si="21"/>
        <v>94</v>
      </c>
      <c r="AA57">
        <v>92</v>
      </c>
      <c r="AB57">
        <f t="shared" si="6"/>
        <v>0</v>
      </c>
      <c r="AC57">
        <f t="shared" si="7"/>
        <v>2</v>
      </c>
      <c r="AD57">
        <f t="shared" si="26"/>
        <v>0</v>
      </c>
      <c r="AE57" s="113">
        <f t="shared" si="8"/>
        <v>2</v>
      </c>
      <c r="AF57">
        <f t="shared" si="18"/>
        <v>0</v>
      </c>
      <c r="AG57">
        <f t="shared" si="9"/>
        <v>2</v>
      </c>
      <c r="AH57" s="4">
        <f t="shared" si="22"/>
        <v>0.5</v>
      </c>
      <c r="AI57" s="4">
        <f t="shared" si="23"/>
        <v>0.5</v>
      </c>
    </row>
    <row r="58" spans="1:36" ht="12.75">
      <c r="A58">
        <f>55+475</f>
        <v>530</v>
      </c>
      <c r="B58" t="s">
        <v>794</v>
      </c>
      <c r="C58" s="80" t="s">
        <v>285</v>
      </c>
      <c r="D58" t="s">
        <v>593</v>
      </c>
      <c r="E58">
        <v>0</v>
      </c>
      <c r="F58">
        <v>0</v>
      </c>
      <c r="G58" s="24">
        <v>2</v>
      </c>
      <c r="H58" s="24">
        <v>2</v>
      </c>
      <c r="I58" s="24">
        <v>2</v>
      </c>
      <c r="J58" s="24">
        <v>0</v>
      </c>
      <c r="K58" s="24">
        <v>2</v>
      </c>
      <c r="L58" s="24">
        <v>0</v>
      </c>
      <c r="Q58" s="79"/>
      <c r="T58">
        <f t="shared" si="24"/>
        <v>0</v>
      </c>
      <c r="U58">
        <f t="shared" si="27"/>
        <v>50</v>
      </c>
      <c r="V58">
        <v>51</v>
      </c>
      <c r="X58">
        <f t="shared" si="25"/>
        <v>479</v>
      </c>
      <c r="Y58">
        <v>4</v>
      </c>
      <c r="Z58">
        <f t="shared" si="21"/>
        <v>475</v>
      </c>
      <c r="AB58">
        <f t="shared" si="6"/>
        <v>0</v>
      </c>
      <c r="AC58">
        <f t="shared" si="7"/>
        <v>475</v>
      </c>
      <c r="AD58">
        <f t="shared" si="26"/>
        <v>4</v>
      </c>
      <c r="AE58" s="113">
        <f t="shared" si="8"/>
        <v>471</v>
      </c>
      <c r="AF58">
        <f t="shared" si="18"/>
        <v>0</v>
      </c>
      <c r="AG58">
        <f t="shared" si="9"/>
        <v>471</v>
      </c>
      <c r="AH58" s="4">
        <f t="shared" si="22"/>
        <v>235.5</v>
      </c>
      <c r="AI58" s="4">
        <f t="shared" si="23"/>
        <v>235.5</v>
      </c>
      <c r="AJ58" t="s">
        <v>917</v>
      </c>
    </row>
    <row r="59" spans="1:36" ht="12.75">
      <c r="A59">
        <f>60+475</f>
        <v>535</v>
      </c>
      <c r="B59" t="s">
        <v>795</v>
      </c>
      <c r="C59" s="80" t="s">
        <v>285</v>
      </c>
      <c r="D59" t="s">
        <v>594</v>
      </c>
      <c r="E59">
        <v>0</v>
      </c>
      <c r="F59">
        <v>0</v>
      </c>
      <c r="G59" s="24">
        <v>2</v>
      </c>
      <c r="H59" s="24">
        <v>2</v>
      </c>
      <c r="I59" s="24">
        <v>2</v>
      </c>
      <c r="J59" s="24">
        <v>0</v>
      </c>
      <c r="K59" s="24">
        <v>2</v>
      </c>
      <c r="L59" s="24">
        <v>0</v>
      </c>
      <c r="Q59" s="79"/>
      <c r="T59">
        <f t="shared" si="24"/>
        <v>0</v>
      </c>
      <c r="U59">
        <f t="shared" si="27"/>
        <v>50</v>
      </c>
      <c r="V59">
        <v>50</v>
      </c>
      <c r="X59">
        <f t="shared" si="25"/>
        <v>485</v>
      </c>
      <c r="Y59">
        <v>4</v>
      </c>
      <c r="Z59">
        <f t="shared" si="21"/>
        <v>481</v>
      </c>
      <c r="AB59">
        <f t="shared" si="6"/>
        <v>0</v>
      </c>
      <c r="AC59">
        <f t="shared" si="7"/>
        <v>481</v>
      </c>
      <c r="AD59">
        <f t="shared" si="26"/>
        <v>4</v>
      </c>
      <c r="AE59" s="113">
        <f t="shared" si="8"/>
        <v>477</v>
      </c>
      <c r="AF59">
        <f t="shared" si="18"/>
        <v>0</v>
      </c>
      <c r="AG59">
        <f t="shared" si="9"/>
        <v>477</v>
      </c>
      <c r="AH59" s="4">
        <f t="shared" si="22"/>
        <v>238.5</v>
      </c>
      <c r="AI59" s="4">
        <f t="shared" si="23"/>
        <v>238.5</v>
      </c>
      <c r="AJ59" t="s">
        <v>917</v>
      </c>
    </row>
    <row r="60" spans="1:36" ht="12.75">
      <c r="A60">
        <f>177+1425</f>
        <v>1602</v>
      </c>
      <c r="B60" t="s">
        <v>796</v>
      </c>
      <c r="C60" s="80" t="s">
        <v>285</v>
      </c>
      <c r="D60" t="s">
        <v>595</v>
      </c>
      <c r="E60">
        <v>0</v>
      </c>
      <c r="F60">
        <v>0</v>
      </c>
      <c r="G60" s="24">
        <v>6</v>
      </c>
      <c r="H60" s="24">
        <v>6</v>
      </c>
      <c r="I60" s="24">
        <v>6</v>
      </c>
      <c r="J60" s="24">
        <v>0</v>
      </c>
      <c r="K60" s="24">
        <v>6</v>
      </c>
      <c r="L60" s="24">
        <v>0</v>
      </c>
      <c r="Q60" s="79"/>
      <c r="T60">
        <f t="shared" si="24"/>
        <v>0</v>
      </c>
      <c r="U60">
        <f t="shared" si="27"/>
        <v>150</v>
      </c>
      <c r="V60">
        <v>150</v>
      </c>
      <c r="X60">
        <f t="shared" si="25"/>
        <v>1452</v>
      </c>
      <c r="Y60">
        <v>12</v>
      </c>
      <c r="Z60">
        <f t="shared" si="21"/>
        <v>1440</v>
      </c>
      <c r="AB60">
        <f t="shared" si="6"/>
        <v>0</v>
      </c>
      <c r="AC60">
        <f t="shared" si="7"/>
        <v>1440</v>
      </c>
      <c r="AD60">
        <f t="shared" si="26"/>
        <v>12</v>
      </c>
      <c r="AE60" s="113">
        <f t="shared" si="8"/>
        <v>1428</v>
      </c>
      <c r="AF60">
        <f t="shared" si="18"/>
        <v>0</v>
      </c>
      <c r="AG60">
        <f t="shared" si="9"/>
        <v>1428</v>
      </c>
      <c r="AH60" s="4">
        <f t="shared" si="22"/>
        <v>238</v>
      </c>
      <c r="AI60" s="4">
        <f t="shared" si="23"/>
        <v>238</v>
      </c>
      <c r="AJ60" t="s">
        <v>917</v>
      </c>
    </row>
    <row r="61" spans="1:36" ht="12.75">
      <c r="A61">
        <f>58+60</f>
        <v>118</v>
      </c>
      <c r="B61" t="s">
        <v>157</v>
      </c>
      <c r="C61" s="80" t="s">
        <v>245</v>
      </c>
      <c r="D61" s="14" t="s">
        <v>556</v>
      </c>
      <c r="E61">
        <v>2</v>
      </c>
      <c r="F61">
        <v>2</v>
      </c>
      <c r="G61" s="24">
        <v>2</v>
      </c>
      <c r="H61" s="24">
        <v>2</v>
      </c>
      <c r="I61" s="24">
        <v>2</v>
      </c>
      <c r="J61" s="24">
        <v>2</v>
      </c>
      <c r="K61" s="24">
        <v>2</v>
      </c>
      <c r="L61" s="24">
        <v>0</v>
      </c>
      <c r="O61" s="1"/>
      <c r="P61" s="1"/>
      <c r="Q61" s="77"/>
      <c r="R61" s="1"/>
      <c r="T61">
        <f t="shared" si="24"/>
        <v>4</v>
      </c>
      <c r="U61">
        <f t="shared" si="27"/>
        <v>50</v>
      </c>
      <c r="V61">
        <v>4</v>
      </c>
      <c r="W61">
        <v>46</v>
      </c>
      <c r="X61">
        <f t="shared" si="25"/>
        <v>110</v>
      </c>
      <c r="Y61">
        <v>4</v>
      </c>
      <c r="Z61">
        <f t="shared" si="21"/>
        <v>106</v>
      </c>
      <c r="AA61">
        <v>4</v>
      </c>
      <c r="AB61">
        <f t="shared" si="6"/>
        <v>42</v>
      </c>
      <c r="AC61">
        <f t="shared" si="7"/>
        <v>102</v>
      </c>
      <c r="AD61">
        <f t="shared" si="26"/>
        <v>4</v>
      </c>
      <c r="AE61" s="113">
        <f t="shared" si="8"/>
        <v>98</v>
      </c>
      <c r="AF61">
        <f t="shared" si="18"/>
        <v>2</v>
      </c>
      <c r="AG61">
        <f t="shared" si="9"/>
        <v>96</v>
      </c>
      <c r="AH61" s="4">
        <f t="shared" si="22"/>
        <v>48</v>
      </c>
      <c r="AI61" s="4">
        <f t="shared" si="23"/>
        <v>48</v>
      </c>
      <c r="AJ61" t="s">
        <v>918</v>
      </c>
    </row>
    <row r="62" spans="1:36" ht="12.75">
      <c r="A62">
        <v>26</v>
      </c>
      <c r="B62" t="s">
        <v>797</v>
      </c>
      <c r="C62" s="80" t="s">
        <v>603</v>
      </c>
      <c r="D62" s="14" t="s">
        <v>591</v>
      </c>
      <c r="E62">
        <v>0</v>
      </c>
      <c r="F62">
        <v>0</v>
      </c>
      <c r="G62" s="24">
        <v>0</v>
      </c>
      <c r="H62" s="24">
        <v>1</v>
      </c>
      <c r="I62" s="24">
        <v>0</v>
      </c>
      <c r="J62" s="24">
        <v>0</v>
      </c>
      <c r="K62" s="24">
        <v>0</v>
      </c>
      <c r="L62" s="24">
        <v>0</v>
      </c>
      <c r="T62">
        <f t="shared" si="24"/>
        <v>0</v>
      </c>
      <c r="U62">
        <f t="shared" si="27"/>
        <v>25</v>
      </c>
      <c r="V62">
        <v>0</v>
      </c>
      <c r="W62">
        <v>25</v>
      </c>
      <c r="X62">
        <f t="shared" si="25"/>
        <v>26</v>
      </c>
      <c r="Z62">
        <f t="shared" si="21"/>
        <v>26</v>
      </c>
      <c r="AA62">
        <v>2</v>
      </c>
      <c r="AB62">
        <f t="shared" si="6"/>
        <v>23</v>
      </c>
      <c r="AC62">
        <f t="shared" si="7"/>
        <v>24</v>
      </c>
      <c r="AD62">
        <f t="shared" si="26"/>
        <v>0</v>
      </c>
      <c r="AE62" s="113">
        <f t="shared" si="8"/>
        <v>24</v>
      </c>
      <c r="AF62">
        <f t="shared" si="18"/>
        <v>0</v>
      </c>
      <c r="AG62">
        <f t="shared" si="9"/>
        <v>24</v>
      </c>
      <c r="AH62" s="4">
        <f t="shared" si="22"/>
        <v>24</v>
      </c>
      <c r="AI62" s="4">
        <f t="shared" si="23"/>
        <v>24</v>
      </c>
      <c r="AJ62" t="s">
        <v>918</v>
      </c>
    </row>
    <row r="63" spans="1:35" ht="12.75">
      <c r="A63">
        <v>2</v>
      </c>
      <c r="B63" t="s">
        <v>799</v>
      </c>
      <c r="C63" s="80" t="s">
        <v>804</v>
      </c>
      <c r="D63" s="100"/>
      <c r="E63">
        <v>1</v>
      </c>
      <c r="F63">
        <v>1</v>
      </c>
      <c r="G63" s="24">
        <v>0</v>
      </c>
      <c r="H63" s="24">
        <v>0</v>
      </c>
      <c r="I63" s="24">
        <v>0</v>
      </c>
      <c r="J63" s="24">
        <v>0</v>
      </c>
      <c r="K63" s="24">
        <v>0</v>
      </c>
      <c r="L63" s="24">
        <v>0</v>
      </c>
      <c r="T63">
        <f t="shared" si="24"/>
        <v>2</v>
      </c>
      <c r="U63">
        <f t="shared" si="27"/>
        <v>0</v>
      </c>
      <c r="X63">
        <f t="shared" si="25"/>
        <v>0</v>
      </c>
      <c r="Z63">
        <f t="shared" si="21"/>
        <v>0</v>
      </c>
      <c r="AB63">
        <f t="shared" si="6"/>
        <v>0</v>
      </c>
      <c r="AC63">
        <f t="shared" si="7"/>
        <v>0</v>
      </c>
      <c r="AD63">
        <f t="shared" si="26"/>
        <v>0</v>
      </c>
      <c r="AE63" s="113">
        <f t="shared" si="8"/>
        <v>0</v>
      </c>
      <c r="AF63">
        <f t="shared" si="18"/>
        <v>1</v>
      </c>
      <c r="AG63">
        <f t="shared" si="9"/>
        <v>-1</v>
      </c>
      <c r="AH63" s="4">
        <f t="shared" si="22"/>
        <v>-1</v>
      </c>
      <c r="AI63" s="4">
        <f t="shared" si="23"/>
        <v>-1</v>
      </c>
    </row>
    <row r="64" spans="1:35" ht="12.75">
      <c r="A64">
        <v>2</v>
      </c>
      <c r="B64" t="s">
        <v>800</v>
      </c>
      <c r="C64" s="80" t="s">
        <v>805</v>
      </c>
      <c r="D64" s="100"/>
      <c r="E64">
        <v>1</v>
      </c>
      <c r="F64">
        <v>1</v>
      </c>
      <c r="G64" s="24">
        <v>0</v>
      </c>
      <c r="H64" s="24">
        <v>0</v>
      </c>
      <c r="I64" s="24">
        <v>0</v>
      </c>
      <c r="J64" s="24">
        <v>0</v>
      </c>
      <c r="K64" s="24">
        <v>0</v>
      </c>
      <c r="L64" s="24">
        <v>0</v>
      </c>
      <c r="T64">
        <f t="shared" si="24"/>
        <v>2</v>
      </c>
      <c r="U64">
        <f t="shared" si="27"/>
        <v>0</v>
      </c>
      <c r="X64">
        <f t="shared" si="25"/>
        <v>0</v>
      </c>
      <c r="Z64">
        <f t="shared" si="21"/>
        <v>0</v>
      </c>
      <c r="AB64">
        <f t="shared" si="6"/>
        <v>0</v>
      </c>
      <c r="AC64">
        <f t="shared" si="7"/>
        <v>0</v>
      </c>
      <c r="AD64">
        <f t="shared" si="26"/>
        <v>0</v>
      </c>
      <c r="AE64" s="113">
        <f t="shared" si="8"/>
        <v>0</v>
      </c>
      <c r="AF64">
        <f t="shared" si="18"/>
        <v>1</v>
      </c>
      <c r="AG64">
        <f t="shared" si="9"/>
        <v>-1</v>
      </c>
      <c r="AH64" s="4">
        <f t="shared" si="22"/>
        <v>-1</v>
      </c>
      <c r="AI64" s="4">
        <f t="shared" si="23"/>
        <v>-1</v>
      </c>
    </row>
    <row r="65" spans="1:35" ht="12.75">
      <c r="A65">
        <v>2</v>
      </c>
      <c r="B65" t="s">
        <v>801</v>
      </c>
      <c r="C65" s="80" t="s">
        <v>806</v>
      </c>
      <c r="D65" s="100"/>
      <c r="E65">
        <v>1</v>
      </c>
      <c r="F65">
        <v>1</v>
      </c>
      <c r="G65" s="24">
        <v>0</v>
      </c>
      <c r="H65" s="24">
        <v>0</v>
      </c>
      <c r="I65" s="24">
        <v>0</v>
      </c>
      <c r="J65" s="24">
        <v>0</v>
      </c>
      <c r="K65" s="24">
        <v>0</v>
      </c>
      <c r="L65" s="24">
        <v>0</v>
      </c>
      <c r="T65">
        <f t="shared" si="24"/>
        <v>2</v>
      </c>
      <c r="U65">
        <f t="shared" si="27"/>
        <v>0</v>
      </c>
      <c r="X65">
        <f t="shared" si="25"/>
        <v>0</v>
      </c>
      <c r="Z65">
        <f t="shared" si="21"/>
        <v>0</v>
      </c>
      <c r="AB65">
        <f t="shared" si="6"/>
        <v>0</v>
      </c>
      <c r="AC65">
        <f t="shared" si="7"/>
        <v>0</v>
      </c>
      <c r="AD65">
        <f t="shared" si="26"/>
        <v>0</v>
      </c>
      <c r="AE65" s="113">
        <f t="shared" si="8"/>
        <v>0</v>
      </c>
      <c r="AF65">
        <f t="shared" si="18"/>
        <v>1</v>
      </c>
      <c r="AG65">
        <f t="shared" si="9"/>
        <v>-1</v>
      </c>
      <c r="AH65" s="4">
        <f t="shared" si="22"/>
        <v>-1</v>
      </c>
      <c r="AI65" s="4">
        <f t="shared" si="23"/>
        <v>-1</v>
      </c>
    </row>
    <row r="66" spans="1:35" ht="12.75">
      <c r="A66">
        <v>2</v>
      </c>
      <c r="B66" t="s">
        <v>802</v>
      </c>
      <c r="C66" s="80" t="s">
        <v>807</v>
      </c>
      <c r="D66" s="100"/>
      <c r="E66">
        <v>1</v>
      </c>
      <c r="F66">
        <v>1</v>
      </c>
      <c r="G66" s="24">
        <v>0</v>
      </c>
      <c r="H66" s="24">
        <v>0</v>
      </c>
      <c r="I66" s="24">
        <v>0</v>
      </c>
      <c r="J66" s="24">
        <v>0</v>
      </c>
      <c r="K66" s="24">
        <v>0</v>
      </c>
      <c r="L66" s="24">
        <v>0</v>
      </c>
      <c r="T66">
        <f t="shared" si="24"/>
        <v>2</v>
      </c>
      <c r="U66">
        <f t="shared" si="27"/>
        <v>0</v>
      </c>
      <c r="X66">
        <f t="shared" si="25"/>
        <v>0</v>
      </c>
      <c r="Z66">
        <f t="shared" si="21"/>
        <v>0</v>
      </c>
      <c r="AB66">
        <f t="shared" si="6"/>
        <v>0</v>
      </c>
      <c r="AC66">
        <f t="shared" si="7"/>
        <v>0</v>
      </c>
      <c r="AD66">
        <f t="shared" si="26"/>
        <v>0</v>
      </c>
      <c r="AE66" s="113">
        <f t="shared" si="8"/>
        <v>0</v>
      </c>
      <c r="AF66">
        <f t="shared" si="18"/>
        <v>1</v>
      </c>
      <c r="AG66">
        <f t="shared" si="9"/>
        <v>-1</v>
      </c>
      <c r="AH66" s="4">
        <f t="shared" si="22"/>
        <v>-1</v>
      </c>
      <c r="AI66" s="4">
        <f t="shared" si="23"/>
        <v>-1</v>
      </c>
    </row>
    <row r="67" spans="1:35" ht="12.75">
      <c r="A67">
        <v>2</v>
      </c>
      <c r="B67" t="s">
        <v>803</v>
      </c>
      <c r="C67" s="80" t="s">
        <v>808</v>
      </c>
      <c r="D67" s="100"/>
      <c r="E67">
        <v>1</v>
      </c>
      <c r="F67">
        <v>1</v>
      </c>
      <c r="G67" s="24">
        <v>0</v>
      </c>
      <c r="H67" s="24">
        <v>0</v>
      </c>
      <c r="I67" s="24">
        <v>0</v>
      </c>
      <c r="J67" s="24">
        <v>0</v>
      </c>
      <c r="K67" s="24">
        <v>0</v>
      </c>
      <c r="L67" s="24">
        <v>0</v>
      </c>
      <c r="T67">
        <f t="shared" si="24"/>
        <v>2</v>
      </c>
      <c r="U67">
        <f t="shared" si="27"/>
        <v>0</v>
      </c>
      <c r="X67">
        <f t="shared" si="25"/>
        <v>0</v>
      </c>
      <c r="Z67">
        <f t="shared" si="21"/>
        <v>0</v>
      </c>
      <c r="AB67">
        <f t="shared" si="6"/>
        <v>0</v>
      </c>
      <c r="AC67">
        <f t="shared" si="7"/>
        <v>0</v>
      </c>
      <c r="AD67">
        <f t="shared" si="26"/>
        <v>0</v>
      </c>
      <c r="AE67" s="113">
        <f t="shared" si="8"/>
        <v>0</v>
      </c>
      <c r="AF67">
        <f t="shared" si="18"/>
        <v>1</v>
      </c>
      <c r="AG67">
        <f t="shared" si="9"/>
        <v>-1</v>
      </c>
      <c r="AH67" s="4">
        <f t="shared" si="22"/>
        <v>-1</v>
      </c>
      <c r="AI67" s="4">
        <f t="shared" si="23"/>
        <v>-1</v>
      </c>
    </row>
    <row r="68" spans="1:35" ht="12.75">
      <c r="A68">
        <v>2</v>
      </c>
      <c r="B68" t="s">
        <v>812</v>
      </c>
      <c r="C68" s="80" t="s">
        <v>809</v>
      </c>
      <c r="D68" s="100"/>
      <c r="E68">
        <v>1</v>
      </c>
      <c r="F68">
        <v>1</v>
      </c>
      <c r="G68" s="24">
        <v>0</v>
      </c>
      <c r="H68" s="24">
        <v>0</v>
      </c>
      <c r="I68" s="24">
        <v>0</v>
      </c>
      <c r="J68" s="24">
        <v>0</v>
      </c>
      <c r="K68" s="24">
        <v>0</v>
      </c>
      <c r="L68" s="24">
        <v>0</v>
      </c>
      <c r="T68">
        <f t="shared" si="24"/>
        <v>2</v>
      </c>
      <c r="U68">
        <f t="shared" si="27"/>
        <v>0</v>
      </c>
      <c r="X68">
        <f t="shared" si="25"/>
        <v>0</v>
      </c>
      <c r="Z68">
        <f t="shared" si="21"/>
        <v>0</v>
      </c>
      <c r="AB68">
        <f aca="true" t="shared" si="28" ref="AB68:AB96">W68-AA68</f>
        <v>0</v>
      </c>
      <c r="AC68">
        <f t="shared" si="7"/>
        <v>0</v>
      </c>
      <c r="AD68">
        <f t="shared" si="26"/>
        <v>0</v>
      </c>
      <c r="AE68" s="113">
        <f t="shared" si="8"/>
        <v>0</v>
      </c>
      <c r="AF68">
        <f t="shared" si="18"/>
        <v>1</v>
      </c>
      <c r="AG68">
        <f t="shared" si="9"/>
        <v>-1</v>
      </c>
      <c r="AH68" s="4">
        <f t="shared" si="22"/>
        <v>-1</v>
      </c>
      <c r="AI68" s="4">
        <f t="shared" si="23"/>
        <v>-1</v>
      </c>
    </row>
    <row r="69" spans="1:35" ht="12.75">
      <c r="A69">
        <v>0</v>
      </c>
      <c r="B69" t="s">
        <v>813</v>
      </c>
      <c r="C69" s="80" t="s">
        <v>811</v>
      </c>
      <c r="D69" s="100"/>
      <c r="E69">
        <v>1</v>
      </c>
      <c r="F69">
        <v>0</v>
      </c>
      <c r="G69" s="24">
        <v>0</v>
      </c>
      <c r="H69" s="24">
        <v>0</v>
      </c>
      <c r="I69" s="24">
        <v>0</v>
      </c>
      <c r="J69" s="24">
        <v>0</v>
      </c>
      <c r="K69" s="24">
        <v>0</v>
      </c>
      <c r="L69" s="24">
        <v>0</v>
      </c>
      <c r="T69">
        <f t="shared" si="24"/>
        <v>0</v>
      </c>
      <c r="U69">
        <f t="shared" si="27"/>
        <v>0</v>
      </c>
      <c r="X69">
        <f t="shared" si="25"/>
        <v>0</v>
      </c>
      <c r="Z69">
        <f t="shared" si="21"/>
        <v>0</v>
      </c>
      <c r="AB69">
        <f t="shared" si="28"/>
        <v>0</v>
      </c>
      <c r="AC69">
        <f t="shared" si="7"/>
        <v>0</v>
      </c>
      <c r="AD69">
        <f t="shared" si="26"/>
        <v>0</v>
      </c>
      <c r="AE69" s="113">
        <f t="shared" si="8"/>
        <v>0</v>
      </c>
      <c r="AF69">
        <f aca="true" t="shared" si="29" ref="AF69:AF96">E69</f>
        <v>1</v>
      </c>
      <c r="AG69">
        <f aca="true" t="shared" si="30" ref="AG69:AG96">AE69-AF69</f>
        <v>-1</v>
      </c>
      <c r="AH69" s="4">
        <f t="shared" si="22"/>
        <v>-1</v>
      </c>
      <c r="AI69" s="4">
        <f t="shared" si="23"/>
        <v>-1</v>
      </c>
    </row>
    <row r="70" spans="1:35" ht="12.75">
      <c r="A70">
        <v>0</v>
      </c>
      <c r="B70" t="s">
        <v>814</v>
      </c>
      <c r="C70" s="80" t="s">
        <v>810</v>
      </c>
      <c r="D70" s="100"/>
      <c r="E70">
        <v>1</v>
      </c>
      <c r="F70">
        <v>0</v>
      </c>
      <c r="G70" s="24">
        <v>0</v>
      </c>
      <c r="H70" s="24">
        <v>0</v>
      </c>
      <c r="I70" s="24">
        <v>0</v>
      </c>
      <c r="J70" s="24">
        <v>0</v>
      </c>
      <c r="K70" s="24">
        <v>0</v>
      </c>
      <c r="L70" s="24">
        <v>0</v>
      </c>
      <c r="T70">
        <f t="shared" si="24"/>
        <v>0</v>
      </c>
      <c r="U70">
        <f t="shared" si="27"/>
        <v>0</v>
      </c>
      <c r="X70">
        <f t="shared" si="25"/>
        <v>0</v>
      </c>
      <c r="Z70">
        <f aca="true" t="shared" si="31" ref="Z70:Z96">X70-Y70</f>
        <v>0</v>
      </c>
      <c r="AB70">
        <f t="shared" si="28"/>
        <v>0</v>
      </c>
      <c r="AC70">
        <f t="shared" si="7"/>
        <v>0</v>
      </c>
      <c r="AD70">
        <f t="shared" si="26"/>
        <v>0</v>
      </c>
      <c r="AE70" s="113">
        <f t="shared" si="8"/>
        <v>0</v>
      </c>
      <c r="AF70">
        <f t="shared" si="29"/>
        <v>1</v>
      </c>
      <c r="AG70">
        <f t="shared" si="30"/>
        <v>-1</v>
      </c>
      <c r="AH70" s="4">
        <f t="shared" si="22"/>
        <v>-1</v>
      </c>
      <c r="AI70" s="4">
        <f t="shared" si="23"/>
        <v>-1</v>
      </c>
    </row>
    <row r="71" spans="1:35" ht="12.75">
      <c r="A71">
        <v>2</v>
      </c>
      <c r="B71" t="s">
        <v>815</v>
      </c>
      <c r="C71" s="80" t="s">
        <v>671</v>
      </c>
      <c r="D71" s="100"/>
      <c r="E71">
        <v>1</v>
      </c>
      <c r="F71">
        <v>1</v>
      </c>
      <c r="G71" s="24">
        <v>0</v>
      </c>
      <c r="H71" s="24">
        <v>0</v>
      </c>
      <c r="I71" s="24">
        <v>0</v>
      </c>
      <c r="J71" s="24">
        <v>0</v>
      </c>
      <c r="K71" s="24">
        <v>0</v>
      </c>
      <c r="L71" s="24">
        <v>0</v>
      </c>
      <c r="T71">
        <f t="shared" si="24"/>
        <v>2</v>
      </c>
      <c r="U71">
        <f t="shared" si="27"/>
        <v>0</v>
      </c>
      <c r="X71">
        <f t="shared" si="25"/>
        <v>0</v>
      </c>
      <c r="Z71">
        <f t="shared" si="31"/>
        <v>0</v>
      </c>
      <c r="AB71">
        <f t="shared" si="28"/>
        <v>0</v>
      </c>
      <c r="AC71">
        <f aca="true" t="shared" si="32" ref="AC71:AC96">Z71-AA71</f>
        <v>0</v>
      </c>
      <c r="AD71">
        <f aca="true" t="shared" si="33" ref="AD71:AD96">I71*2</f>
        <v>0</v>
      </c>
      <c r="AE71" s="113">
        <f aca="true" t="shared" si="34" ref="AE71:AE96">AC71-AD71</f>
        <v>0</v>
      </c>
      <c r="AF71">
        <f t="shared" si="29"/>
        <v>1</v>
      </c>
      <c r="AG71">
        <f t="shared" si="30"/>
        <v>-1</v>
      </c>
      <c r="AH71" s="4">
        <f t="shared" si="22"/>
        <v>-1</v>
      </c>
      <c r="AI71" s="4">
        <f t="shared" si="23"/>
        <v>-1</v>
      </c>
    </row>
    <row r="72" spans="1:35" ht="12.75">
      <c r="A72">
        <v>2</v>
      </c>
      <c r="B72" t="s">
        <v>816</v>
      </c>
      <c r="C72" s="80" t="s">
        <v>672</v>
      </c>
      <c r="D72" s="100"/>
      <c r="E72">
        <v>1</v>
      </c>
      <c r="F72">
        <v>1</v>
      </c>
      <c r="G72" s="24">
        <v>0</v>
      </c>
      <c r="H72" s="24">
        <v>0</v>
      </c>
      <c r="I72" s="24">
        <v>0</v>
      </c>
      <c r="J72" s="24">
        <v>0</v>
      </c>
      <c r="K72" s="24">
        <v>0</v>
      </c>
      <c r="L72" s="24">
        <v>0</v>
      </c>
      <c r="T72">
        <f aca="true" t="shared" si="35" ref="T72:T80">F72*2</f>
        <v>2</v>
      </c>
      <c r="U72">
        <f aca="true" t="shared" si="36" ref="U72:U80">H72*25</f>
        <v>0</v>
      </c>
      <c r="X72">
        <f t="shared" si="25"/>
        <v>0</v>
      </c>
      <c r="Z72">
        <f t="shared" si="31"/>
        <v>0</v>
      </c>
      <c r="AB72">
        <f t="shared" si="28"/>
        <v>0</v>
      </c>
      <c r="AC72">
        <f t="shared" si="32"/>
        <v>0</v>
      </c>
      <c r="AD72">
        <f t="shared" si="33"/>
        <v>0</v>
      </c>
      <c r="AE72" s="113">
        <f t="shared" si="34"/>
        <v>0</v>
      </c>
      <c r="AF72">
        <f t="shared" si="29"/>
        <v>1</v>
      </c>
      <c r="AG72">
        <f t="shared" si="30"/>
        <v>-1</v>
      </c>
      <c r="AH72" s="4">
        <f t="shared" si="22"/>
        <v>-1</v>
      </c>
      <c r="AI72" s="4">
        <f t="shared" si="23"/>
        <v>-1</v>
      </c>
    </row>
    <row r="73" spans="1:35" ht="12.75">
      <c r="A73">
        <v>2</v>
      </c>
      <c r="B73" t="s">
        <v>817</v>
      </c>
      <c r="C73" s="80" t="s">
        <v>673</v>
      </c>
      <c r="D73" s="100"/>
      <c r="E73">
        <v>1</v>
      </c>
      <c r="F73">
        <v>1</v>
      </c>
      <c r="G73" s="24">
        <v>0</v>
      </c>
      <c r="H73" s="24">
        <v>0</v>
      </c>
      <c r="I73" s="24">
        <v>0</v>
      </c>
      <c r="J73" s="24">
        <v>0</v>
      </c>
      <c r="K73" s="24">
        <v>0</v>
      </c>
      <c r="L73" s="24">
        <v>0</v>
      </c>
      <c r="T73">
        <f t="shared" si="35"/>
        <v>2</v>
      </c>
      <c r="U73">
        <f t="shared" si="36"/>
        <v>0</v>
      </c>
      <c r="X73">
        <f t="shared" si="25"/>
        <v>0</v>
      </c>
      <c r="Z73">
        <f t="shared" si="31"/>
        <v>0</v>
      </c>
      <c r="AB73">
        <f t="shared" si="28"/>
        <v>0</v>
      </c>
      <c r="AC73">
        <f t="shared" si="32"/>
        <v>0</v>
      </c>
      <c r="AD73">
        <f t="shared" si="33"/>
        <v>0</v>
      </c>
      <c r="AE73" s="113">
        <f t="shared" si="34"/>
        <v>0</v>
      </c>
      <c r="AF73">
        <f t="shared" si="29"/>
        <v>1</v>
      </c>
      <c r="AG73">
        <f t="shared" si="30"/>
        <v>-1</v>
      </c>
      <c r="AH73" s="4">
        <f t="shared" si="22"/>
        <v>-1</v>
      </c>
      <c r="AI73" s="4">
        <f t="shared" si="23"/>
        <v>-1</v>
      </c>
    </row>
    <row r="74" spans="1:35" ht="12.75">
      <c r="A74">
        <v>2</v>
      </c>
      <c r="B74" t="s">
        <v>819</v>
      </c>
      <c r="C74" s="80" t="s">
        <v>818</v>
      </c>
      <c r="D74" s="100"/>
      <c r="E74">
        <v>1</v>
      </c>
      <c r="F74">
        <v>1</v>
      </c>
      <c r="G74" s="24">
        <v>0</v>
      </c>
      <c r="H74" s="24">
        <v>0</v>
      </c>
      <c r="I74" s="24">
        <v>0</v>
      </c>
      <c r="J74" s="24">
        <v>0</v>
      </c>
      <c r="K74" s="24">
        <v>0</v>
      </c>
      <c r="L74" s="24">
        <v>0</v>
      </c>
      <c r="T74">
        <f t="shared" si="35"/>
        <v>2</v>
      </c>
      <c r="U74">
        <f t="shared" si="36"/>
        <v>0</v>
      </c>
      <c r="X74">
        <f t="shared" si="25"/>
        <v>0</v>
      </c>
      <c r="Z74">
        <f t="shared" si="31"/>
        <v>0</v>
      </c>
      <c r="AB74">
        <f t="shared" si="28"/>
        <v>0</v>
      </c>
      <c r="AC74">
        <f t="shared" si="32"/>
        <v>0</v>
      </c>
      <c r="AD74">
        <f t="shared" si="33"/>
        <v>0</v>
      </c>
      <c r="AE74" s="113">
        <f t="shared" si="34"/>
        <v>0</v>
      </c>
      <c r="AF74">
        <f t="shared" si="29"/>
        <v>1</v>
      </c>
      <c r="AG74">
        <f t="shared" si="30"/>
        <v>-1</v>
      </c>
      <c r="AH74" s="4">
        <f t="shared" si="22"/>
        <v>-1</v>
      </c>
      <c r="AI74" s="4">
        <f t="shared" si="23"/>
        <v>-1</v>
      </c>
    </row>
    <row r="75" spans="1:35" ht="12.75">
      <c r="A75">
        <v>2</v>
      </c>
      <c r="B75" t="s">
        <v>821</v>
      </c>
      <c r="C75" s="80" t="s">
        <v>820</v>
      </c>
      <c r="D75" s="100"/>
      <c r="E75">
        <v>1</v>
      </c>
      <c r="F75">
        <v>1</v>
      </c>
      <c r="G75" s="24">
        <v>0</v>
      </c>
      <c r="H75" s="24">
        <v>0</v>
      </c>
      <c r="I75" s="24">
        <v>0</v>
      </c>
      <c r="J75" s="24">
        <v>0</v>
      </c>
      <c r="K75" s="24">
        <v>0</v>
      </c>
      <c r="L75" s="24">
        <v>0</v>
      </c>
      <c r="T75">
        <f t="shared" si="35"/>
        <v>2</v>
      </c>
      <c r="U75">
        <f t="shared" si="36"/>
        <v>0</v>
      </c>
      <c r="X75">
        <f t="shared" si="25"/>
        <v>0</v>
      </c>
      <c r="Z75">
        <f t="shared" si="31"/>
        <v>0</v>
      </c>
      <c r="AB75">
        <f t="shared" si="28"/>
        <v>0</v>
      </c>
      <c r="AC75">
        <f t="shared" si="32"/>
        <v>0</v>
      </c>
      <c r="AD75">
        <f t="shared" si="33"/>
        <v>0</v>
      </c>
      <c r="AE75" s="113">
        <f t="shared" si="34"/>
        <v>0</v>
      </c>
      <c r="AF75">
        <f t="shared" si="29"/>
        <v>1</v>
      </c>
      <c r="AG75">
        <f t="shared" si="30"/>
        <v>-1</v>
      </c>
      <c r="AH75" s="4">
        <f t="shared" si="22"/>
        <v>-1</v>
      </c>
      <c r="AI75" s="4">
        <f t="shared" si="23"/>
        <v>-1</v>
      </c>
    </row>
    <row r="76" spans="1:35" ht="12.75">
      <c r="A76">
        <v>0</v>
      </c>
      <c r="B76" t="s">
        <v>826</v>
      </c>
      <c r="C76" s="80" t="s">
        <v>822</v>
      </c>
      <c r="D76" s="100"/>
      <c r="E76">
        <v>1</v>
      </c>
      <c r="F76">
        <v>0</v>
      </c>
      <c r="G76" s="24">
        <v>0</v>
      </c>
      <c r="H76" s="24">
        <v>0</v>
      </c>
      <c r="I76" s="24">
        <v>0</v>
      </c>
      <c r="J76" s="24">
        <v>0</v>
      </c>
      <c r="K76" s="24">
        <v>0</v>
      </c>
      <c r="L76" s="24">
        <v>0</v>
      </c>
      <c r="T76">
        <f t="shared" si="35"/>
        <v>0</v>
      </c>
      <c r="U76">
        <f t="shared" si="36"/>
        <v>0</v>
      </c>
      <c r="X76">
        <f t="shared" si="25"/>
        <v>0</v>
      </c>
      <c r="Z76">
        <f t="shared" si="31"/>
        <v>0</v>
      </c>
      <c r="AB76">
        <f t="shared" si="28"/>
        <v>0</v>
      </c>
      <c r="AC76">
        <f t="shared" si="32"/>
        <v>0</v>
      </c>
      <c r="AD76">
        <f t="shared" si="33"/>
        <v>0</v>
      </c>
      <c r="AE76" s="113">
        <f t="shared" si="34"/>
        <v>0</v>
      </c>
      <c r="AF76">
        <f t="shared" si="29"/>
        <v>1</v>
      </c>
      <c r="AG76">
        <f t="shared" si="30"/>
        <v>-1</v>
      </c>
      <c r="AH76" s="4">
        <f t="shared" si="22"/>
        <v>-1</v>
      </c>
      <c r="AI76" s="4">
        <f t="shared" si="23"/>
        <v>-1</v>
      </c>
    </row>
    <row r="77" spans="1:35" ht="12.75">
      <c r="A77">
        <v>2</v>
      </c>
      <c r="B77" t="s">
        <v>825</v>
      </c>
      <c r="C77" s="80" t="s">
        <v>824</v>
      </c>
      <c r="D77" s="100"/>
      <c r="E77">
        <v>1</v>
      </c>
      <c r="F77">
        <v>1</v>
      </c>
      <c r="G77" s="24">
        <v>0</v>
      </c>
      <c r="H77" s="24">
        <v>0</v>
      </c>
      <c r="I77" s="24">
        <v>0</v>
      </c>
      <c r="J77" s="24">
        <v>0</v>
      </c>
      <c r="K77" s="24">
        <v>0</v>
      </c>
      <c r="L77" s="24">
        <v>0</v>
      </c>
      <c r="T77">
        <f t="shared" si="35"/>
        <v>2</v>
      </c>
      <c r="U77">
        <f t="shared" si="36"/>
        <v>0</v>
      </c>
      <c r="X77">
        <f t="shared" si="25"/>
        <v>0</v>
      </c>
      <c r="Z77">
        <f t="shared" si="31"/>
        <v>0</v>
      </c>
      <c r="AB77">
        <f t="shared" si="28"/>
        <v>0</v>
      </c>
      <c r="AC77">
        <f t="shared" si="32"/>
        <v>0</v>
      </c>
      <c r="AD77">
        <f t="shared" si="33"/>
        <v>0</v>
      </c>
      <c r="AE77" s="113">
        <f t="shared" si="34"/>
        <v>0</v>
      </c>
      <c r="AF77">
        <f t="shared" si="29"/>
        <v>1</v>
      </c>
      <c r="AG77">
        <f t="shared" si="30"/>
        <v>-1</v>
      </c>
      <c r="AH77" s="4">
        <f t="shared" si="22"/>
        <v>-1</v>
      </c>
      <c r="AI77" s="4">
        <f t="shared" si="23"/>
        <v>-1</v>
      </c>
    </row>
    <row r="78" spans="1:35" ht="12.75">
      <c r="A78">
        <v>2</v>
      </c>
      <c r="B78" t="s">
        <v>773</v>
      </c>
      <c r="C78" s="80" t="s">
        <v>643</v>
      </c>
      <c r="D78" s="14" t="s">
        <v>682</v>
      </c>
      <c r="E78">
        <v>0</v>
      </c>
      <c r="F78">
        <v>0</v>
      </c>
      <c r="G78" s="24">
        <v>1</v>
      </c>
      <c r="H78" s="24">
        <v>0</v>
      </c>
      <c r="I78" s="24">
        <v>0</v>
      </c>
      <c r="J78" s="24">
        <v>0</v>
      </c>
      <c r="K78" s="24">
        <v>0</v>
      </c>
      <c r="L78" s="24">
        <v>0</v>
      </c>
      <c r="T78">
        <f t="shared" si="35"/>
        <v>0</v>
      </c>
      <c r="U78">
        <f t="shared" si="36"/>
        <v>0</v>
      </c>
      <c r="V78">
        <v>0</v>
      </c>
      <c r="X78">
        <f t="shared" si="25"/>
        <v>2</v>
      </c>
      <c r="Y78">
        <v>2</v>
      </c>
      <c r="Z78">
        <f t="shared" si="31"/>
        <v>0</v>
      </c>
      <c r="AB78">
        <f t="shared" si="28"/>
        <v>0</v>
      </c>
      <c r="AC78">
        <f t="shared" si="32"/>
        <v>0</v>
      </c>
      <c r="AD78">
        <f t="shared" si="33"/>
        <v>0</v>
      </c>
      <c r="AE78" s="113">
        <f t="shared" si="34"/>
        <v>0</v>
      </c>
      <c r="AF78">
        <f t="shared" si="29"/>
        <v>0</v>
      </c>
      <c r="AG78">
        <f t="shared" si="30"/>
        <v>0</v>
      </c>
      <c r="AH78" s="4">
        <f t="shared" si="22"/>
        <v>0</v>
      </c>
      <c r="AI78" s="4">
        <f t="shared" si="23"/>
        <v>0</v>
      </c>
    </row>
    <row r="79" spans="1:35" ht="12.75">
      <c r="A79">
        <v>0</v>
      </c>
      <c r="B79" t="s">
        <v>798</v>
      </c>
      <c r="C79" s="80" t="s">
        <v>434</v>
      </c>
      <c r="D79" s="14" t="s">
        <v>570</v>
      </c>
      <c r="E79">
        <v>0</v>
      </c>
      <c r="F79">
        <v>0</v>
      </c>
      <c r="G79" s="24">
        <v>0</v>
      </c>
      <c r="H79" s="24">
        <v>1</v>
      </c>
      <c r="I79" s="24">
        <v>0</v>
      </c>
      <c r="J79" s="24">
        <v>0</v>
      </c>
      <c r="K79" s="24">
        <v>0</v>
      </c>
      <c r="L79" s="24">
        <v>0</v>
      </c>
      <c r="Q79" s="77"/>
      <c r="T79">
        <f t="shared" si="35"/>
        <v>0</v>
      </c>
      <c r="U79">
        <f t="shared" si="36"/>
        <v>25</v>
      </c>
      <c r="V79">
        <v>0</v>
      </c>
      <c r="W79">
        <v>23</v>
      </c>
      <c r="X79">
        <f t="shared" si="25"/>
        <v>0</v>
      </c>
      <c r="Z79">
        <f t="shared" si="31"/>
        <v>0</v>
      </c>
      <c r="AB79">
        <f t="shared" si="28"/>
        <v>23</v>
      </c>
      <c r="AC79">
        <f t="shared" si="32"/>
        <v>0</v>
      </c>
      <c r="AD79">
        <f t="shared" si="33"/>
        <v>0</v>
      </c>
      <c r="AE79" s="113">
        <f t="shared" si="34"/>
        <v>0</v>
      </c>
      <c r="AF79">
        <f t="shared" si="29"/>
        <v>0</v>
      </c>
      <c r="AG79">
        <f t="shared" si="30"/>
        <v>0</v>
      </c>
      <c r="AH79" s="4">
        <f t="shared" si="22"/>
        <v>0</v>
      </c>
      <c r="AI79" s="4">
        <f t="shared" si="23"/>
        <v>0</v>
      </c>
    </row>
    <row r="80" spans="1:35" ht="12.75">
      <c r="A80">
        <v>25</v>
      </c>
      <c r="B80" t="s">
        <v>896</v>
      </c>
      <c r="C80" s="80" t="s">
        <v>753</v>
      </c>
      <c r="D80" s="14" t="s">
        <v>572</v>
      </c>
      <c r="E80">
        <v>0</v>
      </c>
      <c r="F80">
        <v>0</v>
      </c>
      <c r="G80" s="24">
        <v>0</v>
      </c>
      <c r="H80" s="24">
        <v>0</v>
      </c>
      <c r="I80" s="24">
        <v>0</v>
      </c>
      <c r="J80" s="24">
        <v>0</v>
      </c>
      <c r="K80" s="24">
        <v>0</v>
      </c>
      <c r="L80" s="24">
        <v>0</v>
      </c>
      <c r="Q80" s="77"/>
      <c r="T80">
        <f t="shared" si="35"/>
        <v>0</v>
      </c>
      <c r="U80">
        <f t="shared" si="36"/>
        <v>0</v>
      </c>
      <c r="V80">
        <v>2</v>
      </c>
      <c r="W80">
        <v>23</v>
      </c>
      <c r="X80">
        <f t="shared" si="25"/>
        <v>23</v>
      </c>
      <c r="Z80">
        <f t="shared" si="31"/>
        <v>23</v>
      </c>
      <c r="AA80">
        <v>2</v>
      </c>
      <c r="AB80">
        <f t="shared" si="28"/>
        <v>21</v>
      </c>
      <c r="AC80">
        <f t="shared" si="32"/>
        <v>21</v>
      </c>
      <c r="AD80">
        <f t="shared" si="33"/>
        <v>0</v>
      </c>
      <c r="AE80" s="113">
        <f t="shared" si="34"/>
        <v>21</v>
      </c>
      <c r="AF80">
        <f t="shared" si="29"/>
        <v>0</v>
      </c>
      <c r="AG80">
        <f t="shared" si="30"/>
        <v>21</v>
      </c>
      <c r="AH80" s="104"/>
      <c r="AI80" s="65"/>
    </row>
    <row r="81" spans="1:35" ht="12.75">
      <c r="A81">
        <v>2</v>
      </c>
      <c r="B81" t="s">
        <v>774</v>
      </c>
      <c r="C81" s="80" t="s">
        <v>734</v>
      </c>
      <c r="D81" s="100" t="s">
        <v>343</v>
      </c>
      <c r="E81">
        <v>0</v>
      </c>
      <c r="F81">
        <v>0</v>
      </c>
      <c r="G81" s="24">
        <v>1</v>
      </c>
      <c r="H81" s="24">
        <v>0</v>
      </c>
      <c r="I81" s="24">
        <v>0</v>
      </c>
      <c r="J81" s="24">
        <v>0</v>
      </c>
      <c r="K81" s="24">
        <v>0</v>
      </c>
      <c r="L81" s="24">
        <v>0</v>
      </c>
      <c r="T81">
        <f aca="true" t="shared" si="37" ref="T81:T89">F81*2</f>
        <v>0</v>
      </c>
      <c r="U81">
        <f aca="true" t="shared" si="38" ref="U81:U89">H81*25</f>
        <v>0</v>
      </c>
      <c r="X81">
        <f t="shared" si="25"/>
        <v>2</v>
      </c>
      <c r="Z81">
        <f t="shared" si="31"/>
        <v>2</v>
      </c>
      <c r="AB81">
        <f t="shared" si="28"/>
        <v>0</v>
      </c>
      <c r="AC81">
        <f t="shared" si="32"/>
        <v>2</v>
      </c>
      <c r="AD81">
        <f t="shared" si="33"/>
        <v>0</v>
      </c>
      <c r="AE81" s="113">
        <f t="shared" si="34"/>
        <v>2</v>
      </c>
      <c r="AF81">
        <f t="shared" si="29"/>
        <v>0</v>
      </c>
      <c r="AG81">
        <f t="shared" si="30"/>
        <v>2</v>
      </c>
      <c r="AH81" s="4">
        <f aca="true" t="shared" si="39" ref="AH81:AH93">AG81/MAX(E81:L81)</f>
        <v>2</v>
      </c>
      <c r="AI81" s="4">
        <f aca="true" t="shared" si="40" ref="AI81:AI93">AH81+M81/MAX(E81:L81)</f>
        <v>2</v>
      </c>
    </row>
    <row r="82" spans="1:35" ht="12.75">
      <c r="A82">
        <v>2</v>
      </c>
      <c r="B82" t="s">
        <v>823</v>
      </c>
      <c r="C82" s="80" t="s">
        <v>827</v>
      </c>
      <c r="D82" s="100"/>
      <c r="E82">
        <v>1</v>
      </c>
      <c r="F82">
        <v>1</v>
      </c>
      <c r="G82" s="24">
        <v>0</v>
      </c>
      <c r="H82" s="24">
        <v>0</v>
      </c>
      <c r="I82" s="24">
        <v>0</v>
      </c>
      <c r="J82" s="24">
        <v>0</v>
      </c>
      <c r="K82" s="24">
        <v>0</v>
      </c>
      <c r="L82" s="24">
        <v>0</v>
      </c>
      <c r="T82">
        <f t="shared" si="37"/>
        <v>2</v>
      </c>
      <c r="U82">
        <f t="shared" si="38"/>
        <v>0</v>
      </c>
      <c r="X82">
        <f t="shared" si="25"/>
        <v>0</v>
      </c>
      <c r="Z82">
        <f>X82-Y82</f>
        <v>0</v>
      </c>
      <c r="AB82">
        <f t="shared" si="28"/>
        <v>0</v>
      </c>
      <c r="AC82">
        <f>Z82-AA82</f>
        <v>0</v>
      </c>
      <c r="AD82">
        <f>I82*2</f>
        <v>0</v>
      </c>
      <c r="AE82" s="113">
        <f>AC82-AD82</f>
        <v>0</v>
      </c>
      <c r="AF82">
        <f t="shared" si="29"/>
        <v>1</v>
      </c>
      <c r="AG82">
        <f t="shared" si="30"/>
        <v>-1</v>
      </c>
      <c r="AH82" s="4">
        <f t="shared" si="39"/>
        <v>-1</v>
      </c>
      <c r="AI82" s="4">
        <f t="shared" si="40"/>
        <v>-1</v>
      </c>
    </row>
    <row r="83" spans="1:35" ht="12.75">
      <c r="A83">
        <v>2</v>
      </c>
      <c r="B83" t="s">
        <v>835</v>
      </c>
      <c r="C83" s="80" t="s">
        <v>834</v>
      </c>
      <c r="D83" s="100"/>
      <c r="E83">
        <v>0</v>
      </c>
      <c r="F83">
        <v>0</v>
      </c>
      <c r="G83" s="24">
        <v>0</v>
      </c>
      <c r="H83" s="24">
        <v>0</v>
      </c>
      <c r="I83" s="24">
        <v>1</v>
      </c>
      <c r="J83" s="24">
        <v>0</v>
      </c>
      <c r="K83" s="24">
        <v>0</v>
      </c>
      <c r="L83" s="24">
        <v>0</v>
      </c>
      <c r="Q83" s="77"/>
      <c r="T83">
        <f t="shared" si="37"/>
        <v>0</v>
      </c>
      <c r="U83">
        <f t="shared" si="38"/>
        <v>0</v>
      </c>
      <c r="X83">
        <f t="shared" si="25"/>
        <v>2</v>
      </c>
      <c r="Z83">
        <f t="shared" si="31"/>
        <v>2</v>
      </c>
      <c r="AB83">
        <f t="shared" si="28"/>
        <v>0</v>
      </c>
      <c r="AC83">
        <f t="shared" si="32"/>
        <v>2</v>
      </c>
      <c r="AD83">
        <f t="shared" si="33"/>
        <v>2</v>
      </c>
      <c r="AE83" s="113">
        <f t="shared" si="34"/>
        <v>0</v>
      </c>
      <c r="AF83">
        <f t="shared" si="29"/>
        <v>0</v>
      </c>
      <c r="AG83">
        <f t="shared" si="30"/>
        <v>0</v>
      </c>
      <c r="AH83" s="4">
        <f t="shared" si="39"/>
        <v>0</v>
      </c>
      <c r="AI83" s="4">
        <f t="shared" si="40"/>
        <v>0</v>
      </c>
    </row>
    <row r="84" spans="1:35" ht="12.75">
      <c r="A84">
        <v>2</v>
      </c>
      <c r="B84" t="s">
        <v>836</v>
      </c>
      <c r="C84" s="80" t="s">
        <v>837</v>
      </c>
      <c r="D84" s="100"/>
      <c r="E84">
        <v>0</v>
      </c>
      <c r="F84">
        <v>0</v>
      </c>
      <c r="G84" s="24">
        <v>0</v>
      </c>
      <c r="H84" s="24">
        <v>0</v>
      </c>
      <c r="I84" s="24">
        <v>1</v>
      </c>
      <c r="J84" s="24">
        <v>0</v>
      </c>
      <c r="K84" s="24">
        <v>0</v>
      </c>
      <c r="L84" s="24">
        <v>0</v>
      </c>
      <c r="Q84" s="77"/>
      <c r="T84">
        <f t="shared" si="37"/>
        <v>0</v>
      </c>
      <c r="U84">
        <f t="shared" si="38"/>
        <v>0</v>
      </c>
      <c r="X84">
        <f t="shared" si="25"/>
        <v>2</v>
      </c>
      <c r="Z84">
        <f t="shared" si="31"/>
        <v>2</v>
      </c>
      <c r="AB84">
        <f t="shared" si="28"/>
        <v>0</v>
      </c>
      <c r="AC84">
        <f t="shared" si="32"/>
        <v>2</v>
      </c>
      <c r="AD84">
        <f t="shared" si="33"/>
        <v>2</v>
      </c>
      <c r="AE84" s="113">
        <f t="shared" si="34"/>
        <v>0</v>
      </c>
      <c r="AF84">
        <f t="shared" si="29"/>
        <v>0</v>
      </c>
      <c r="AG84">
        <f t="shared" si="30"/>
        <v>0</v>
      </c>
      <c r="AH84" s="4">
        <f t="shared" si="39"/>
        <v>0</v>
      </c>
      <c r="AI84" s="4">
        <f t="shared" si="40"/>
        <v>0</v>
      </c>
    </row>
    <row r="85" spans="1:35" ht="12.75">
      <c r="A85">
        <v>2</v>
      </c>
      <c r="B85" t="s">
        <v>838</v>
      </c>
      <c r="C85" s="80" t="s">
        <v>840</v>
      </c>
      <c r="D85" s="100"/>
      <c r="E85">
        <v>0</v>
      </c>
      <c r="F85">
        <v>0</v>
      </c>
      <c r="G85" s="24">
        <v>0</v>
      </c>
      <c r="H85" s="24">
        <v>0</v>
      </c>
      <c r="I85" s="24">
        <v>1</v>
      </c>
      <c r="J85" s="24">
        <v>0</v>
      </c>
      <c r="K85" s="24">
        <v>0</v>
      </c>
      <c r="L85" s="24">
        <v>0</v>
      </c>
      <c r="Q85" s="77"/>
      <c r="T85">
        <f t="shared" si="37"/>
        <v>0</v>
      </c>
      <c r="U85">
        <f t="shared" si="38"/>
        <v>0</v>
      </c>
      <c r="X85">
        <f t="shared" si="25"/>
        <v>2</v>
      </c>
      <c r="Z85">
        <f t="shared" si="31"/>
        <v>2</v>
      </c>
      <c r="AB85">
        <f t="shared" si="28"/>
        <v>0</v>
      </c>
      <c r="AC85">
        <f t="shared" si="32"/>
        <v>2</v>
      </c>
      <c r="AD85">
        <f t="shared" si="33"/>
        <v>2</v>
      </c>
      <c r="AE85" s="113">
        <f t="shared" si="34"/>
        <v>0</v>
      </c>
      <c r="AF85">
        <f t="shared" si="29"/>
        <v>0</v>
      </c>
      <c r="AG85">
        <f t="shared" si="30"/>
        <v>0</v>
      </c>
      <c r="AH85" s="4">
        <f t="shared" si="39"/>
        <v>0</v>
      </c>
      <c r="AI85" s="4">
        <f t="shared" si="40"/>
        <v>0</v>
      </c>
    </row>
    <row r="86" spans="1:35" ht="12.75">
      <c r="A86">
        <v>2</v>
      </c>
      <c r="B86" t="s">
        <v>841</v>
      </c>
      <c r="C86" s="80" t="s">
        <v>839</v>
      </c>
      <c r="D86" s="100"/>
      <c r="E86">
        <v>0</v>
      </c>
      <c r="F86">
        <v>0</v>
      </c>
      <c r="G86" s="24">
        <v>0</v>
      </c>
      <c r="H86" s="24">
        <v>0</v>
      </c>
      <c r="I86" s="24">
        <v>1</v>
      </c>
      <c r="J86" s="24">
        <v>0</v>
      </c>
      <c r="K86" s="24">
        <v>0</v>
      </c>
      <c r="L86" s="24">
        <v>0</v>
      </c>
      <c r="Q86" s="77"/>
      <c r="T86">
        <f t="shared" si="37"/>
        <v>0</v>
      </c>
      <c r="U86">
        <f t="shared" si="38"/>
        <v>0</v>
      </c>
      <c r="X86">
        <f t="shared" si="25"/>
        <v>2</v>
      </c>
      <c r="Z86">
        <f t="shared" si="31"/>
        <v>2</v>
      </c>
      <c r="AB86">
        <f t="shared" si="28"/>
        <v>0</v>
      </c>
      <c r="AC86">
        <f t="shared" si="32"/>
        <v>2</v>
      </c>
      <c r="AD86">
        <f t="shared" si="33"/>
        <v>2</v>
      </c>
      <c r="AE86" s="113">
        <f t="shared" si="34"/>
        <v>0</v>
      </c>
      <c r="AF86">
        <f t="shared" si="29"/>
        <v>0</v>
      </c>
      <c r="AG86">
        <f t="shared" si="30"/>
        <v>0</v>
      </c>
      <c r="AH86" s="4">
        <f t="shared" si="39"/>
        <v>0</v>
      </c>
      <c r="AI86" s="4">
        <f t="shared" si="40"/>
        <v>0</v>
      </c>
    </row>
    <row r="87" spans="1:35" ht="12.75">
      <c r="A87">
        <v>2</v>
      </c>
      <c r="B87" t="s">
        <v>844</v>
      </c>
      <c r="C87" s="80" t="s">
        <v>842</v>
      </c>
      <c r="D87" s="100"/>
      <c r="E87">
        <v>0</v>
      </c>
      <c r="F87">
        <v>0</v>
      </c>
      <c r="G87" s="24">
        <v>0</v>
      </c>
      <c r="H87" s="24">
        <v>0</v>
      </c>
      <c r="I87" s="24">
        <v>1</v>
      </c>
      <c r="J87" s="24">
        <v>0</v>
      </c>
      <c r="K87" s="24">
        <v>0</v>
      </c>
      <c r="L87" s="24">
        <v>0</v>
      </c>
      <c r="Q87" s="77"/>
      <c r="T87">
        <f t="shared" si="37"/>
        <v>0</v>
      </c>
      <c r="U87">
        <f t="shared" si="38"/>
        <v>0</v>
      </c>
      <c r="X87">
        <f t="shared" si="25"/>
        <v>2</v>
      </c>
      <c r="Z87">
        <f t="shared" si="31"/>
        <v>2</v>
      </c>
      <c r="AB87">
        <f t="shared" si="28"/>
        <v>0</v>
      </c>
      <c r="AC87">
        <f t="shared" si="32"/>
        <v>2</v>
      </c>
      <c r="AD87">
        <f t="shared" si="33"/>
        <v>2</v>
      </c>
      <c r="AE87" s="113">
        <f t="shared" si="34"/>
        <v>0</v>
      </c>
      <c r="AF87">
        <f t="shared" si="29"/>
        <v>0</v>
      </c>
      <c r="AG87">
        <f t="shared" si="30"/>
        <v>0</v>
      </c>
      <c r="AH87" s="4">
        <f t="shared" si="39"/>
        <v>0</v>
      </c>
      <c r="AI87" s="4">
        <f t="shared" si="40"/>
        <v>0</v>
      </c>
    </row>
    <row r="88" spans="1:35" ht="12.75">
      <c r="A88">
        <v>2</v>
      </c>
      <c r="B88" t="s">
        <v>845</v>
      </c>
      <c r="C88" s="80" t="s">
        <v>843</v>
      </c>
      <c r="D88" s="100"/>
      <c r="E88">
        <v>0</v>
      </c>
      <c r="F88">
        <v>0</v>
      </c>
      <c r="G88" s="24">
        <v>0</v>
      </c>
      <c r="H88" s="24">
        <v>0</v>
      </c>
      <c r="I88" s="24">
        <v>1</v>
      </c>
      <c r="J88" s="24">
        <v>0</v>
      </c>
      <c r="K88" s="24">
        <v>0</v>
      </c>
      <c r="L88" s="24">
        <v>0</v>
      </c>
      <c r="Q88" s="77"/>
      <c r="T88">
        <f t="shared" si="37"/>
        <v>0</v>
      </c>
      <c r="U88">
        <f t="shared" si="38"/>
        <v>0</v>
      </c>
      <c r="X88">
        <f t="shared" si="25"/>
        <v>2</v>
      </c>
      <c r="Z88">
        <f t="shared" si="31"/>
        <v>2</v>
      </c>
      <c r="AB88">
        <f t="shared" si="28"/>
        <v>0</v>
      </c>
      <c r="AC88">
        <f t="shared" si="32"/>
        <v>2</v>
      </c>
      <c r="AD88">
        <f t="shared" si="33"/>
        <v>2</v>
      </c>
      <c r="AE88" s="113">
        <f t="shared" si="34"/>
        <v>0</v>
      </c>
      <c r="AF88">
        <f t="shared" si="29"/>
        <v>0</v>
      </c>
      <c r="AG88">
        <f t="shared" si="30"/>
        <v>0</v>
      </c>
      <c r="AH88" s="4">
        <f t="shared" si="39"/>
        <v>0</v>
      </c>
      <c r="AI88" s="4">
        <f t="shared" si="40"/>
        <v>0</v>
      </c>
    </row>
    <row r="89" spans="1:35" ht="12.75">
      <c r="A89">
        <v>4</v>
      </c>
      <c r="B89" t="s">
        <v>846</v>
      </c>
      <c r="C89" s="80" t="s">
        <v>847</v>
      </c>
      <c r="D89" s="100"/>
      <c r="E89">
        <v>0</v>
      </c>
      <c r="F89">
        <v>0</v>
      </c>
      <c r="G89" s="24">
        <v>0</v>
      </c>
      <c r="H89" s="24">
        <v>0</v>
      </c>
      <c r="I89" s="24">
        <v>2</v>
      </c>
      <c r="J89" s="24">
        <v>0</v>
      </c>
      <c r="K89" s="24">
        <v>0</v>
      </c>
      <c r="L89" s="24">
        <v>0</v>
      </c>
      <c r="Q89" s="77"/>
      <c r="T89">
        <f t="shared" si="37"/>
        <v>0</v>
      </c>
      <c r="U89">
        <f t="shared" si="38"/>
        <v>0</v>
      </c>
      <c r="X89">
        <f t="shared" si="25"/>
        <v>4</v>
      </c>
      <c r="Z89">
        <f t="shared" si="31"/>
        <v>4</v>
      </c>
      <c r="AB89">
        <f t="shared" si="28"/>
        <v>0</v>
      </c>
      <c r="AC89">
        <f t="shared" si="32"/>
        <v>4</v>
      </c>
      <c r="AD89">
        <f t="shared" si="33"/>
        <v>4</v>
      </c>
      <c r="AE89" s="113">
        <f t="shared" si="34"/>
        <v>0</v>
      </c>
      <c r="AF89">
        <f t="shared" si="29"/>
        <v>0</v>
      </c>
      <c r="AG89">
        <f t="shared" si="30"/>
        <v>0</v>
      </c>
      <c r="AH89" s="4">
        <f t="shared" si="39"/>
        <v>0</v>
      </c>
      <c r="AI89" s="4">
        <f t="shared" si="40"/>
        <v>0</v>
      </c>
    </row>
    <row r="90" spans="1:35" ht="12.75">
      <c r="A90">
        <v>4</v>
      </c>
      <c r="B90" t="s">
        <v>848</v>
      </c>
      <c r="C90" s="80" t="s">
        <v>849</v>
      </c>
      <c r="D90" s="100"/>
      <c r="E90">
        <v>0</v>
      </c>
      <c r="F90">
        <v>0</v>
      </c>
      <c r="G90" s="24">
        <v>0</v>
      </c>
      <c r="H90" s="24">
        <v>0</v>
      </c>
      <c r="I90" s="24">
        <v>1</v>
      </c>
      <c r="J90" s="24">
        <v>0</v>
      </c>
      <c r="K90" s="24">
        <v>0</v>
      </c>
      <c r="L90" s="24">
        <v>0</v>
      </c>
      <c r="Q90" s="77"/>
      <c r="T90">
        <f>F90*2</f>
        <v>0</v>
      </c>
      <c r="U90">
        <f>H90*25</f>
        <v>0</v>
      </c>
      <c r="X90">
        <f t="shared" si="25"/>
        <v>4</v>
      </c>
      <c r="Z90">
        <f t="shared" si="31"/>
        <v>4</v>
      </c>
      <c r="AB90">
        <f t="shared" si="28"/>
        <v>0</v>
      </c>
      <c r="AC90">
        <f t="shared" si="32"/>
        <v>4</v>
      </c>
      <c r="AD90">
        <f t="shared" si="33"/>
        <v>2</v>
      </c>
      <c r="AE90" s="113">
        <f t="shared" si="34"/>
        <v>2</v>
      </c>
      <c r="AF90">
        <f t="shared" si="29"/>
        <v>0</v>
      </c>
      <c r="AG90">
        <f t="shared" si="30"/>
        <v>2</v>
      </c>
      <c r="AH90" s="4">
        <f t="shared" si="39"/>
        <v>2</v>
      </c>
      <c r="AI90" s="4">
        <f t="shared" si="40"/>
        <v>2</v>
      </c>
    </row>
    <row r="91" spans="1:35" ht="12.75">
      <c r="A91">
        <v>0</v>
      </c>
      <c r="B91" t="s">
        <v>850</v>
      </c>
      <c r="C91" s="80" t="s">
        <v>851</v>
      </c>
      <c r="D91" s="100"/>
      <c r="E91">
        <v>0</v>
      </c>
      <c r="F91">
        <v>0</v>
      </c>
      <c r="G91" s="24">
        <v>0</v>
      </c>
      <c r="H91" s="24">
        <v>0</v>
      </c>
      <c r="I91" s="24">
        <v>1</v>
      </c>
      <c r="J91" s="24">
        <v>0</v>
      </c>
      <c r="K91" s="24">
        <v>0</v>
      </c>
      <c r="L91" s="24">
        <v>0</v>
      </c>
      <c r="N91" s="27"/>
      <c r="T91">
        <f>F91*2</f>
        <v>0</v>
      </c>
      <c r="U91">
        <f>H91*25</f>
        <v>0</v>
      </c>
      <c r="X91">
        <f t="shared" si="25"/>
        <v>0</v>
      </c>
      <c r="Z91">
        <f t="shared" si="31"/>
        <v>0</v>
      </c>
      <c r="AB91">
        <f t="shared" si="28"/>
        <v>0</v>
      </c>
      <c r="AC91">
        <f t="shared" si="32"/>
        <v>0</v>
      </c>
      <c r="AD91">
        <v>0</v>
      </c>
      <c r="AE91" s="113">
        <f t="shared" si="34"/>
        <v>0</v>
      </c>
      <c r="AF91">
        <f t="shared" si="29"/>
        <v>0</v>
      </c>
      <c r="AG91">
        <f t="shared" si="30"/>
        <v>0</v>
      </c>
      <c r="AH91" s="4">
        <f t="shared" si="39"/>
        <v>0</v>
      </c>
      <c r="AI91" s="4">
        <f t="shared" si="40"/>
        <v>0</v>
      </c>
    </row>
    <row r="92" spans="1:35" ht="12.75">
      <c r="A92">
        <v>2</v>
      </c>
      <c r="B92" t="s">
        <v>829</v>
      </c>
      <c r="C92" s="80" t="s">
        <v>828</v>
      </c>
      <c r="D92" s="100"/>
      <c r="E92">
        <v>0</v>
      </c>
      <c r="F92">
        <v>1</v>
      </c>
      <c r="G92" s="24">
        <v>0</v>
      </c>
      <c r="H92" s="24">
        <v>0</v>
      </c>
      <c r="I92" s="24">
        <v>0</v>
      </c>
      <c r="J92" s="24">
        <v>0</v>
      </c>
      <c r="K92" s="24">
        <v>0</v>
      </c>
      <c r="L92" s="24">
        <v>0</v>
      </c>
      <c r="N92" s="27"/>
      <c r="T92">
        <f>F92*2</f>
        <v>2</v>
      </c>
      <c r="U92">
        <f>H92*25</f>
        <v>0</v>
      </c>
      <c r="X92">
        <f t="shared" si="25"/>
        <v>0</v>
      </c>
      <c r="Z92">
        <f t="shared" si="31"/>
        <v>0</v>
      </c>
      <c r="AB92">
        <f t="shared" si="28"/>
        <v>0</v>
      </c>
      <c r="AC92">
        <f t="shared" si="32"/>
        <v>0</v>
      </c>
      <c r="AD92">
        <f t="shared" si="33"/>
        <v>0</v>
      </c>
      <c r="AE92" s="113">
        <f t="shared" si="34"/>
        <v>0</v>
      </c>
      <c r="AF92">
        <f t="shared" si="29"/>
        <v>0</v>
      </c>
      <c r="AG92">
        <f t="shared" si="30"/>
        <v>0</v>
      </c>
      <c r="AH92" s="4">
        <f t="shared" si="39"/>
        <v>0</v>
      </c>
      <c r="AI92" s="4">
        <f t="shared" si="40"/>
        <v>0</v>
      </c>
    </row>
    <row r="93" spans="1:35" ht="12.75">
      <c r="A93">
        <v>2</v>
      </c>
      <c r="B93" t="s">
        <v>830</v>
      </c>
      <c r="C93" s="80" t="s">
        <v>831</v>
      </c>
      <c r="D93" s="100"/>
      <c r="E93">
        <v>0</v>
      </c>
      <c r="F93">
        <v>1</v>
      </c>
      <c r="G93" s="24">
        <v>0</v>
      </c>
      <c r="H93" s="24">
        <v>0</v>
      </c>
      <c r="I93" s="24">
        <v>0</v>
      </c>
      <c r="J93" s="24">
        <v>0</v>
      </c>
      <c r="K93" s="24">
        <v>0</v>
      </c>
      <c r="L93" s="24">
        <v>0</v>
      </c>
      <c r="N93" s="27"/>
      <c r="T93">
        <f>F93*2</f>
        <v>2</v>
      </c>
      <c r="U93">
        <f>H93*25</f>
        <v>0</v>
      </c>
      <c r="X93">
        <f t="shared" si="25"/>
        <v>0</v>
      </c>
      <c r="Z93">
        <f t="shared" si="31"/>
        <v>0</v>
      </c>
      <c r="AB93">
        <f t="shared" si="28"/>
        <v>0</v>
      </c>
      <c r="AC93">
        <f t="shared" si="32"/>
        <v>0</v>
      </c>
      <c r="AD93">
        <f t="shared" si="33"/>
        <v>0</v>
      </c>
      <c r="AE93" s="113">
        <f t="shared" si="34"/>
        <v>0</v>
      </c>
      <c r="AF93">
        <f t="shared" si="29"/>
        <v>0</v>
      </c>
      <c r="AG93">
        <f t="shared" si="30"/>
        <v>0</v>
      </c>
      <c r="AH93" s="4">
        <f t="shared" si="39"/>
        <v>0</v>
      </c>
      <c r="AI93" s="4">
        <f t="shared" si="40"/>
        <v>0</v>
      </c>
    </row>
    <row r="94" spans="2:34" ht="12.75">
      <c r="B94" s="5" t="s">
        <v>855</v>
      </c>
      <c r="C94" s="80"/>
      <c r="D94" s="100"/>
      <c r="L94" s="24"/>
      <c r="N94" s="27"/>
      <c r="AB94">
        <f t="shared" si="28"/>
        <v>0</v>
      </c>
      <c r="AH94" s="4"/>
    </row>
    <row r="95" spans="2:34" ht="12.75">
      <c r="B95" s="5" t="s">
        <v>856</v>
      </c>
      <c r="C95" s="80"/>
      <c r="D95" s="100"/>
      <c r="L95" s="24"/>
      <c r="N95" s="27"/>
      <c r="AB95">
        <f t="shared" si="28"/>
        <v>0</v>
      </c>
      <c r="AH95" s="4"/>
    </row>
    <row r="96" spans="1:34" ht="12.75">
      <c r="A96">
        <v>2</v>
      </c>
      <c r="B96" t="s">
        <v>833</v>
      </c>
      <c r="C96" s="80" t="s">
        <v>832</v>
      </c>
      <c r="D96" s="100"/>
      <c r="E96">
        <v>0</v>
      </c>
      <c r="F96">
        <v>1</v>
      </c>
      <c r="G96" s="24">
        <v>0</v>
      </c>
      <c r="H96" s="24">
        <v>0</v>
      </c>
      <c r="I96" s="24">
        <v>0</v>
      </c>
      <c r="J96" s="24">
        <v>0</v>
      </c>
      <c r="K96" s="24">
        <v>0</v>
      </c>
      <c r="L96" s="24">
        <v>0</v>
      </c>
      <c r="N96" s="27"/>
      <c r="T96">
        <f>F96*2</f>
        <v>2</v>
      </c>
      <c r="U96">
        <f>H96*25</f>
        <v>0</v>
      </c>
      <c r="X96">
        <f>A96-T96-V96</f>
        <v>0</v>
      </c>
      <c r="Z96">
        <f t="shared" si="31"/>
        <v>0</v>
      </c>
      <c r="AB96">
        <f t="shared" si="28"/>
        <v>0</v>
      </c>
      <c r="AC96">
        <f t="shared" si="32"/>
        <v>0</v>
      </c>
      <c r="AD96">
        <f t="shared" si="33"/>
        <v>0</v>
      </c>
      <c r="AE96" s="113">
        <f t="shared" si="34"/>
        <v>0</v>
      </c>
      <c r="AF96">
        <f t="shared" si="29"/>
        <v>0</v>
      </c>
      <c r="AG96">
        <f t="shared" si="30"/>
        <v>0</v>
      </c>
      <c r="AH96" s="4"/>
    </row>
    <row r="97" spans="3:14" ht="12.75">
      <c r="C97" s="80"/>
      <c r="D97" s="100"/>
      <c r="L97" s="2"/>
      <c r="N97" s="27"/>
    </row>
    <row r="98" spans="1:31" ht="12.75">
      <c r="A98">
        <f>SUM(A3:A97)</f>
        <v>26894</v>
      </c>
      <c r="C98" s="80"/>
      <c r="D98" s="100"/>
      <c r="E98">
        <f aca="true" t="shared" si="41" ref="E98:K98">SUM(E3:E97)</f>
        <v>328</v>
      </c>
      <c r="F98">
        <f t="shared" si="41"/>
        <v>330</v>
      </c>
      <c r="G98" s="24">
        <f t="shared" si="41"/>
        <v>357</v>
      </c>
      <c r="H98" s="24">
        <f t="shared" si="41"/>
        <v>474</v>
      </c>
      <c r="I98" s="24">
        <f t="shared" si="41"/>
        <v>341</v>
      </c>
      <c r="J98" s="24">
        <f t="shared" si="41"/>
        <v>308</v>
      </c>
      <c r="K98" s="24">
        <f t="shared" si="41"/>
        <v>143</v>
      </c>
      <c r="L98" s="2"/>
      <c r="M98" s="53">
        <f>SUM(M3:M97)</f>
        <v>0</v>
      </c>
      <c r="S98" s="29"/>
      <c r="V98" s="24">
        <f>SUM(V3:V97)</f>
        <v>11254</v>
      </c>
      <c r="W98" s="24">
        <f>SUM(W3:W97)</f>
        <v>692</v>
      </c>
      <c r="Y98" s="24">
        <f aca="true" t="shared" si="42" ref="Y98:AE98">SUM(Y3:Y97)</f>
        <v>745</v>
      </c>
      <c r="Z98" s="24">
        <f t="shared" si="42"/>
        <v>14212</v>
      </c>
      <c r="AA98" s="24">
        <f t="shared" si="42"/>
        <v>247</v>
      </c>
      <c r="AB98" s="24"/>
      <c r="AC98" s="24">
        <f t="shared" si="42"/>
        <v>13965</v>
      </c>
      <c r="AD98" s="24">
        <f t="shared" si="42"/>
        <v>713</v>
      </c>
      <c r="AE98" s="115">
        <f t="shared" si="42"/>
        <v>13252</v>
      </c>
    </row>
    <row r="99" ht="12.75">
      <c r="L99" s="2"/>
    </row>
    <row r="100" spans="2:12" ht="12.75">
      <c r="B100" s="30"/>
      <c r="L100" s="2"/>
    </row>
    <row r="101" ht="12.75">
      <c r="L101" s="2"/>
    </row>
    <row r="130" ht="55.5" customHeight="1"/>
    <row r="131" ht="12" customHeight="1"/>
    <row r="132" ht="12" customHeight="1"/>
    <row r="133" ht="12" customHeight="1"/>
    <row r="134" ht="12" customHeight="1"/>
  </sheetData>
  <printOptions gridLines="1"/>
  <pageMargins left="0.5" right="0.5" top="0.5" bottom="0.5" header="0.25" footer="0.25"/>
  <pageSetup fitToHeight="10" fitToWidth="2" horizontalDpi="600" verticalDpi="600" orientation="landscape" paperSize="17" r:id="rId1"/>
  <headerFooter alignWithMargins="0">
    <oddHeader>&amp;C&amp;A&amp;R&amp;F</oddHeader>
    <oddFooter>&amp;LK. Kriesel&amp;CPage &amp;P of &amp;N&amp;R&amp;D &amp;T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P64"/>
  <sheetViews>
    <sheetView view="pageBreakPreview" zoomScaleNormal="75" zoomScaleSheetLayoutView="100" workbookViewId="0" topLeftCell="A1">
      <pane xSplit="21570" ySplit="2430" topLeftCell="G14" activePane="bottomLeft" state="split"/>
      <selection pane="topLeft" activeCell="B4" sqref="B4"/>
      <selection pane="topRight" activeCell="I1" sqref="G1:I16384"/>
      <selection pane="bottomLeft" activeCell="L62" sqref="L62"/>
      <selection pane="bottomRight" activeCell="G31" sqref="G31"/>
    </sheetView>
  </sheetViews>
  <sheetFormatPr defaultColWidth="9.140625" defaultRowHeight="12.75"/>
  <cols>
    <col min="1" max="1" width="8.140625" style="0" customWidth="1"/>
    <col min="2" max="2" width="38.140625" style="0" customWidth="1"/>
    <col min="3" max="3" width="14.140625" style="14" customWidth="1"/>
    <col min="4" max="4" width="8.140625" style="0" customWidth="1"/>
    <col min="5" max="5" width="8.28125" style="0" customWidth="1"/>
    <col min="6" max="6" width="8.140625" style="0" customWidth="1"/>
    <col min="7" max="7" width="8.00390625" style="0" customWidth="1"/>
    <col min="9" max="9" width="9.7109375" style="0" customWidth="1"/>
    <col min="13" max="13" width="8.8515625" style="8" customWidth="1"/>
  </cols>
  <sheetData>
    <row r="1" ht="12.75">
      <c r="A1" t="s">
        <v>0</v>
      </c>
    </row>
    <row r="3" ht="12.75">
      <c r="A3" t="s">
        <v>211</v>
      </c>
    </row>
    <row r="4" ht="13.5" customHeight="1">
      <c r="A4" t="s">
        <v>52</v>
      </c>
    </row>
    <row r="5" spans="1:13" s="1" customFormat="1" ht="55.5" customHeight="1">
      <c r="A5" s="1" t="s">
        <v>1</v>
      </c>
      <c r="B5" s="1" t="s">
        <v>2</v>
      </c>
      <c r="C5" s="13" t="s">
        <v>3</v>
      </c>
      <c r="D5" s="1" t="s">
        <v>4</v>
      </c>
      <c r="E5" s="1" t="s">
        <v>220</v>
      </c>
      <c r="F5" s="1" t="s">
        <v>221</v>
      </c>
      <c r="G5" s="13" t="s">
        <v>222</v>
      </c>
      <c r="H5" s="1" t="s">
        <v>39</v>
      </c>
      <c r="I5" s="1" t="s">
        <v>40</v>
      </c>
      <c r="J5" s="1" t="s">
        <v>41</v>
      </c>
      <c r="K5" s="1" t="s">
        <v>42</v>
      </c>
      <c r="L5" s="1" t="s">
        <v>43</v>
      </c>
      <c r="M5" s="9" t="s">
        <v>44</v>
      </c>
    </row>
    <row r="6" spans="1:13" s="16" customFormat="1" ht="12.75" hidden="1">
      <c r="A6" s="16">
        <v>1</v>
      </c>
      <c r="B6" s="16" t="s">
        <v>170</v>
      </c>
      <c r="C6" s="19" t="s">
        <v>215</v>
      </c>
      <c r="D6" s="16">
        <v>3</v>
      </c>
      <c r="E6" s="15">
        <f aca="true" t="shared" si="0" ref="E6:E33">D6*I$2</f>
        <v>0</v>
      </c>
      <c r="F6" s="15">
        <f aca="true" t="shared" si="1" ref="F6:G13">$D6*F$4</f>
        <v>0</v>
      </c>
      <c r="G6" s="15">
        <f t="shared" si="1"/>
        <v>0</v>
      </c>
      <c r="M6" s="20"/>
    </row>
    <row r="7" spans="1:13" s="16" customFormat="1" ht="12.75" hidden="1">
      <c r="A7" s="16">
        <v>2</v>
      </c>
      <c r="B7" s="19" t="s">
        <v>218</v>
      </c>
      <c r="C7" s="19" t="s">
        <v>215</v>
      </c>
      <c r="D7" s="16">
        <v>3</v>
      </c>
      <c r="E7" s="15">
        <f t="shared" si="0"/>
        <v>0</v>
      </c>
      <c r="F7" s="15">
        <f t="shared" si="1"/>
        <v>0</v>
      </c>
      <c r="G7" s="15">
        <f t="shared" si="1"/>
        <v>0</v>
      </c>
      <c r="M7" s="20"/>
    </row>
    <row r="8" spans="1:13" s="16" customFormat="1" ht="12" customHeight="1" hidden="1">
      <c r="A8" s="16">
        <v>3</v>
      </c>
      <c r="B8" s="16" t="s">
        <v>171</v>
      </c>
      <c r="C8" s="19" t="s">
        <v>212</v>
      </c>
      <c r="D8" s="16">
        <v>1</v>
      </c>
      <c r="E8" s="15">
        <f t="shared" si="0"/>
        <v>0</v>
      </c>
      <c r="F8" s="15">
        <f t="shared" si="1"/>
        <v>0</v>
      </c>
      <c r="G8" s="15">
        <f t="shared" si="1"/>
        <v>0</v>
      </c>
      <c r="M8" s="20"/>
    </row>
    <row r="9" spans="1:13" s="16" customFormat="1" ht="12.75" customHeight="1" hidden="1">
      <c r="A9" s="16">
        <v>4</v>
      </c>
      <c r="B9" s="16" t="s">
        <v>172</v>
      </c>
      <c r="C9" s="19" t="s">
        <v>213</v>
      </c>
      <c r="D9" s="16">
        <v>3</v>
      </c>
      <c r="E9" s="15">
        <f t="shared" si="0"/>
        <v>0</v>
      </c>
      <c r="F9" s="15">
        <f t="shared" si="1"/>
        <v>0</v>
      </c>
      <c r="G9" s="15">
        <f t="shared" si="1"/>
        <v>0</v>
      </c>
      <c r="M9" s="20"/>
    </row>
    <row r="10" spans="1:13" s="16" customFormat="1" ht="12.75" hidden="1">
      <c r="A10" s="16">
        <v>5</v>
      </c>
      <c r="B10" s="16" t="s">
        <v>180</v>
      </c>
      <c r="C10" s="19" t="s">
        <v>215</v>
      </c>
      <c r="D10" s="16">
        <v>6</v>
      </c>
      <c r="E10" s="15">
        <f t="shared" si="0"/>
        <v>0</v>
      </c>
      <c r="F10" s="15">
        <f t="shared" si="1"/>
        <v>0</v>
      </c>
      <c r="G10" s="15">
        <f t="shared" si="1"/>
        <v>0</v>
      </c>
      <c r="M10" s="20"/>
    </row>
    <row r="11" spans="1:13" s="16" customFormat="1" ht="12.75" hidden="1">
      <c r="A11" s="16">
        <v>6</v>
      </c>
      <c r="B11" s="16" t="s">
        <v>174</v>
      </c>
      <c r="C11" s="19" t="s">
        <v>215</v>
      </c>
      <c r="D11" s="16">
        <v>3</v>
      </c>
      <c r="E11" s="15">
        <f t="shared" si="0"/>
        <v>0</v>
      </c>
      <c r="F11" s="15">
        <f t="shared" si="1"/>
        <v>0</v>
      </c>
      <c r="G11" s="15">
        <f t="shared" si="1"/>
        <v>0</v>
      </c>
      <c r="M11" s="20"/>
    </row>
    <row r="12" spans="1:13" s="16" customFormat="1" ht="12.75" hidden="1">
      <c r="A12" s="16">
        <v>7</v>
      </c>
      <c r="B12" s="16" t="s">
        <v>175</v>
      </c>
      <c r="C12" s="19" t="s">
        <v>215</v>
      </c>
      <c r="D12" s="16">
        <v>3</v>
      </c>
      <c r="E12" s="15">
        <f t="shared" si="0"/>
        <v>0</v>
      </c>
      <c r="F12" s="15">
        <f t="shared" si="1"/>
        <v>0</v>
      </c>
      <c r="G12" s="15">
        <f t="shared" si="1"/>
        <v>0</v>
      </c>
      <c r="M12" s="20"/>
    </row>
    <row r="13" spans="1:13" s="16" customFormat="1" ht="12" customHeight="1" hidden="1">
      <c r="A13" s="16">
        <v>8</v>
      </c>
      <c r="B13" s="16" t="s">
        <v>173</v>
      </c>
      <c r="C13" s="19" t="s">
        <v>214</v>
      </c>
      <c r="D13" s="16">
        <v>3</v>
      </c>
      <c r="E13" s="15">
        <f t="shared" si="0"/>
        <v>0</v>
      </c>
      <c r="F13" s="15">
        <f t="shared" si="1"/>
        <v>0</v>
      </c>
      <c r="G13" s="15">
        <f t="shared" si="1"/>
        <v>0</v>
      </c>
      <c r="M13" s="20"/>
    </row>
    <row r="14" spans="1:13" ht="12.75">
      <c r="A14">
        <v>9</v>
      </c>
      <c r="B14" t="s">
        <v>5</v>
      </c>
      <c r="C14" s="14" t="s">
        <v>159</v>
      </c>
      <c r="D14">
        <v>6</v>
      </c>
      <c r="E14">
        <f t="shared" si="0"/>
        <v>0</v>
      </c>
      <c r="F14">
        <f aca="true" t="shared" si="2" ref="F14:F19">D14+1</f>
        <v>7</v>
      </c>
      <c r="G14">
        <v>50</v>
      </c>
      <c r="H14" s="2"/>
      <c r="I14" s="2"/>
      <c r="J14" s="2"/>
      <c r="K14" s="2"/>
      <c r="L14" s="2"/>
      <c r="M14" s="10"/>
    </row>
    <row r="15" spans="1:13" ht="12.75">
      <c r="A15">
        <v>10</v>
      </c>
      <c r="B15" t="s">
        <v>6</v>
      </c>
      <c r="C15" s="14" t="s">
        <v>176</v>
      </c>
      <c r="D15">
        <v>6</v>
      </c>
      <c r="E15">
        <f t="shared" si="0"/>
        <v>0</v>
      </c>
      <c r="F15">
        <f t="shared" si="2"/>
        <v>7</v>
      </c>
      <c r="G15">
        <v>50</v>
      </c>
      <c r="H15" s="2"/>
      <c r="I15" s="2"/>
      <c r="J15" s="2"/>
      <c r="K15" s="2"/>
      <c r="L15" s="2"/>
      <c r="M15" s="10"/>
    </row>
    <row r="16" spans="1:13" ht="12.75">
      <c r="A16">
        <v>11</v>
      </c>
      <c r="B16" t="s">
        <v>7</v>
      </c>
      <c r="C16" s="14" t="s">
        <v>177</v>
      </c>
      <c r="D16">
        <v>32</v>
      </c>
      <c r="E16">
        <f t="shared" si="0"/>
        <v>0</v>
      </c>
      <c r="F16">
        <f t="shared" si="2"/>
        <v>33</v>
      </c>
      <c r="G16">
        <v>200</v>
      </c>
      <c r="H16" s="2"/>
      <c r="I16" s="2"/>
      <c r="J16" s="2"/>
      <c r="K16" s="2"/>
      <c r="L16" s="2"/>
      <c r="M16" s="10"/>
    </row>
    <row r="17" spans="1:13" ht="12.75">
      <c r="A17">
        <v>12</v>
      </c>
      <c r="B17" t="s">
        <v>190</v>
      </c>
      <c r="D17">
        <v>94</v>
      </c>
      <c r="E17">
        <f t="shared" si="0"/>
        <v>0</v>
      </c>
      <c r="F17">
        <f t="shared" si="2"/>
        <v>95</v>
      </c>
      <c r="G17">
        <v>600</v>
      </c>
      <c r="H17" s="2"/>
      <c r="I17" s="2"/>
      <c r="J17" s="2"/>
      <c r="K17" s="2"/>
      <c r="L17" s="2"/>
      <c r="M17" s="10"/>
    </row>
    <row r="18" spans="1:13" ht="12.75">
      <c r="A18">
        <v>13</v>
      </c>
      <c r="B18" t="s">
        <v>189</v>
      </c>
      <c r="D18">
        <v>18</v>
      </c>
      <c r="E18">
        <f t="shared" si="0"/>
        <v>0</v>
      </c>
      <c r="F18">
        <f t="shared" si="2"/>
        <v>19</v>
      </c>
      <c r="G18">
        <v>100</v>
      </c>
      <c r="H18" s="2"/>
      <c r="I18" s="2"/>
      <c r="J18" s="2"/>
      <c r="K18" s="2"/>
      <c r="L18" s="2"/>
      <c r="M18" s="10"/>
    </row>
    <row r="19" spans="1:13" ht="12.75">
      <c r="A19">
        <v>14</v>
      </c>
      <c r="B19" t="s">
        <v>188</v>
      </c>
      <c r="D19">
        <v>6</v>
      </c>
      <c r="E19">
        <f t="shared" si="0"/>
        <v>0</v>
      </c>
      <c r="F19">
        <f t="shared" si="2"/>
        <v>7</v>
      </c>
      <c r="G19">
        <v>100</v>
      </c>
      <c r="H19" s="2"/>
      <c r="I19" s="2"/>
      <c r="J19" s="2"/>
      <c r="K19" s="2"/>
      <c r="L19" s="2"/>
      <c r="M19" s="10"/>
    </row>
    <row r="20" spans="1:13" ht="12.75">
      <c r="A20">
        <v>15</v>
      </c>
      <c r="B20" t="s">
        <v>181</v>
      </c>
      <c r="C20" s="14" t="s">
        <v>164</v>
      </c>
      <c r="D20">
        <v>1</v>
      </c>
      <c r="E20">
        <f t="shared" si="0"/>
        <v>0</v>
      </c>
      <c r="F20">
        <f>D20</f>
        <v>1</v>
      </c>
      <c r="G20">
        <v>4</v>
      </c>
      <c r="H20" s="2"/>
      <c r="I20" s="2"/>
      <c r="J20" s="2">
        <v>5.8</v>
      </c>
      <c r="K20" s="2"/>
      <c r="L20" s="2"/>
      <c r="M20" s="10">
        <f aca="true" t="shared" si="3" ref="M20:M25">J20*G20</f>
        <v>23.2</v>
      </c>
    </row>
    <row r="21" spans="1:13" ht="12.75">
      <c r="A21">
        <v>16</v>
      </c>
      <c r="B21" t="s">
        <v>151</v>
      </c>
      <c r="C21" s="14" t="s">
        <v>165</v>
      </c>
      <c r="D21">
        <v>1</v>
      </c>
      <c r="E21">
        <f t="shared" si="0"/>
        <v>0</v>
      </c>
      <c r="F21">
        <f aca="true" t="shared" si="4" ref="F21:F33">D21</f>
        <v>1</v>
      </c>
      <c r="G21">
        <v>4</v>
      </c>
      <c r="H21" s="2"/>
      <c r="I21" s="2"/>
      <c r="J21" s="2">
        <v>5.8</v>
      </c>
      <c r="K21" s="2"/>
      <c r="L21" s="2"/>
      <c r="M21" s="10">
        <f t="shared" si="3"/>
        <v>23.2</v>
      </c>
    </row>
    <row r="22" spans="1:13" ht="12.75">
      <c r="A22">
        <v>17</v>
      </c>
      <c r="B22" t="s">
        <v>152</v>
      </c>
      <c r="C22" s="14" t="s">
        <v>166</v>
      </c>
      <c r="D22">
        <v>1</v>
      </c>
      <c r="E22">
        <f t="shared" si="0"/>
        <v>0</v>
      </c>
      <c r="F22">
        <f t="shared" si="4"/>
        <v>1</v>
      </c>
      <c r="G22">
        <v>4</v>
      </c>
      <c r="H22" s="2"/>
      <c r="I22" s="2"/>
      <c r="J22" s="2">
        <v>5.8</v>
      </c>
      <c r="K22" s="2"/>
      <c r="L22" s="2"/>
      <c r="M22" s="10">
        <f t="shared" si="3"/>
        <v>23.2</v>
      </c>
    </row>
    <row r="23" spans="1:13" ht="12.75">
      <c r="A23">
        <v>18</v>
      </c>
      <c r="B23" t="s">
        <v>153</v>
      </c>
      <c r="C23" s="14" t="s">
        <v>167</v>
      </c>
      <c r="D23">
        <v>1</v>
      </c>
      <c r="E23">
        <f t="shared" si="0"/>
        <v>0</v>
      </c>
      <c r="F23">
        <f t="shared" si="4"/>
        <v>1</v>
      </c>
      <c r="G23">
        <v>4</v>
      </c>
      <c r="H23" s="2"/>
      <c r="I23" s="2"/>
      <c r="J23" s="2">
        <v>5.8</v>
      </c>
      <c r="K23" s="2"/>
      <c r="L23" s="2"/>
      <c r="M23" s="10">
        <f t="shared" si="3"/>
        <v>23.2</v>
      </c>
    </row>
    <row r="24" spans="1:13" ht="12.75">
      <c r="A24">
        <v>19</v>
      </c>
      <c r="B24" t="s">
        <v>154</v>
      </c>
      <c r="C24" s="14" t="s">
        <v>168</v>
      </c>
      <c r="D24">
        <v>1</v>
      </c>
      <c r="E24">
        <f t="shared" si="0"/>
        <v>0</v>
      </c>
      <c r="F24">
        <f t="shared" si="4"/>
        <v>1</v>
      </c>
      <c r="G24">
        <v>4</v>
      </c>
      <c r="H24" s="2"/>
      <c r="I24" s="2"/>
      <c r="J24" s="2">
        <v>10</v>
      </c>
      <c r="K24" s="2"/>
      <c r="L24" s="2"/>
      <c r="M24" s="10">
        <f t="shared" si="3"/>
        <v>40</v>
      </c>
    </row>
    <row r="25" spans="1:13" ht="12.75">
      <c r="A25">
        <v>20</v>
      </c>
      <c r="B25" t="s">
        <v>155</v>
      </c>
      <c r="C25" s="14" t="s">
        <v>169</v>
      </c>
      <c r="D25">
        <v>1</v>
      </c>
      <c r="E25">
        <f t="shared" si="0"/>
        <v>0</v>
      </c>
      <c r="F25">
        <f t="shared" si="4"/>
        <v>1</v>
      </c>
      <c r="G25">
        <v>4</v>
      </c>
      <c r="H25" s="2"/>
      <c r="I25" s="2"/>
      <c r="J25" s="2">
        <v>10</v>
      </c>
      <c r="K25" s="2"/>
      <c r="L25" s="2"/>
      <c r="M25" s="10">
        <f t="shared" si="3"/>
        <v>40</v>
      </c>
    </row>
    <row r="26" spans="1:13" ht="12.75">
      <c r="A26">
        <v>21</v>
      </c>
      <c r="B26" t="s">
        <v>14</v>
      </c>
      <c r="C26" s="14" t="s">
        <v>196</v>
      </c>
      <c r="D26">
        <v>1</v>
      </c>
      <c r="E26">
        <f t="shared" si="0"/>
        <v>0</v>
      </c>
      <c r="F26">
        <f t="shared" si="4"/>
        <v>1</v>
      </c>
      <c r="G26">
        <v>1</v>
      </c>
      <c r="H26" s="2"/>
      <c r="I26" s="2">
        <v>35.84</v>
      </c>
      <c r="J26" s="2"/>
      <c r="K26" s="2"/>
      <c r="L26" s="2">
        <f>I26*G26</f>
        <v>35.84</v>
      </c>
      <c r="M26" s="10"/>
    </row>
    <row r="27" spans="1:13" ht="12.75">
      <c r="A27">
        <v>22</v>
      </c>
      <c r="B27" t="s">
        <v>15</v>
      </c>
      <c r="C27" s="14" t="s">
        <v>197</v>
      </c>
      <c r="D27">
        <v>1</v>
      </c>
      <c r="E27">
        <f t="shared" si="0"/>
        <v>0</v>
      </c>
      <c r="F27">
        <f t="shared" si="4"/>
        <v>1</v>
      </c>
      <c r="G27">
        <v>1</v>
      </c>
      <c r="H27" s="2"/>
      <c r="I27" s="2">
        <v>35.84</v>
      </c>
      <c r="J27" s="2"/>
      <c r="K27" s="2"/>
      <c r="L27" s="2">
        <f>I27*G27</f>
        <v>35.84</v>
      </c>
      <c r="M27" s="10"/>
    </row>
    <row r="28" spans="1:13" ht="12.75">
      <c r="A28">
        <v>23</v>
      </c>
      <c r="B28" t="s">
        <v>182</v>
      </c>
      <c r="C28" s="14" t="s">
        <v>198</v>
      </c>
      <c r="D28">
        <v>1</v>
      </c>
      <c r="E28">
        <f t="shared" si="0"/>
        <v>0</v>
      </c>
      <c r="F28">
        <f t="shared" si="4"/>
        <v>1</v>
      </c>
      <c r="G28">
        <v>1</v>
      </c>
      <c r="H28" s="2">
        <v>129.06</v>
      </c>
      <c r="I28" s="2"/>
      <c r="J28" s="2"/>
      <c r="K28" s="2">
        <f aca="true" t="shared" si="5" ref="K28:K33">G28*H28</f>
        <v>129.06</v>
      </c>
      <c r="L28" s="2"/>
      <c r="M28" s="10"/>
    </row>
    <row r="29" spans="1:13" ht="12.75">
      <c r="A29">
        <v>24</v>
      </c>
      <c r="B29" t="s">
        <v>183</v>
      </c>
      <c r="C29" s="14" t="s">
        <v>199</v>
      </c>
      <c r="D29">
        <v>1</v>
      </c>
      <c r="E29">
        <f t="shared" si="0"/>
        <v>0</v>
      </c>
      <c r="F29">
        <f t="shared" si="4"/>
        <v>1</v>
      </c>
      <c r="G29">
        <v>1</v>
      </c>
      <c r="H29" s="2">
        <v>129.06</v>
      </c>
      <c r="I29" s="2"/>
      <c r="J29" s="2"/>
      <c r="K29" s="2">
        <f t="shared" si="5"/>
        <v>129.06</v>
      </c>
      <c r="L29" s="2"/>
      <c r="M29" s="10"/>
    </row>
    <row r="30" spans="1:13" ht="12.75">
      <c r="A30">
        <v>25</v>
      </c>
      <c r="B30" t="s">
        <v>184</v>
      </c>
      <c r="C30" s="14" t="s">
        <v>200</v>
      </c>
      <c r="D30">
        <v>1</v>
      </c>
      <c r="E30">
        <f t="shared" si="0"/>
        <v>0</v>
      </c>
      <c r="F30">
        <f t="shared" si="4"/>
        <v>1</v>
      </c>
      <c r="G30">
        <v>1</v>
      </c>
      <c r="H30" s="2">
        <v>129.06</v>
      </c>
      <c r="I30" s="2"/>
      <c r="J30" s="2"/>
      <c r="K30" s="2">
        <f t="shared" si="5"/>
        <v>129.06</v>
      </c>
      <c r="L30" s="2"/>
      <c r="M30" s="10"/>
    </row>
    <row r="31" spans="1:13" ht="12.75">
      <c r="A31">
        <v>26</v>
      </c>
      <c r="B31" t="s">
        <v>185</v>
      </c>
      <c r="C31" s="14" t="s">
        <v>201</v>
      </c>
      <c r="D31">
        <v>1</v>
      </c>
      <c r="E31">
        <f t="shared" si="0"/>
        <v>0</v>
      </c>
      <c r="F31">
        <f t="shared" si="4"/>
        <v>1</v>
      </c>
      <c r="G31">
        <v>1</v>
      </c>
      <c r="H31" s="2">
        <v>129.06</v>
      </c>
      <c r="I31" s="2"/>
      <c r="J31" s="2"/>
      <c r="K31" s="2">
        <f t="shared" si="5"/>
        <v>129.06</v>
      </c>
      <c r="L31" s="2"/>
      <c r="M31" s="10"/>
    </row>
    <row r="32" spans="1:13" ht="12.75">
      <c r="A32">
        <v>27</v>
      </c>
      <c r="B32" t="s">
        <v>20</v>
      </c>
      <c r="C32" s="14" t="s">
        <v>202</v>
      </c>
      <c r="D32">
        <v>1</v>
      </c>
      <c r="E32">
        <f t="shared" si="0"/>
        <v>0</v>
      </c>
      <c r="F32">
        <f t="shared" si="4"/>
        <v>1</v>
      </c>
      <c r="G32">
        <v>1</v>
      </c>
      <c r="H32" s="2">
        <v>52</v>
      </c>
      <c r="I32" s="4"/>
      <c r="J32" s="4"/>
      <c r="K32" s="2">
        <f t="shared" si="5"/>
        <v>52</v>
      </c>
      <c r="L32" s="2"/>
      <c r="M32" s="10"/>
    </row>
    <row r="33" spans="1:13" ht="12.75">
      <c r="A33">
        <v>28</v>
      </c>
      <c r="B33" t="s">
        <v>21</v>
      </c>
      <c r="C33" s="14" t="s">
        <v>203</v>
      </c>
      <c r="D33">
        <v>1</v>
      </c>
      <c r="E33">
        <f t="shared" si="0"/>
        <v>0</v>
      </c>
      <c r="F33">
        <f t="shared" si="4"/>
        <v>1</v>
      </c>
      <c r="G33">
        <v>1</v>
      </c>
      <c r="H33" s="2">
        <v>52</v>
      </c>
      <c r="I33" s="4"/>
      <c r="J33" s="4"/>
      <c r="K33" s="2">
        <f t="shared" si="5"/>
        <v>52</v>
      </c>
      <c r="L33" s="2"/>
      <c r="M33" s="10"/>
    </row>
    <row r="34" spans="1:13" ht="12.75">
      <c r="A34">
        <v>29</v>
      </c>
      <c r="B34" t="s">
        <v>191</v>
      </c>
      <c r="D34">
        <v>96</v>
      </c>
      <c r="E34">
        <v>85</v>
      </c>
      <c r="F34">
        <f>D34+1</f>
        <v>97</v>
      </c>
      <c r="G34">
        <v>600</v>
      </c>
      <c r="H34" s="2"/>
      <c r="I34" s="2"/>
      <c r="J34" s="2"/>
      <c r="K34" s="2"/>
      <c r="L34" s="2"/>
      <c r="M34" s="10"/>
    </row>
    <row r="35" spans="1:13" ht="12.75">
      <c r="A35">
        <v>30</v>
      </c>
      <c r="B35" t="s">
        <v>187</v>
      </c>
      <c r="D35">
        <v>96</v>
      </c>
      <c r="E35">
        <v>79</v>
      </c>
      <c r="F35">
        <f>D35+1</f>
        <v>97</v>
      </c>
      <c r="G35">
        <v>600</v>
      </c>
      <c r="H35" s="2"/>
      <c r="I35" s="2"/>
      <c r="J35" s="2"/>
      <c r="K35" s="2"/>
      <c r="L35" s="2"/>
      <c r="M35" s="10"/>
    </row>
    <row r="36" spans="1:13" ht="12.75">
      <c r="A36">
        <v>31</v>
      </c>
      <c r="B36" t="s">
        <v>23</v>
      </c>
      <c r="C36" s="14" t="s">
        <v>204</v>
      </c>
      <c r="D36">
        <v>2</v>
      </c>
      <c r="E36">
        <f>D36*I$2</f>
        <v>0</v>
      </c>
      <c r="F36">
        <f>D36</f>
        <v>2</v>
      </c>
      <c r="G36">
        <v>2</v>
      </c>
      <c r="H36" s="2"/>
      <c r="I36" s="2"/>
      <c r="J36" s="2"/>
      <c r="K36" s="2"/>
      <c r="L36" s="2"/>
      <c r="M36" s="10"/>
    </row>
    <row r="37" spans="1:13" ht="12.75">
      <c r="A37">
        <v>32</v>
      </c>
      <c r="B37" t="s">
        <v>24</v>
      </c>
      <c r="C37" s="14" t="s">
        <v>205</v>
      </c>
      <c r="D37">
        <v>2</v>
      </c>
      <c r="E37">
        <v>2</v>
      </c>
      <c r="F37">
        <f>D37</f>
        <v>2</v>
      </c>
      <c r="G37">
        <f>$D37*G$4</f>
        <v>0</v>
      </c>
      <c r="H37" s="2"/>
      <c r="I37" s="2"/>
      <c r="J37" s="2"/>
      <c r="K37" s="2"/>
      <c r="L37" s="2"/>
      <c r="M37" s="10"/>
    </row>
    <row r="38" spans="1:13" ht="12.75">
      <c r="A38">
        <v>33</v>
      </c>
      <c r="B38" t="s">
        <v>25</v>
      </c>
      <c r="C38" s="14" t="s">
        <v>206</v>
      </c>
      <c r="D38">
        <v>1</v>
      </c>
      <c r="E38">
        <f>D38*I$2</f>
        <v>0</v>
      </c>
      <c r="F38">
        <f>D38</f>
        <v>1</v>
      </c>
      <c r="G38">
        <f>$D38*G$4</f>
        <v>0</v>
      </c>
      <c r="H38" s="2"/>
      <c r="I38" s="2"/>
      <c r="J38" s="2"/>
      <c r="K38" s="2"/>
      <c r="L38" s="2"/>
      <c r="M38" s="10"/>
    </row>
    <row r="39" spans="1:13" ht="12.75">
      <c r="A39">
        <v>34</v>
      </c>
      <c r="B39" t="s">
        <v>26</v>
      </c>
      <c r="C39" s="14" t="s">
        <v>161</v>
      </c>
      <c r="D39">
        <v>2</v>
      </c>
      <c r="E39">
        <f>D39*I$2</f>
        <v>0</v>
      </c>
      <c r="F39">
        <f>D39</f>
        <v>2</v>
      </c>
      <c r="G39">
        <f>$D39*G$4</f>
        <v>0</v>
      </c>
      <c r="H39" s="2"/>
      <c r="I39" s="2"/>
      <c r="J39" s="2"/>
      <c r="K39" s="2"/>
      <c r="L39" s="2"/>
      <c r="M39" s="10"/>
    </row>
    <row r="40" spans="1:13" ht="12.75">
      <c r="A40">
        <v>35</v>
      </c>
      <c r="B40" t="s">
        <v>27</v>
      </c>
      <c r="C40" s="14" t="s">
        <v>160</v>
      </c>
      <c r="D40">
        <v>2</v>
      </c>
      <c r="E40">
        <f>D40*I$2</f>
        <v>0</v>
      </c>
      <c r="F40">
        <f>D40</f>
        <v>2</v>
      </c>
      <c r="G40">
        <f>$D40*G$4</f>
        <v>0</v>
      </c>
      <c r="H40" s="2"/>
      <c r="I40" s="2"/>
      <c r="J40" s="2"/>
      <c r="K40" s="2"/>
      <c r="L40" s="2"/>
      <c r="M40" s="10"/>
    </row>
    <row r="41" spans="1:13" ht="12.75">
      <c r="A41">
        <v>36</v>
      </c>
      <c r="B41" t="s">
        <v>192</v>
      </c>
      <c r="D41">
        <v>30</v>
      </c>
      <c r="E41">
        <v>27</v>
      </c>
      <c r="F41">
        <f>D41+1</f>
        <v>31</v>
      </c>
      <c r="G41">
        <v>200</v>
      </c>
      <c r="H41" s="2"/>
      <c r="I41" s="2"/>
      <c r="J41" s="2"/>
      <c r="K41" s="2"/>
      <c r="L41" s="2"/>
      <c r="M41" s="10"/>
    </row>
    <row r="42" spans="1:13" ht="12.75">
      <c r="A42">
        <v>37</v>
      </c>
      <c r="B42" t="s">
        <v>186</v>
      </c>
      <c r="D42">
        <v>24</v>
      </c>
      <c r="E42">
        <v>291</v>
      </c>
      <c r="F42">
        <f>D42+1</f>
        <v>25</v>
      </c>
      <c r="G42">
        <f aca="true" t="shared" si="6" ref="G42:G47">$D42*G$4</f>
        <v>0</v>
      </c>
      <c r="H42" s="2"/>
      <c r="I42" s="2"/>
      <c r="J42" s="2"/>
      <c r="K42" s="2"/>
      <c r="L42" s="2"/>
      <c r="M42" s="10"/>
    </row>
    <row r="43" spans="1:13" ht="12.75">
      <c r="A43">
        <v>38</v>
      </c>
      <c r="B43" t="s">
        <v>194</v>
      </c>
      <c r="D43">
        <v>6</v>
      </c>
      <c r="E43">
        <v>73</v>
      </c>
      <c r="F43">
        <f aca="true" t="shared" si="7" ref="F43:F55">D43</f>
        <v>6</v>
      </c>
      <c r="G43">
        <f t="shared" si="6"/>
        <v>0</v>
      </c>
      <c r="H43" s="2"/>
      <c r="I43" s="2"/>
      <c r="J43" s="2"/>
      <c r="K43" s="2"/>
      <c r="L43" s="2"/>
      <c r="M43" s="10"/>
    </row>
    <row r="44" spans="1:13" s="15" customFormat="1" ht="12.75">
      <c r="A44" s="15">
        <v>39</v>
      </c>
      <c r="B44" s="15" t="s">
        <v>178</v>
      </c>
      <c r="C44" s="18" t="s">
        <v>215</v>
      </c>
      <c r="D44" s="15">
        <f>4*0</f>
        <v>0</v>
      </c>
      <c r="E44" s="15">
        <f aca="true" t="shared" si="8" ref="E44:E49">D44*I$2</f>
        <v>0</v>
      </c>
      <c r="F44" s="15">
        <v>0</v>
      </c>
      <c r="G44" s="15">
        <f t="shared" si="6"/>
        <v>0</v>
      </c>
      <c r="H44" s="17"/>
      <c r="I44" s="17"/>
      <c r="J44" s="17"/>
      <c r="K44" s="17"/>
      <c r="L44" s="17"/>
      <c r="M44" s="21"/>
    </row>
    <row r="45" spans="1:13" ht="12.75">
      <c r="A45">
        <v>40</v>
      </c>
      <c r="B45" t="s">
        <v>193</v>
      </c>
      <c r="C45" s="14" t="s">
        <v>207</v>
      </c>
      <c r="D45">
        <v>4</v>
      </c>
      <c r="E45">
        <f t="shared" si="8"/>
        <v>0</v>
      </c>
      <c r="F45">
        <f t="shared" si="7"/>
        <v>4</v>
      </c>
      <c r="G45">
        <v>4</v>
      </c>
      <c r="H45" s="2"/>
      <c r="I45" s="2"/>
      <c r="J45" s="2"/>
      <c r="K45" s="2"/>
      <c r="L45" s="2"/>
      <c r="M45" s="10"/>
    </row>
    <row r="46" spans="1:13" ht="12.75">
      <c r="A46">
        <v>41</v>
      </c>
      <c r="B46" t="s">
        <v>157</v>
      </c>
      <c r="C46" s="14" t="s">
        <v>162</v>
      </c>
      <c r="D46">
        <v>2</v>
      </c>
      <c r="E46">
        <f t="shared" si="8"/>
        <v>0</v>
      </c>
      <c r="F46">
        <f t="shared" si="7"/>
        <v>2</v>
      </c>
      <c r="G46">
        <v>2</v>
      </c>
      <c r="H46" s="2"/>
      <c r="I46" s="2"/>
      <c r="J46" s="2"/>
      <c r="K46" s="2"/>
      <c r="L46" s="2"/>
      <c r="M46" s="10"/>
    </row>
    <row r="47" spans="1:13" ht="12.75">
      <c r="A47">
        <v>42</v>
      </c>
      <c r="B47" t="s">
        <v>219</v>
      </c>
      <c r="D47">
        <v>2</v>
      </c>
      <c r="E47">
        <f t="shared" si="8"/>
        <v>0</v>
      </c>
      <c r="F47">
        <f t="shared" si="7"/>
        <v>2</v>
      </c>
      <c r="G47">
        <f t="shared" si="6"/>
        <v>0</v>
      </c>
      <c r="H47" s="2"/>
      <c r="I47" s="2"/>
      <c r="J47" s="2"/>
      <c r="K47" s="2"/>
      <c r="L47" s="2"/>
      <c r="M47" s="10"/>
    </row>
    <row r="48" spans="1:13" ht="12.75">
      <c r="A48">
        <v>43</v>
      </c>
      <c r="B48" t="s">
        <v>216</v>
      </c>
      <c r="D48">
        <v>2</v>
      </c>
      <c r="E48">
        <f t="shared" si="8"/>
        <v>0</v>
      </c>
      <c r="F48">
        <f t="shared" si="7"/>
        <v>2</v>
      </c>
      <c r="G48">
        <v>100</v>
      </c>
      <c r="H48" s="2"/>
      <c r="I48" s="2"/>
      <c r="J48" s="2"/>
      <c r="K48" s="2"/>
      <c r="L48" s="2"/>
      <c r="M48" s="10"/>
    </row>
    <row r="49" spans="1:13" s="15" customFormat="1" ht="12.75">
      <c r="A49" s="15">
        <v>44</v>
      </c>
      <c r="B49" s="15" t="s">
        <v>195</v>
      </c>
      <c r="C49" s="18" t="s">
        <v>215</v>
      </c>
      <c r="D49" s="15">
        <f>7*0</f>
        <v>0</v>
      </c>
      <c r="E49" s="15">
        <f t="shared" si="8"/>
        <v>0</v>
      </c>
      <c r="F49" s="15">
        <v>0</v>
      </c>
      <c r="G49" s="15">
        <f>$D49*G$4</f>
        <v>0</v>
      </c>
      <c r="H49" s="17"/>
      <c r="I49" s="17"/>
      <c r="J49" s="17"/>
      <c r="K49" s="17"/>
      <c r="L49" s="17"/>
      <c r="M49" s="21"/>
    </row>
    <row r="50" spans="1:13" ht="12.75">
      <c r="A50">
        <v>45</v>
      </c>
      <c r="B50" t="s">
        <v>30</v>
      </c>
      <c r="C50" s="14" t="s">
        <v>179</v>
      </c>
      <c r="D50">
        <v>2</v>
      </c>
      <c r="E50">
        <v>1</v>
      </c>
      <c r="F50">
        <f t="shared" si="7"/>
        <v>2</v>
      </c>
      <c r="G50">
        <f>F50*4</f>
        <v>8</v>
      </c>
      <c r="H50" s="2"/>
      <c r="I50" s="2"/>
      <c r="J50" s="2"/>
      <c r="K50" s="2"/>
      <c r="L50" s="2"/>
      <c r="M50" s="10"/>
    </row>
    <row r="51" spans="1:13" ht="12.75">
      <c r="A51">
        <v>46</v>
      </c>
      <c r="B51" t="s">
        <v>32</v>
      </c>
      <c r="C51" s="14" t="s">
        <v>179</v>
      </c>
      <c r="D51">
        <v>2</v>
      </c>
      <c r="E51">
        <v>2</v>
      </c>
      <c r="F51">
        <f t="shared" si="7"/>
        <v>2</v>
      </c>
      <c r="G51">
        <f aca="true" t="shared" si="9" ref="G51:G58">F51*4</f>
        <v>8</v>
      </c>
      <c r="H51" s="2"/>
      <c r="I51" s="2"/>
      <c r="J51" s="2"/>
      <c r="K51" s="2"/>
      <c r="L51" s="2"/>
      <c r="M51" s="10"/>
    </row>
    <row r="52" spans="1:13" ht="12.75">
      <c r="A52">
        <v>47</v>
      </c>
      <c r="B52" t="s">
        <v>31</v>
      </c>
      <c r="C52" s="14" t="s">
        <v>179</v>
      </c>
      <c r="D52">
        <v>4</v>
      </c>
      <c r="E52">
        <f>D52*I$2</f>
        <v>0</v>
      </c>
      <c r="F52">
        <f t="shared" si="7"/>
        <v>4</v>
      </c>
      <c r="G52">
        <f t="shared" si="9"/>
        <v>16</v>
      </c>
      <c r="H52" s="2"/>
      <c r="I52" s="2"/>
      <c r="J52" s="2"/>
      <c r="K52" s="2"/>
      <c r="L52" s="2"/>
      <c r="M52" s="10"/>
    </row>
    <row r="53" spans="1:13" ht="12.75">
      <c r="A53">
        <v>48</v>
      </c>
      <c r="B53" t="s">
        <v>33</v>
      </c>
      <c r="C53" s="14" t="s">
        <v>163</v>
      </c>
      <c r="D53">
        <v>1</v>
      </c>
      <c r="E53">
        <f>D53*I$2</f>
        <v>0</v>
      </c>
      <c r="F53">
        <f t="shared" si="7"/>
        <v>1</v>
      </c>
      <c r="G53">
        <f t="shared" si="9"/>
        <v>4</v>
      </c>
      <c r="H53" s="2"/>
      <c r="I53" s="2"/>
      <c r="J53" s="2"/>
      <c r="K53" s="2"/>
      <c r="L53" s="2"/>
      <c r="M53" s="10"/>
    </row>
    <row r="54" spans="1:13" ht="12.75">
      <c r="A54">
        <v>49</v>
      </c>
      <c r="B54" t="s">
        <v>34</v>
      </c>
      <c r="C54" s="14" t="s">
        <v>163</v>
      </c>
      <c r="D54">
        <v>1</v>
      </c>
      <c r="E54">
        <f>D54*I$2</f>
        <v>0</v>
      </c>
      <c r="F54">
        <f t="shared" si="7"/>
        <v>1</v>
      </c>
      <c r="G54">
        <f t="shared" si="9"/>
        <v>4</v>
      </c>
      <c r="H54" s="2"/>
      <c r="I54" s="2"/>
      <c r="J54" s="2"/>
      <c r="K54" s="2"/>
      <c r="L54" s="2"/>
      <c r="M54" s="10"/>
    </row>
    <row r="55" spans="1:13" ht="12.75">
      <c r="A55">
        <v>50</v>
      </c>
      <c r="B55" t="s">
        <v>35</v>
      </c>
      <c r="C55" s="14" t="s">
        <v>163</v>
      </c>
      <c r="D55">
        <v>2</v>
      </c>
      <c r="E55">
        <f>D55*I$2</f>
        <v>0</v>
      </c>
      <c r="F55">
        <f t="shared" si="7"/>
        <v>2</v>
      </c>
      <c r="G55">
        <f t="shared" si="9"/>
        <v>8</v>
      </c>
      <c r="H55" s="2"/>
      <c r="I55" s="2"/>
      <c r="J55" s="2"/>
      <c r="K55" s="2"/>
      <c r="L55" s="2"/>
      <c r="M55" s="10"/>
    </row>
    <row r="56" spans="1:7" ht="12.75">
      <c r="A56">
        <v>51</v>
      </c>
      <c r="B56" t="s">
        <v>225</v>
      </c>
      <c r="C56" s="14" t="s">
        <v>223</v>
      </c>
      <c r="D56">
        <v>2</v>
      </c>
      <c r="E56">
        <v>0</v>
      </c>
      <c r="F56">
        <f>D56</f>
        <v>2</v>
      </c>
      <c r="G56">
        <f t="shared" si="9"/>
        <v>8</v>
      </c>
    </row>
    <row r="57" spans="1:16" ht="13.5" customHeight="1">
      <c r="A57">
        <v>52</v>
      </c>
      <c r="B57" t="s">
        <v>226</v>
      </c>
      <c r="C57" s="14" t="s">
        <v>223</v>
      </c>
      <c r="D57">
        <v>2</v>
      </c>
      <c r="E57">
        <v>0</v>
      </c>
      <c r="F57">
        <f>D57</f>
        <v>2</v>
      </c>
      <c r="G57">
        <f t="shared" si="9"/>
        <v>8</v>
      </c>
      <c r="H57" s="2"/>
      <c r="I57" s="2"/>
      <c r="J57" s="2"/>
      <c r="K57" s="2"/>
      <c r="L57" s="2"/>
      <c r="M57" s="10"/>
      <c r="N57" s="2"/>
      <c r="O57" s="2"/>
      <c r="P57" s="2"/>
    </row>
    <row r="58" spans="1:16" ht="12.75">
      <c r="A58">
        <v>53</v>
      </c>
      <c r="B58" t="s">
        <v>227</v>
      </c>
      <c r="C58" s="14" t="s">
        <v>223</v>
      </c>
      <c r="D58">
        <v>6</v>
      </c>
      <c r="E58">
        <v>0</v>
      </c>
      <c r="F58">
        <f>D58</f>
        <v>6</v>
      </c>
      <c r="G58">
        <f t="shared" si="9"/>
        <v>24</v>
      </c>
      <c r="H58" s="2"/>
      <c r="I58" s="2"/>
      <c r="J58" s="2"/>
      <c r="K58" s="2"/>
      <c r="L58" s="2"/>
      <c r="M58" s="10"/>
      <c r="N58" s="2"/>
      <c r="O58" s="2"/>
      <c r="P58" s="2"/>
    </row>
    <row r="59" spans="8:13" ht="12.75">
      <c r="H59" s="2"/>
      <c r="I59" s="2"/>
      <c r="J59" s="2"/>
      <c r="K59" s="2"/>
      <c r="L59" s="2"/>
      <c r="M59" s="10"/>
    </row>
    <row r="60" spans="2:13" ht="12.75">
      <c r="B60" t="s">
        <v>45</v>
      </c>
      <c r="K60" s="2">
        <f>SUM(K14:K59)</f>
        <v>620.24</v>
      </c>
      <c r="L60" s="2">
        <f>SUM(L14:L59)</f>
        <v>71.68</v>
      </c>
      <c r="M60" s="10">
        <f>SUM(M14:M59)</f>
        <v>172.8</v>
      </c>
    </row>
    <row r="61" spans="2:13" ht="12.75">
      <c r="B61" t="s">
        <v>224</v>
      </c>
      <c r="K61" s="2">
        <f>K60/12</f>
        <v>51.68666666666667</v>
      </c>
      <c r="L61" s="2">
        <f>L60/12</f>
        <v>5.973333333333334</v>
      </c>
      <c r="M61" s="10">
        <f>M60/12</f>
        <v>14.4</v>
      </c>
    </row>
    <row r="62" spans="2:13" ht="12.75">
      <c r="B62" t="s">
        <v>46</v>
      </c>
      <c r="K62" s="3">
        <f>(6*82.5-3.2+6*16-19.05*1.78-2)/25.4/25.4</f>
        <v>0.8554327608655218</v>
      </c>
      <c r="L62" s="3">
        <f>(6*82.5-3.2+6*16-19.05*1.78-2-5)/25.4/25.4</f>
        <v>0.8476827453654908</v>
      </c>
      <c r="M62" s="3">
        <f>(9*82.5+(126.5-82.5)*6+91.75*6)/25.4/25.4</f>
        <v>2.4133548267096536</v>
      </c>
    </row>
    <row r="63" spans="2:13" ht="12.75">
      <c r="B63" t="s">
        <v>58</v>
      </c>
      <c r="K63" s="2">
        <f>K60*K62*0.098</f>
        <v>51.99621432872467</v>
      </c>
      <c r="L63" s="2">
        <f>L60*L62*0.098</f>
        <v>5.954666120404242</v>
      </c>
      <c r="M63" s="10">
        <f>M60*M62*0.098</f>
        <v>40.86871597743196</v>
      </c>
    </row>
    <row r="64" spans="2:13" ht="12.75">
      <c r="B64" t="s">
        <v>49</v>
      </c>
      <c r="K64" s="2">
        <f>K60*K62*4/1728</f>
        <v>1.2281796657389614</v>
      </c>
      <c r="L64" s="2">
        <f>L60*L62*4/1728</f>
        <v>0.14065254441619995</v>
      </c>
      <c r="M64" s="10">
        <f>M60*M62*4/1728</f>
        <v>0.9653419306838615</v>
      </c>
    </row>
  </sheetData>
  <printOptions gridLines="1"/>
  <pageMargins left="0.5" right="0.5" top="0.5" bottom="0.5" header="0.25" footer="0.25"/>
  <pageSetup fitToHeight="1" fitToWidth="1" horizontalDpi="600" verticalDpi="600" orientation="landscape" scale="64" r:id="rId1"/>
  <headerFooter alignWithMargins="0">
    <oddHeader>&amp;C&amp;A&amp;R&amp;F</oddHeader>
    <oddFooter>&amp;LK. Kriesel&amp;CPage &amp;P of &amp;N&amp;R&amp;D &amp;T</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53"/>
  <sheetViews>
    <sheetView workbookViewId="0" topLeftCell="A1">
      <pane ySplit="3690" topLeftCell="BM6" activePane="topLeft" state="split"/>
      <selection pane="topLeft" activeCell="H2" sqref="H2"/>
      <selection pane="bottomLeft" activeCell="B63" sqref="B63"/>
    </sheetView>
  </sheetViews>
  <sheetFormatPr defaultColWidth="9.140625" defaultRowHeight="12.75"/>
  <cols>
    <col min="1" max="1" width="8.140625" style="0" customWidth="1"/>
    <col min="2" max="2" width="38.7109375" style="0" customWidth="1"/>
    <col min="3" max="3" width="10.7109375" style="0" customWidth="1"/>
    <col min="4" max="4" width="18.8515625" style="0" customWidth="1"/>
    <col min="5" max="5" width="8.140625" style="0" customWidth="1"/>
    <col min="7" max="7" width="10.28125" style="0" customWidth="1"/>
    <col min="8" max="8" width="10.7109375" style="0" customWidth="1"/>
    <col min="10" max="11" width="10.7109375" style="0" customWidth="1"/>
    <col min="13" max="13" width="9.00390625" style="0" hidden="1" customWidth="1"/>
    <col min="14" max="16" width="8.8515625" style="0" hidden="1" customWidth="1"/>
  </cols>
  <sheetData>
    <row r="1" spans="1:8" ht="15" customHeight="1">
      <c r="A1" t="s">
        <v>0</v>
      </c>
      <c r="C1" t="s">
        <v>36</v>
      </c>
      <c r="H1">
        <v>72</v>
      </c>
    </row>
    <row r="2" spans="3:8" ht="12.75">
      <c r="C2" t="s">
        <v>37</v>
      </c>
      <c r="H2">
        <v>76</v>
      </c>
    </row>
    <row r="3" ht="12.75">
      <c r="A3" t="s">
        <v>670</v>
      </c>
    </row>
    <row r="4" ht="12" customHeight="1">
      <c r="A4" t="s">
        <v>51</v>
      </c>
    </row>
    <row r="5" spans="1:12" s="1" customFormat="1" ht="114.75" customHeight="1">
      <c r="A5" s="1" t="s">
        <v>692</v>
      </c>
      <c r="B5" s="1" t="s">
        <v>2</v>
      </c>
      <c r="C5" s="13" t="s">
        <v>547</v>
      </c>
      <c r="D5" s="13" t="s">
        <v>558</v>
      </c>
      <c r="E5" s="1" t="s">
        <v>4</v>
      </c>
      <c r="F5" s="1" t="s">
        <v>38</v>
      </c>
      <c r="G5" s="1" t="s">
        <v>39</v>
      </c>
      <c r="H5" s="1" t="s">
        <v>40</v>
      </c>
      <c r="I5" s="1" t="s">
        <v>41</v>
      </c>
      <c r="J5" s="1" t="s">
        <v>42</v>
      </c>
      <c r="K5" s="1" t="s">
        <v>43</v>
      </c>
      <c r="L5" s="1" t="s">
        <v>44</v>
      </c>
    </row>
    <row r="6" spans="1:12" ht="14.25" customHeight="1">
      <c r="A6">
        <v>1</v>
      </c>
      <c r="B6" t="s">
        <v>5</v>
      </c>
      <c r="C6" s="14" t="s">
        <v>613</v>
      </c>
      <c r="D6" s="14" t="s">
        <v>552</v>
      </c>
      <c r="E6">
        <v>8</v>
      </c>
      <c r="F6">
        <f aca="true" t="shared" si="0" ref="F6:F44">E6*H$2</f>
        <v>608</v>
      </c>
      <c r="G6" s="2"/>
      <c r="H6" s="2"/>
      <c r="I6" s="2"/>
      <c r="J6" s="2"/>
      <c r="K6" s="2"/>
      <c r="L6" s="2"/>
    </row>
    <row r="7" spans="1:12" ht="12.75">
      <c r="A7" s="22">
        <v>2</v>
      </c>
      <c r="B7" t="s">
        <v>7</v>
      </c>
      <c r="C7" t="s">
        <v>611</v>
      </c>
      <c r="D7" s="14" t="s">
        <v>563</v>
      </c>
      <c r="E7">
        <v>20</v>
      </c>
      <c r="F7">
        <f t="shared" si="0"/>
        <v>1520</v>
      </c>
      <c r="G7" s="2"/>
      <c r="H7" s="2"/>
      <c r="I7" s="2"/>
      <c r="J7" s="2"/>
      <c r="K7" s="2"/>
      <c r="L7" s="2"/>
    </row>
    <row r="8" spans="1:12" ht="12.75">
      <c r="A8" s="22">
        <v>3</v>
      </c>
      <c r="B8" t="s">
        <v>210</v>
      </c>
      <c r="C8" t="s">
        <v>549</v>
      </c>
      <c r="D8" s="14" t="s">
        <v>557</v>
      </c>
      <c r="E8">
        <v>64</v>
      </c>
      <c r="F8">
        <f t="shared" si="0"/>
        <v>4864</v>
      </c>
      <c r="G8" s="2"/>
      <c r="H8" s="2"/>
      <c r="I8" s="2"/>
      <c r="J8" s="2"/>
      <c r="K8" s="2"/>
      <c r="L8" s="2"/>
    </row>
    <row r="9" spans="1:12" ht="25.5">
      <c r="A9" s="22">
        <v>4</v>
      </c>
      <c r="B9" s="1" t="s">
        <v>597</v>
      </c>
      <c r="C9" t="s">
        <v>549</v>
      </c>
      <c r="D9" s="14" t="s">
        <v>548</v>
      </c>
      <c r="E9">
        <v>24</v>
      </c>
      <c r="F9">
        <f t="shared" si="0"/>
        <v>1824</v>
      </c>
      <c r="G9" s="2"/>
      <c r="H9" s="2"/>
      <c r="I9" s="2"/>
      <c r="J9" s="2"/>
      <c r="K9" s="2"/>
      <c r="L9" s="2"/>
    </row>
    <row r="10" spans="1:12" ht="12.75">
      <c r="A10" s="22">
        <v>5</v>
      </c>
      <c r="B10" t="s">
        <v>247</v>
      </c>
      <c r="C10" t="s">
        <v>549</v>
      </c>
      <c r="D10" s="14" t="s">
        <v>555</v>
      </c>
      <c r="E10">
        <v>8</v>
      </c>
      <c r="F10">
        <f t="shared" si="0"/>
        <v>608</v>
      </c>
      <c r="G10" s="2"/>
      <c r="H10" s="2"/>
      <c r="I10" s="2"/>
      <c r="J10" s="2"/>
      <c r="K10" s="2"/>
      <c r="L10" s="2"/>
    </row>
    <row r="11" spans="1:12" ht="12.75">
      <c r="A11" s="22">
        <v>6</v>
      </c>
      <c r="B11" t="s">
        <v>150</v>
      </c>
      <c r="C11" t="s">
        <v>616</v>
      </c>
      <c r="D11" s="14" t="s">
        <v>559</v>
      </c>
      <c r="E11">
        <v>1</v>
      </c>
      <c r="F11">
        <f t="shared" si="0"/>
        <v>76</v>
      </c>
      <c r="G11" s="2"/>
      <c r="H11" s="2"/>
      <c r="I11" s="2">
        <v>5.8</v>
      </c>
      <c r="J11" s="2"/>
      <c r="K11" s="2"/>
      <c r="L11" s="2">
        <f aca="true" t="shared" si="1" ref="L11:L18">I11*F11</f>
        <v>440.8</v>
      </c>
    </row>
    <row r="12" spans="1:12" ht="12.75">
      <c r="A12" s="22">
        <v>7</v>
      </c>
      <c r="B12" t="s">
        <v>151</v>
      </c>
      <c r="C12" t="s">
        <v>617</v>
      </c>
      <c r="D12" s="14" t="s">
        <v>565</v>
      </c>
      <c r="E12">
        <v>1</v>
      </c>
      <c r="F12">
        <f t="shared" si="0"/>
        <v>76</v>
      </c>
      <c r="G12" s="2"/>
      <c r="H12" s="2"/>
      <c r="I12" s="2">
        <v>5.8</v>
      </c>
      <c r="J12" s="2"/>
      <c r="K12" s="2"/>
      <c r="L12" s="2">
        <f t="shared" si="1"/>
        <v>440.8</v>
      </c>
    </row>
    <row r="13" spans="1:12" ht="12.75">
      <c r="A13" s="22">
        <v>8</v>
      </c>
      <c r="B13" t="s">
        <v>152</v>
      </c>
      <c r="C13" t="s">
        <v>618</v>
      </c>
      <c r="D13" s="14" t="s">
        <v>560</v>
      </c>
      <c r="E13">
        <v>1</v>
      </c>
      <c r="F13">
        <f t="shared" si="0"/>
        <v>76</v>
      </c>
      <c r="G13" s="2"/>
      <c r="H13" s="2"/>
      <c r="I13" s="2">
        <v>5.8</v>
      </c>
      <c r="J13" s="2"/>
      <c r="K13" s="2"/>
      <c r="L13" s="2">
        <f t="shared" si="1"/>
        <v>440.8</v>
      </c>
    </row>
    <row r="14" spans="1:12" ht="12.75">
      <c r="A14">
        <v>9</v>
      </c>
      <c r="B14" t="s">
        <v>153</v>
      </c>
      <c r="C14" t="s">
        <v>633</v>
      </c>
      <c r="D14" s="14" t="s">
        <v>566</v>
      </c>
      <c r="E14">
        <v>1</v>
      </c>
      <c r="F14">
        <f t="shared" si="0"/>
        <v>76</v>
      </c>
      <c r="G14" s="2"/>
      <c r="H14" s="2"/>
      <c r="I14" s="2">
        <v>5.8</v>
      </c>
      <c r="J14" s="2"/>
      <c r="K14" s="2"/>
      <c r="L14" s="2">
        <f t="shared" si="1"/>
        <v>440.8</v>
      </c>
    </row>
    <row r="15" spans="1:12" ht="12.75">
      <c r="A15">
        <v>10</v>
      </c>
      <c r="B15" t="s">
        <v>150</v>
      </c>
      <c r="C15" t="s">
        <v>659</v>
      </c>
      <c r="D15" t="s">
        <v>559</v>
      </c>
      <c r="E15">
        <v>1</v>
      </c>
      <c r="F15">
        <f t="shared" si="0"/>
        <v>76</v>
      </c>
      <c r="G15" s="2"/>
      <c r="H15" s="2"/>
      <c r="I15" s="2">
        <v>6.1</v>
      </c>
      <c r="J15" s="2"/>
      <c r="K15" s="2"/>
      <c r="L15" s="2">
        <f t="shared" si="1"/>
        <v>463.59999999999997</v>
      </c>
    </row>
    <row r="16" spans="1:12" ht="12.75">
      <c r="A16">
        <v>11</v>
      </c>
      <c r="B16" t="s">
        <v>151</v>
      </c>
      <c r="C16" t="s">
        <v>660</v>
      </c>
      <c r="D16" t="s">
        <v>565</v>
      </c>
      <c r="E16">
        <v>1</v>
      </c>
      <c r="F16">
        <f t="shared" si="0"/>
        <v>76</v>
      </c>
      <c r="G16" s="2"/>
      <c r="H16" s="2"/>
      <c r="I16" s="2">
        <v>6.1</v>
      </c>
      <c r="J16" s="2"/>
      <c r="K16" s="2"/>
      <c r="L16" s="2">
        <f t="shared" si="1"/>
        <v>463.59999999999997</v>
      </c>
    </row>
    <row r="17" spans="1:12" ht="12.75">
      <c r="A17">
        <v>12</v>
      </c>
      <c r="B17" t="s">
        <v>154</v>
      </c>
      <c r="C17" t="s">
        <v>661</v>
      </c>
      <c r="D17" t="s">
        <v>695</v>
      </c>
      <c r="E17">
        <v>1</v>
      </c>
      <c r="F17">
        <f t="shared" si="0"/>
        <v>76</v>
      </c>
      <c r="G17" s="2"/>
      <c r="H17" s="2"/>
      <c r="I17" s="2">
        <v>6.1</v>
      </c>
      <c r="J17" s="2"/>
      <c r="K17" s="2"/>
      <c r="L17" s="2">
        <f t="shared" si="1"/>
        <v>463.59999999999997</v>
      </c>
    </row>
    <row r="18" spans="1:12" ht="12.75">
      <c r="A18">
        <v>13</v>
      </c>
      <c r="B18" t="s">
        <v>155</v>
      </c>
      <c r="C18" t="s">
        <v>662</v>
      </c>
      <c r="D18" t="s">
        <v>696</v>
      </c>
      <c r="E18">
        <v>1</v>
      </c>
      <c r="F18">
        <f t="shared" si="0"/>
        <v>76</v>
      </c>
      <c r="G18" s="2"/>
      <c r="H18" s="2"/>
      <c r="I18" s="2">
        <v>6.1</v>
      </c>
      <c r="J18" s="2"/>
      <c r="K18" s="2"/>
      <c r="L18" s="2">
        <f t="shared" si="1"/>
        <v>463.59999999999997</v>
      </c>
    </row>
    <row r="19" spans="1:12" ht="12.75">
      <c r="A19">
        <v>14</v>
      </c>
      <c r="B19" t="s">
        <v>14</v>
      </c>
      <c r="C19" t="s">
        <v>342</v>
      </c>
      <c r="D19" t="s">
        <v>697</v>
      </c>
      <c r="E19">
        <v>1</v>
      </c>
      <c r="F19">
        <f t="shared" si="0"/>
        <v>76</v>
      </c>
      <c r="G19" s="2"/>
      <c r="H19" s="2">
        <v>21.56</v>
      </c>
      <c r="I19" s="2"/>
      <c r="J19" s="2"/>
      <c r="K19" s="2">
        <f>H19*F19</f>
        <v>1638.56</v>
      </c>
      <c r="L19" s="2"/>
    </row>
    <row r="20" spans="1:12" ht="12.75">
      <c r="A20">
        <v>15</v>
      </c>
      <c r="B20" t="s">
        <v>15</v>
      </c>
      <c r="C20" t="s">
        <v>663</v>
      </c>
      <c r="D20" t="s">
        <v>698</v>
      </c>
      <c r="E20">
        <v>1</v>
      </c>
      <c r="F20">
        <f t="shared" si="0"/>
        <v>76</v>
      </c>
      <c r="G20" s="2"/>
      <c r="H20" s="2">
        <v>21.56</v>
      </c>
      <c r="I20" s="2"/>
      <c r="J20" s="2"/>
      <c r="K20" s="2">
        <f>H20*F20</f>
        <v>1638.56</v>
      </c>
      <c r="L20" s="2"/>
    </row>
    <row r="21" spans="1:12" ht="12.75">
      <c r="A21">
        <v>16</v>
      </c>
      <c r="B21" t="s">
        <v>250</v>
      </c>
      <c r="C21" s="14" t="s">
        <v>664</v>
      </c>
      <c r="D21" s="14" t="s">
        <v>699</v>
      </c>
      <c r="E21">
        <v>1</v>
      </c>
      <c r="F21">
        <f t="shared" si="0"/>
        <v>76</v>
      </c>
      <c r="G21" s="2">
        <v>73.38</v>
      </c>
      <c r="H21" s="2"/>
      <c r="I21" s="2"/>
      <c r="J21" s="2">
        <f aca="true" t="shared" si="2" ref="J21:J26">F21*G21</f>
        <v>5576.879999999999</v>
      </c>
      <c r="K21" s="2"/>
      <c r="L21" s="2"/>
    </row>
    <row r="22" spans="1:12" ht="12.75">
      <c r="A22">
        <v>17</v>
      </c>
      <c r="B22" t="s">
        <v>251</v>
      </c>
      <c r="C22" s="14" t="s">
        <v>665</v>
      </c>
      <c r="D22" s="14" t="s">
        <v>700</v>
      </c>
      <c r="E22">
        <v>1</v>
      </c>
      <c r="F22">
        <f t="shared" si="0"/>
        <v>76</v>
      </c>
      <c r="G22" s="2">
        <v>73.38</v>
      </c>
      <c r="H22" s="2"/>
      <c r="I22" s="2"/>
      <c r="J22" s="2">
        <f t="shared" si="2"/>
        <v>5576.879999999999</v>
      </c>
      <c r="K22" s="2"/>
      <c r="L22" s="2"/>
    </row>
    <row r="23" spans="1:12" ht="12.75">
      <c r="A23">
        <v>18</v>
      </c>
      <c r="B23" t="s">
        <v>252</v>
      </c>
      <c r="C23" s="14" t="s">
        <v>671</v>
      </c>
      <c r="D23" s="14" t="s">
        <v>702</v>
      </c>
      <c r="E23">
        <v>1</v>
      </c>
      <c r="F23">
        <f t="shared" si="0"/>
        <v>76</v>
      </c>
      <c r="G23" s="2">
        <v>73.38</v>
      </c>
      <c r="H23" s="2"/>
      <c r="I23" s="2"/>
      <c r="J23" s="2">
        <f t="shared" si="2"/>
        <v>5576.879999999999</v>
      </c>
      <c r="K23" s="2"/>
      <c r="L23" s="2"/>
    </row>
    <row r="24" spans="1:12" ht="12.75">
      <c r="A24">
        <v>19</v>
      </c>
      <c r="B24" t="s">
        <v>253</v>
      </c>
      <c r="C24" s="14" t="s">
        <v>672</v>
      </c>
      <c r="D24" s="14" t="s">
        <v>701</v>
      </c>
      <c r="E24">
        <v>1</v>
      </c>
      <c r="F24">
        <f t="shared" si="0"/>
        <v>76</v>
      </c>
      <c r="G24" s="2">
        <v>73.38</v>
      </c>
      <c r="H24" s="2"/>
      <c r="I24" s="2"/>
      <c r="J24" s="2">
        <f t="shared" si="2"/>
        <v>5576.879999999999</v>
      </c>
      <c r="K24" s="2"/>
      <c r="L24" s="2"/>
    </row>
    <row r="25" spans="1:12" ht="12.75">
      <c r="A25">
        <v>20</v>
      </c>
      <c r="B25" t="s">
        <v>20</v>
      </c>
      <c r="C25" s="14" t="s">
        <v>673</v>
      </c>
      <c r="D25" s="14" t="s">
        <v>703</v>
      </c>
      <c r="E25">
        <v>1</v>
      </c>
      <c r="F25">
        <f t="shared" si="0"/>
        <v>76</v>
      </c>
      <c r="G25" s="2">
        <v>34.9</v>
      </c>
      <c r="H25" s="2"/>
      <c r="I25" s="2"/>
      <c r="J25" s="2">
        <f t="shared" si="2"/>
        <v>2652.4</v>
      </c>
      <c r="K25" s="2"/>
      <c r="L25" s="2"/>
    </row>
    <row r="26" spans="1:12" ht="12.75">
      <c r="A26">
        <v>21</v>
      </c>
      <c r="B26" t="s">
        <v>21</v>
      </c>
      <c r="C26" t="s">
        <v>666</v>
      </c>
      <c r="D26" t="s">
        <v>704</v>
      </c>
      <c r="E26">
        <v>1</v>
      </c>
      <c r="F26">
        <f t="shared" si="0"/>
        <v>76</v>
      </c>
      <c r="G26" s="2">
        <v>34.9</v>
      </c>
      <c r="H26" s="2"/>
      <c r="I26" s="2"/>
      <c r="J26" s="2">
        <f t="shared" si="2"/>
        <v>2652.4</v>
      </c>
      <c r="K26" s="2"/>
      <c r="L26" s="2"/>
    </row>
    <row r="27" spans="1:12" ht="12.75">
      <c r="A27">
        <v>22</v>
      </c>
      <c r="B27" t="s">
        <v>209</v>
      </c>
      <c r="C27" t="s">
        <v>549</v>
      </c>
      <c r="D27" s="14" t="s">
        <v>576</v>
      </c>
      <c r="E27">
        <v>46</v>
      </c>
      <c r="F27">
        <f t="shared" si="0"/>
        <v>3496</v>
      </c>
      <c r="G27" s="2"/>
      <c r="H27" s="2"/>
      <c r="I27" s="2"/>
      <c r="J27" s="2"/>
      <c r="K27" s="2"/>
      <c r="L27" s="2"/>
    </row>
    <row r="28" spans="1:12" ht="12.75">
      <c r="A28">
        <v>23</v>
      </c>
      <c r="B28" t="s">
        <v>228</v>
      </c>
      <c r="C28" t="s">
        <v>549</v>
      </c>
      <c r="D28" s="14" t="s">
        <v>577</v>
      </c>
      <c r="E28">
        <v>46</v>
      </c>
      <c r="F28">
        <f t="shared" si="0"/>
        <v>3496</v>
      </c>
      <c r="G28" s="2"/>
      <c r="H28" s="2"/>
      <c r="I28" s="2"/>
      <c r="J28" s="2"/>
      <c r="K28" s="2"/>
      <c r="L28" s="2"/>
    </row>
    <row r="29" spans="1:12" ht="12.75">
      <c r="A29">
        <v>24</v>
      </c>
      <c r="B29" t="s">
        <v>23</v>
      </c>
      <c r="C29" t="s">
        <v>667</v>
      </c>
      <c r="D29" t="s">
        <v>705</v>
      </c>
      <c r="E29">
        <v>1</v>
      </c>
      <c r="F29">
        <f t="shared" si="0"/>
        <v>76</v>
      </c>
      <c r="G29" s="2"/>
      <c r="H29" s="2"/>
      <c r="I29" s="2"/>
      <c r="J29" s="2"/>
      <c r="K29" s="2"/>
      <c r="L29" s="2"/>
    </row>
    <row r="30" spans="1:12" ht="12.75">
      <c r="A30">
        <v>25</v>
      </c>
      <c r="B30" t="s">
        <v>438</v>
      </c>
      <c r="C30" t="s">
        <v>677</v>
      </c>
      <c r="D30" t="s">
        <v>706</v>
      </c>
      <c r="E30">
        <v>1</v>
      </c>
      <c r="F30">
        <f t="shared" si="0"/>
        <v>76</v>
      </c>
      <c r="G30" s="2"/>
      <c r="H30" s="2"/>
      <c r="I30" s="2"/>
      <c r="J30" s="2"/>
      <c r="K30" s="2"/>
      <c r="L30" s="2"/>
    </row>
    <row r="31" spans="1:12" ht="12.75">
      <c r="A31">
        <v>26</v>
      </c>
      <c r="B31" t="s">
        <v>25</v>
      </c>
      <c r="C31" t="s">
        <v>668</v>
      </c>
      <c r="D31" t="s">
        <v>707</v>
      </c>
      <c r="E31">
        <v>1</v>
      </c>
      <c r="F31">
        <f t="shared" si="0"/>
        <v>76</v>
      </c>
      <c r="G31" s="2"/>
      <c r="H31" s="2"/>
      <c r="I31" s="2"/>
      <c r="J31" s="2"/>
      <c r="K31" s="2"/>
      <c r="L31" s="2"/>
    </row>
    <row r="32" spans="1:12" ht="12.75">
      <c r="A32">
        <v>27</v>
      </c>
      <c r="B32" t="s">
        <v>248</v>
      </c>
      <c r="C32" t="s">
        <v>669</v>
      </c>
      <c r="D32" t="s">
        <v>554</v>
      </c>
      <c r="E32">
        <v>4</v>
      </c>
      <c r="F32">
        <f t="shared" si="0"/>
        <v>304</v>
      </c>
      <c r="G32" s="2"/>
      <c r="H32" s="2"/>
      <c r="I32" s="2"/>
      <c r="J32" s="2"/>
      <c r="K32" s="2"/>
      <c r="L32" s="2"/>
    </row>
    <row r="33" spans="1:6" ht="12.75">
      <c r="A33">
        <v>28</v>
      </c>
      <c r="B33" t="s">
        <v>208</v>
      </c>
      <c r="C33" t="s">
        <v>549</v>
      </c>
      <c r="D33" s="14" t="s">
        <v>581</v>
      </c>
      <c r="E33">
        <v>26</v>
      </c>
      <c r="F33">
        <f t="shared" si="0"/>
        <v>1976</v>
      </c>
    </row>
    <row r="34" spans="1:12" ht="12.75">
      <c r="A34">
        <v>29</v>
      </c>
      <c r="B34" t="s">
        <v>260</v>
      </c>
      <c r="C34" t="s">
        <v>549</v>
      </c>
      <c r="D34" s="13" t="s">
        <v>601</v>
      </c>
      <c r="E34">
        <v>24</v>
      </c>
      <c r="F34">
        <f t="shared" si="0"/>
        <v>1824</v>
      </c>
      <c r="G34" s="2"/>
      <c r="H34" s="2"/>
      <c r="I34" s="2"/>
      <c r="J34" s="2"/>
      <c r="K34" s="2"/>
      <c r="L34" s="2"/>
    </row>
    <row r="35" spans="1:12" ht="12.75">
      <c r="A35" s="22">
        <v>30</v>
      </c>
      <c r="B35" t="s">
        <v>249</v>
      </c>
      <c r="C35" t="s">
        <v>549</v>
      </c>
      <c r="D35" s="14" t="s">
        <v>582</v>
      </c>
      <c r="E35">
        <v>8</v>
      </c>
      <c r="F35">
        <f t="shared" si="0"/>
        <v>608</v>
      </c>
      <c r="G35" s="2"/>
      <c r="H35" s="2"/>
      <c r="I35" s="2"/>
      <c r="J35" s="2"/>
      <c r="K35" s="2"/>
      <c r="L35" s="2"/>
    </row>
    <row r="36" spans="1:12" ht="12.75">
      <c r="A36">
        <v>31</v>
      </c>
      <c r="B36" t="s">
        <v>157</v>
      </c>
      <c r="C36" t="s">
        <v>624</v>
      </c>
      <c r="D36" s="14" t="s">
        <v>556</v>
      </c>
      <c r="E36">
        <v>2</v>
      </c>
      <c r="F36">
        <f t="shared" si="0"/>
        <v>152</v>
      </c>
      <c r="G36" s="2"/>
      <c r="H36" s="2"/>
      <c r="I36" s="2"/>
      <c r="J36" s="2"/>
      <c r="K36" s="2"/>
      <c r="L36" s="2"/>
    </row>
    <row r="37" spans="1:6" ht="12.75">
      <c r="A37" s="22">
        <v>32</v>
      </c>
      <c r="B37" t="s">
        <v>219</v>
      </c>
      <c r="C37" s="14" t="s">
        <v>549</v>
      </c>
      <c r="D37" s="14" t="s">
        <v>564</v>
      </c>
      <c r="E37">
        <v>2</v>
      </c>
      <c r="F37">
        <f t="shared" si="0"/>
        <v>152</v>
      </c>
    </row>
    <row r="38" spans="1:12" ht="12.75">
      <c r="A38">
        <v>33</v>
      </c>
      <c r="B38" t="s">
        <v>216</v>
      </c>
      <c r="C38" s="14" t="s">
        <v>549</v>
      </c>
      <c r="D38" s="14" t="s">
        <v>550</v>
      </c>
      <c r="E38">
        <v>2</v>
      </c>
      <c r="F38">
        <f t="shared" si="0"/>
        <v>152</v>
      </c>
      <c r="G38" s="2"/>
      <c r="H38" s="2"/>
      <c r="I38" s="2"/>
      <c r="J38" s="2"/>
      <c r="K38" s="2"/>
      <c r="L38" s="2"/>
    </row>
    <row r="39" spans="1:12" ht="12.75">
      <c r="A39" s="15">
        <v>34</v>
      </c>
      <c r="B39" s="15" t="s">
        <v>261</v>
      </c>
      <c r="C39" s="18" t="s">
        <v>215</v>
      </c>
      <c r="D39" s="18"/>
      <c r="E39" s="15">
        <f>0*7</f>
        <v>0</v>
      </c>
      <c r="F39" s="15">
        <f t="shared" si="0"/>
        <v>0</v>
      </c>
      <c r="G39" s="17"/>
      <c r="H39" s="17"/>
      <c r="I39" s="17"/>
      <c r="J39" s="17"/>
      <c r="K39" s="17"/>
      <c r="L39" s="17"/>
    </row>
    <row r="40" spans="1:12" ht="12.75">
      <c r="A40" s="22">
        <v>35</v>
      </c>
      <c r="B40" s="1" t="s">
        <v>650</v>
      </c>
      <c r="C40" s="14" t="s">
        <v>610</v>
      </c>
      <c r="D40" s="14" t="s">
        <v>584</v>
      </c>
      <c r="E40">
        <v>4</v>
      </c>
      <c r="F40">
        <f t="shared" si="0"/>
        <v>304</v>
      </c>
      <c r="G40" s="2"/>
      <c r="H40" s="2"/>
      <c r="I40" s="2"/>
      <c r="J40" s="2"/>
      <c r="K40" s="2"/>
      <c r="L40" s="2"/>
    </row>
    <row r="41" spans="1:6" ht="25.5">
      <c r="A41" s="22">
        <v>36</v>
      </c>
      <c r="B41" s="1" t="s">
        <v>653</v>
      </c>
      <c r="C41" s="14" t="s">
        <v>610</v>
      </c>
      <c r="D41" s="14" t="s">
        <v>585</v>
      </c>
      <c r="E41">
        <v>4</v>
      </c>
      <c r="F41">
        <f t="shared" si="0"/>
        <v>304</v>
      </c>
    </row>
    <row r="42" spans="1:12" ht="12.75">
      <c r="A42">
        <v>37</v>
      </c>
      <c r="B42" s="1" t="s">
        <v>656</v>
      </c>
      <c r="C42" s="14" t="s">
        <v>610</v>
      </c>
      <c r="D42" s="14" t="s">
        <v>586</v>
      </c>
      <c r="E42">
        <v>8</v>
      </c>
      <c r="F42">
        <f t="shared" si="0"/>
        <v>608</v>
      </c>
      <c r="G42" s="2"/>
      <c r="H42" s="2"/>
      <c r="I42" s="2"/>
      <c r="J42" s="2"/>
      <c r="K42" s="2"/>
      <c r="L42" s="2"/>
    </row>
    <row r="43" spans="1:17" ht="12.75">
      <c r="A43">
        <v>38</v>
      </c>
      <c r="B43" t="s">
        <v>234</v>
      </c>
      <c r="C43" t="s">
        <v>549</v>
      </c>
      <c r="D43" s="14" t="s">
        <v>592</v>
      </c>
      <c r="E43">
        <v>8</v>
      </c>
      <c r="F43">
        <f t="shared" si="0"/>
        <v>608</v>
      </c>
      <c r="G43" s="2"/>
      <c r="H43" s="2"/>
      <c r="I43" s="2"/>
      <c r="J43" s="2"/>
      <c r="K43" s="2"/>
      <c r="L43" s="2"/>
      <c r="P43" s="10"/>
      <c r="Q43" s="2"/>
    </row>
    <row r="44" spans="1:17" ht="12.75">
      <c r="A44">
        <v>39</v>
      </c>
      <c r="B44" t="s">
        <v>590</v>
      </c>
      <c r="C44" t="s">
        <v>674</v>
      </c>
      <c r="D44" t="s">
        <v>549</v>
      </c>
      <c r="E44">
        <v>1</v>
      </c>
      <c r="F44">
        <f t="shared" si="0"/>
        <v>76</v>
      </c>
      <c r="G44" s="2"/>
      <c r="H44" s="2"/>
      <c r="I44" s="2"/>
      <c r="J44" s="2"/>
      <c r="K44" s="2"/>
      <c r="L44" s="2"/>
      <c r="P44" s="10"/>
      <c r="Q44" s="2"/>
    </row>
    <row r="45" spans="7:17" ht="12.75">
      <c r="G45" s="2"/>
      <c r="H45" s="2"/>
      <c r="I45" s="2"/>
      <c r="J45" s="2"/>
      <c r="K45" s="2"/>
      <c r="L45" s="2"/>
      <c r="P45" s="10"/>
      <c r="Q45" s="2"/>
    </row>
    <row r="46" spans="1:17" ht="12.75">
      <c r="A46" t="s">
        <v>675</v>
      </c>
      <c r="G46" s="2"/>
      <c r="H46" s="2"/>
      <c r="I46" s="2"/>
      <c r="J46" s="2"/>
      <c r="K46" s="2"/>
      <c r="L46" s="2"/>
      <c r="P46" s="10"/>
      <c r="Q46" s="2"/>
    </row>
    <row r="47" spans="1:12" ht="12.75">
      <c r="A47" t="s">
        <v>676</v>
      </c>
      <c r="G47" s="2"/>
      <c r="H47" s="2"/>
      <c r="I47" s="2"/>
      <c r="J47" s="2"/>
      <c r="K47" s="2"/>
      <c r="L47" s="2"/>
    </row>
    <row r="48" spans="6:11" ht="12.75">
      <c r="F48" s="2"/>
      <c r="G48" s="2"/>
      <c r="H48" s="2"/>
      <c r="I48" s="2"/>
      <c r="J48" s="2"/>
      <c r="K48" s="2"/>
    </row>
    <row r="49" spans="2:12" ht="12.75">
      <c r="B49" t="s">
        <v>45</v>
      </c>
      <c r="J49" s="2">
        <f>SUM(J6:J45)</f>
        <v>27612.32</v>
      </c>
      <c r="K49" s="2">
        <f>SUM(K6:K45)</f>
        <v>3277.12</v>
      </c>
      <c r="L49" s="2">
        <f>SUM(L6:L45)</f>
        <v>3617.6</v>
      </c>
    </row>
    <row r="50" spans="2:12" ht="12.75">
      <c r="B50" t="s">
        <v>224</v>
      </c>
      <c r="J50" s="2">
        <f>J49/12</f>
        <v>2301.0266666666666</v>
      </c>
      <c r="K50" s="2">
        <f>K49/12</f>
        <v>273.0933333333333</v>
      </c>
      <c r="L50" s="2">
        <f>L49/12</f>
        <v>301.46666666666664</v>
      </c>
    </row>
    <row r="51" spans="2:12" ht="12.75">
      <c r="B51" t="s">
        <v>46</v>
      </c>
      <c r="J51" s="3">
        <f>(6*82.5-3.2+6*16-19.05*1.78-2)/25.4/25.4</f>
        <v>0.8554327608655218</v>
      </c>
      <c r="K51" s="3">
        <f>(6*82.5-3.2+6*16-19.05*1.78-2-5)/25.4/25.4</f>
        <v>0.8476827453654908</v>
      </c>
      <c r="L51" s="3">
        <f>(9*82.5+(126.5-82.5)*6+91.75*6)/25.4/25.4</f>
        <v>2.4133548267096536</v>
      </c>
    </row>
    <row r="52" spans="2:12" ht="12.75">
      <c r="B52" t="s">
        <v>47</v>
      </c>
      <c r="J52" s="2">
        <f>J49*J51*0.098</f>
        <v>2314.807346887222</v>
      </c>
      <c r="K52" s="2">
        <f>K49*K51*0.098</f>
        <v>272.2398916922314</v>
      </c>
      <c r="L52" s="2">
        <f>L49*L51*0.098</f>
        <v>855.5941372682747</v>
      </c>
    </row>
    <row r="53" spans="2:12" ht="12.75">
      <c r="B53" t="s">
        <v>49</v>
      </c>
      <c r="J53" s="2">
        <f>J49*J51*4/1728</f>
        <v>54.67704428588487</v>
      </c>
      <c r="K53" s="2">
        <f>K49*K51*4/1728</f>
        <v>6.430458515028142</v>
      </c>
      <c r="L53" s="2">
        <f>L49*L51*4/1728</f>
        <v>20.20961208589084</v>
      </c>
    </row>
  </sheetData>
  <printOptions gridLines="1"/>
  <pageMargins left="0.5" right="0.5" top="0.5" bottom="0.5" header="0.25" footer="0.25"/>
  <pageSetup fitToHeight="1" fitToWidth="1" horizontalDpi="600" verticalDpi="600" orientation="portrait" scale="76" r:id="rId1"/>
  <headerFooter alignWithMargins="0">
    <oddHeader>&amp;C&amp;A&amp;R&amp;F</oddHeader>
    <oddFooter>&amp;LK. Kriesel&amp;CPage &amp;P of &amp;N&amp;R&amp;D &amp;T</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9"/>
  <sheetViews>
    <sheetView workbookViewId="0" topLeftCell="A1">
      <pane xSplit="9195" ySplit="3585" topLeftCell="G6" activePane="bottomRight" state="split"/>
      <selection pane="topLeft" activeCell="D46" sqref="D46"/>
      <selection pane="topRight" activeCell="D46" sqref="D46"/>
      <selection pane="bottomLeft" activeCell="F29" sqref="F29"/>
      <selection pane="bottomRight" activeCell="K18" sqref="K18"/>
    </sheetView>
  </sheetViews>
  <sheetFormatPr defaultColWidth="9.140625" defaultRowHeight="12.75"/>
  <cols>
    <col min="1" max="1" width="8.140625" style="0" customWidth="1"/>
    <col min="2" max="2" width="33.140625" style="0" customWidth="1"/>
    <col min="3" max="3" width="14.28125" style="0" customWidth="1"/>
    <col min="4" max="4" width="18.28125" style="0" customWidth="1"/>
  </cols>
  <sheetData>
    <row r="1" spans="1:8" ht="12.75">
      <c r="A1" t="s">
        <v>0</v>
      </c>
      <c r="C1" t="s">
        <v>36</v>
      </c>
      <c r="H1">
        <v>72</v>
      </c>
    </row>
    <row r="2" spans="1:8" ht="12.75">
      <c r="A2" s="5" t="s">
        <v>344</v>
      </c>
      <c r="B2" s="5"/>
      <c r="C2" t="s">
        <v>37</v>
      </c>
      <c r="H2">
        <v>76</v>
      </c>
    </row>
    <row r="3" ht="12.75">
      <c r="A3" t="s">
        <v>56</v>
      </c>
    </row>
    <row r="4" ht="12.75">
      <c r="A4" t="s">
        <v>51</v>
      </c>
    </row>
    <row r="5" spans="1:12" s="1" customFormat="1" ht="102">
      <c r="A5" s="1" t="s">
        <v>692</v>
      </c>
      <c r="B5" s="1" t="s">
        <v>2</v>
      </c>
      <c r="C5" s="13" t="s">
        <v>547</v>
      </c>
      <c r="D5" s="13" t="s">
        <v>558</v>
      </c>
      <c r="E5" s="1" t="s">
        <v>4</v>
      </c>
      <c r="F5" s="1" t="s">
        <v>38</v>
      </c>
      <c r="G5" s="1" t="s">
        <v>39</v>
      </c>
      <c r="H5" s="1" t="s">
        <v>40</v>
      </c>
      <c r="I5" s="1" t="s">
        <v>41</v>
      </c>
      <c r="J5" s="1" t="s">
        <v>42</v>
      </c>
      <c r="K5" s="1" t="s">
        <v>43</v>
      </c>
      <c r="L5" s="1" t="s">
        <v>44</v>
      </c>
    </row>
    <row r="6" spans="1:12" ht="12.75">
      <c r="A6">
        <v>1</v>
      </c>
      <c r="B6" t="s">
        <v>5</v>
      </c>
      <c r="C6" s="14" t="s">
        <v>613</v>
      </c>
      <c r="D6" s="14" t="s">
        <v>552</v>
      </c>
      <c r="E6">
        <v>8</v>
      </c>
      <c r="F6">
        <f aca="true" t="shared" si="0" ref="F6:F41">E6*H$2</f>
        <v>608</v>
      </c>
      <c r="G6" s="2"/>
      <c r="H6" s="2"/>
      <c r="I6" s="2"/>
      <c r="J6" s="2"/>
      <c r="K6" s="2"/>
      <c r="L6" s="2"/>
    </row>
    <row r="7" spans="1:12" ht="12.75">
      <c r="A7">
        <v>2</v>
      </c>
      <c r="B7" t="s">
        <v>6</v>
      </c>
      <c r="C7" s="14" t="s">
        <v>612</v>
      </c>
      <c r="D7" s="14" t="s">
        <v>562</v>
      </c>
      <c r="E7">
        <v>0</v>
      </c>
      <c r="F7">
        <f t="shared" si="0"/>
        <v>0</v>
      </c>
      <c r="G7" s="2"/>
      <c r="H7" s="2"/>
      <c r="I7" s="2"/>
      <c r="J7" s="2"/>
      <c r="K7" s="2"/>
      <c r="L7" s="2"/>
    </row>
    <row r="8" spans="1:12" ht="12.75">
      <c r="A8">
        <v>3</v>
      </c>
      <c r="B8" t="s">
        <v>7</v>
      </c>
      <c r="C8" s="14" t="s">
        <v>611</v>
      </c>
      <c r="D8" s="14" t="s">
        <v>563</v>
      </c>
      <c r="E8">
        <v>18</v>
      </c>
      <c r="F8">
        <f t="shared" si="0"/>
        <v>1368</v>
      </c>
      <c r="G8" s="2"/>
      <c r="H8" s="2"/>
      <c r="I8" s="2"/>
      <c r="J8" s="2"/>
      <c r="K8" s="2"/>
      <c r="L8" s="2"/>
    </row>
    <row r="9" spans="1:12" ht="12.75">
      <c r="A9">
        <v>4</v>
      </c>
      <c r="B9" t="s">
        <v>146</v>
      </c>
      <c r="C9" s="14" t="s">
        <v>549</v>
      </c>
      <c r="D9" s="14" t="s">
        <v>557</v>
      </c>
      <c r="E9">
        <f>E8*2+E6*3</f>
        <v>60</v>
      </c>
      <c r="F9">
        <f t="shared" si="0"/>
        <v>4560</v>
      </c>
      <c r="G9" s="2"/>
      <c r="H9" s="2"/>
      <c r="I9" s="2"/>
      <c r="J9" s="2"/>
      <c r="K9" s="2"/>
      <c r="L9" s="2"/>
    </row>
    <row r="10" spans="1:12" ht="25.5">
      <c r="A10">
        <v>5</v>
      </c>
      <c r="B10" s="1" t="s">
        <v>597</v>
      </c>
      <c r="C10" s="14" t="s">
        <v>549</v>
      </c>
      <c r="D10" s="14" t="s">
        <v>548</v>
      </c>
      <c r="E10">
        <v>24</v>
      </c>
      <c r="F10">
        <f t="shared" si="0"/>
        <v>1824</v>
      </c>
      <c r="G10" s="2"/>
      <c r="H10" s="2"/>
      <c r="I10" s="2"/>
      <c r="J10" s="2"/>
      <c r="K10" s="2"/>
      <c r="L10" s="2"/>
    </row>
    <row r="11" spans="1:12" ht="12.75">
      <c r="A11">
        <v>6</v>
      </c>
      <c r="B11" t="s">
        <v>147</v>
      </c>
      <c r="C11" s="14" t="s">
        <v>549</v>
      </c>
      <c r="D11" s="14" t="s">
        <v>555</v>
      </c>
      <c r="E11">
        <v>8</v>
      </c>
      <c r="F11">
        <f t="shared" si="0"/>
        <v>608</v>
      </c>
      <c r="G11" s="2"/>
      <c r="H11" s="2"/>
      <c r="I11" s="2"/>
      <c r="J11" s="2"/>
      <c r="K11" s="2"/>
      <c r="L11" s="2"/>
    </row>
    <row r="12" spans="1:12" ht="12.75">
      <c r="A12">
        <v>7</v>
      </c>
      <c r="B12" t="s">
        <v>9</v>
      </c>
      <c r="C12" t="s">
        <v>346</v>
      </c>
      <c r="E12">
        <v>1</v>
      </c>
      <c r="F12">
        <f t="shared" si="0"/>
        <v>76</v>
      </c>
      <c r="G12" s="2"/>
      <c r="H12" s="2"/>
      <c r="I12" s="2">
        <v>5.8</v>
      </c>
      <c r="J12" s="2"/>
      <c r="K12" s="2"/>
      <c r="L12" s="2">
        <f aca="true" t="shared" si="1" ref="L12:L17">I12*F12</f>
        <v>440.8</v>
      </c>
    </row>
    <row r="13" spans="1:12" ht="12.75">
      <c r="A13">
        <v>8</v>
      </c>
      <c r="B13" t="s">
        <v>10</v>
      </c>
      <c r="C13" t="s">
        <v>347</v>
      </c>
      <c r="E13">
        <v>1</v>
      </c>
      <c r="F13">
        <f t="shared" si="0"/>
        <v>76</v>
      </c>
      <c r="G13" s="2"/>
      <c r="H13" s="2"/>
      <c r="I13" s="2">
        <v>5.8</v>
      </c>
      <c r="J13" s="2"/>
      <c r="K13" s="2"/>
      <c r="L13" s="2">
        <f t="shared" si="1"/>
        <v>440.8</v>
      </c>
    </row>
    <row r="14" spans="1:12" ht="12" customHeight="1">
      <c r="A14">
        <v>9</v>
      </c>
      <c r="B14" t="s">
        <v>152</v>
      </c>
      <c r="C14" t="s">
        <v>348</v>
      </c>
      <c r="E14">
        <v>1</v>
      </c>
      <c r="F14">
        <f t="shared" si="0"/>
        <v>76</v>
      </c>
      <c r="G14" s="2"/>
      <c r="H14" s="2"/>
      <c r="I14" s="2">
        <v>6.1</v>
      </c>
      <c r="J14" s="2"/>
      <c r="K14" s="2"/>
      <c r="L14" s="2">
        <f t="shared" si="1"/>
        <v>463.59999999999997</v>
      </c>
    </row>
    <row r="15" spans="1:12" ht="12" customHeight="1">
      <c r="A15">
        <v>10</v>
      </c>
      <c r="B15" t="s">
        <v>153</v>
      </c>
      <c r="C15" t="s">
        <v>349</v>
      </c>
      <c r="E15">
        <v>1</v>
      </c>
      <c r="F15">
        <f t="shared" si="0"/>
        <v>76</v>
      </c>
      <c r="G15" s="2"/>
      <c r="H15" s="2"/>
      <c r="I15" s="2">
        <v>6.1</v>
      </c>
      <c r="J15" s="2"/>
      <c r="K15" s="2"/>
      <c r="L15" s="2">
        <f t="shared" si="1"/>
        <v>463.59999999999997</v>
      </c>
    </row>
    <row r="16" spans="1:12" ht="12" customHeight="1">
      <c r="A16">
        <v>11</v>
      </c>
      <c r="B16" t="s">
        <v>154</v>
      </c>
      <c r="C16" t="s">
        <v>350</v>
      </c>
      <c r="E16">
        <v>1</v>
      </c>
      <c r="F16">
        <f t="shared" si="0"/>
        <v>76</v>
      </c>
      <c r="G16" s="2"/>
      <c r="H16" s="2"/>
      <c r="I16" s="2">
        <v>6.1</v>
      </c>
      <c r="J16" s="2"/>
      <c r="K16" s="2"/>
      <c r="L16" s="2">
        <f t="shared" si="1"/>
        <v>463.59999999999997</v>
      </c>
    </row>
    <row r="17" spans="1:12" ht="12" customHeight="1">
      <c r="A17">
        <v>12</v>
      </c>
      <c r="B17" t="s">
        <v>155</v>
      </c>
      <c r="C17" t="s">
        <v>351</v>
      </c>
      <c r="E17">
        <v>1</v>
      </c>
      <c r="F17">
        <f t="shared" si="0"/>
        <v>76</v>
      </c>
      <c r="G17" s="2"/>
      <c r="H17" s="2"/>
      <c r="I17" s="2">
        <v>6.1</v>
      </c>
      <c r="J17" s="2"/>
      <c r="K17" s="2"/>
      <c r="L17" s="2">
        <f t="shared" si="1"/>
        <v>463.59999999999997</v>
      </c>
    </row>
    <row r="18" spans="1:12" ht="12.75">
      <c r="A18">
        <v>13</v>
      </c>
      <c r="B18" t="s">
        <v>14</v>
      </c>
      <c r="E18">
        <v>1</v>
      </c>
      <c r="F18">
        <f t="shared" si="0"/>
        <v>76</v>
      </c>
      <c r="G18" s="2"/>
      <c r="H18" s="2" t="s">
        <v>50</v>
      </c>
      <c r="I18" s="2"/>
      <c r="J18" s="2"/>
      <c r="K18" s="2" t="e">
        <f>H18*F18</f>
        <v>#VALUE!</v>
      </c>
      <c r="L18" s="2"/>
    </row>
    <row r="19" spans="1:12" ht="12.75">
      <c r="A19">
        <v>14</v>
      </c>
      <c r="B19" t="s">
        <v>15</v>
      </c>
      <c r="E19">
        <v>1</v>
      </c>
      <c r="F19">
        <f t="shared" si="0"/>
        <v>76</v>
      </c>
      <c r="G19" s="2"/>
      <c r="H19" s="2" t="s">
        <v>50</v>
      </c>
      <c r="I19" s="2"/>
      <c r="J19" s="2"/>
      <c r="K19" s="2" t="e">
        <f>H19*F19</f>
        <v>#VALUE!</v>
      </c>
      <c r="L19" s="2"/>
    </row>
    <row r="20" spans="1:12" ht="12.75">
      <c r="A20">
        <v>15</v>
      </c>
      <c r="B20" t="s">
        <v>16</v>
      </c>
      <c r="E20">
        <v>1</v>
      </c>
      <c r="F20">
        <f t="shared" si="0"/>
        <v>76</v>
      </c>
      <c r="G20" s="2" t="s">
        <v>50</v>
      </c>
      <c r="H20" s="2"/>
      <c r="I20" s="2"/>
      <c r="J20" t="e">
        <f aca="true" t="shared" si="2" ref="J20:J25">F20*G20</f>
        <v>#VALUE!</v>
      </c>
      <c r="K20" s="2"/>
      <c r="L20" s="2"/>
    </row>
    <row r="21" spans="1:12" ht="12.75">
      <c r="A21">
        <v>16</v>
      </c>
      <c r="B21" t="s">
        <v>17</v>
      </c>
      <c r="E21">
        <v>1</v>
      </c>
      <c r="F21">
        <f t="shared" si="0"/>
        <v>76</v>
      </c>
      <c r="G21" s="2" t="str">
        <f>G20</f>
        <v>x</v>
      </c>
      <c r="H21" s="2"/>
      <c r="I21" s="2"/>
      <c r="J21" t="e">
        <f t="shared" si="2"/>
        <v>#VALUE!</v>
      </c>
      <c r="K21" s="2"/>
      <c r="L21" s="2"/>
    </row>
    <row r="22" spans="1:12" ht="12.75">
      <c r="A22">
        <v>17</v>
      </c>
      <c r="B22" t="s">
        <v>18</v>
      </c>
      <c r="E22">
        <v>1</v>
      </c>
      <c r="F22">
        <f t="shared" si="0"/>
        <v>76</v>
      </c>
      <c r="G22" s="2" t="str">
        <f>G21</f>
        <v>x</v>
      </c>
      <c r="H22" s="2"/>
      <c r="I22" s="2"/>
      <c r="J22" t="e">
        <f t="shared" si="2"/>
        <v>#VALUE!</v>
      </c>
      <c r="K22" s="2"/>
      <c r="L22" s="2"/>
    </row>
    <row r="23" spans="1:12" ht="12.75">
      <c r="A23">
        <v>18</v>
      </c>
      <c r="B23" t="s">
        <v>19</v>
      </c>
      <c r="E23">
        <v>1</v>
      </c>
      <c r="F23">
        <f t="shared" si="0"/>
        <v>76</v>
      </c>
      <c r="G23" s="2" t="str">
        <f>G22</f>
        <v>x</v>
      </c>
      <c r="H23" s="2"/>
      <c r="I23" s="2"/>
      <c r="J23" t="e">
        <f t="shared" si="2"/>
        <v>#VALUE!</v>
      </c>
      <c r="K23" s="2"/>
      <c r="L23" s="2"/>
    </row>
    <row r="24" spans="1:12" ht="12.75">
      <c r="A24">
        <v>19</v>
      </c>
      <c r="B24" t="s">
        <v>20</v>
      </c>
      <c r="E24">
        <v>1</v>
      </c>
      <c r="F24">
        <f t="shared" si="0"/>
        <v>76</v>
      </c>
      <c r="G24" s="2" t="s">
        <v>50</v>
      </c>
      <c r="H24" s="2"/>
      <c r="I24" s="2"/>
      <c r="J24" t="e">
        <f t="shared" si="2"/>
        <v>#VALUE!</v>
      </c>
      <c r="K24" s="2"/>
      <c r="L24" s="2"/>
    </row>
    <row r="25" spans="1:12" ht="12.75">
      <c r="A25">
        <v>20</v>
      </c>
      <c r="B25" t="s">
        <v>21</v>
      </c>
      <c r="E25">
        <v>1</v>
      </c>
      <c r="F25">
        <f t="shared" si="0"/>
        <v>76</v>
      </c>
      <c r="G25" s="2" t="str">
        <f>G24</f>
        <v>x</v>
      </c>
      <c r="H25" s="2"/>
      <c r="I25" s="2"/>
      <c r="J25" t="e">
        <f t="shared" si="2"/>
        <v>#VALUE!</v>
      </c>
      <c r="K25" s="2"/>
      <c r="L25" s="2"/>
    </row>
    <row r="26" spans="1:12" ht="12.75">
      <c r="A26">
        <v>21</v>
      </c>
      <c r="B26" t="s">
        <v>22</v>
      </c>
      <c r="C26" s="14" t="s">
        <v>549</v>
      </c>
      <c r="D26" s="14" t="s">
        <v>576</v>
      </c>
      <c r="E26" t="s">
        <v>50</v>
      </c>
      <c r="F26" t="e">
        <f t="shared" si="0"/>
        <v>#VALUE!</v>
      </c>
      <c r="G26" s="2"/>
      <c r="H26" s="2"/>
      <c r="I26" s="2"/>
      <c r="J26" s="2"/>
      <c r="K26" s="2"/>
      <c r="L26" s="2"/>
    </row>
    <row r="27" spans="1:12" ht="12.75">
      <c r="A27">
        <v>22</v>
      </c>
      <c r="B27" t="s">
        <v>722</v>
      </c>
      <c r="C27" s="14" t="s">
        <v>549</v>
      </c>
      <c r="D27" s="14" t="s">
        <v>577</v>
      </c>
      <c r="E27">
        <v>24</v>
      </c>
      <c r="F27">
        <f t="shared" si="0"/>
        <v>1824</v>
      </c>
      <c r="G27" s="2"/>
      <c r="H27" s="2"/>
      <c r="I27" s="2"/>
      <c r="J27" s="2"/>
      <c r="K27" s="2"/>
      <c r="L27" s="2"/>
    </row>
    <row r="28" spans="1:12" ht="12.75">
      <c r="A28">
        <v>23</v>
      </c>
      <c r="B28" t="s">
        <v>23</v>
      </c>
      <c r="E28">
        <v>1</v>
      </c>
      <c r="F28">
        <f t="shared" si="0"/>
        <v>76</v>
      </c>
      <c r="G28" s="2"/>
      <c r="H28" s="2"/>
      <c r="I28" s="2"/>
      <c r="J28" s="2"/>
      <c r="K28" s="2"/>
      <c r="L28" s="2"/>
    </row>
    <row r="29" spans="1:12" ht="12.75">
      <c r="A29">
        <v>24</v>
      </c>
      <c r="B29" t="s">
        <v>24</v>
      </c>
      <c r="E29">
        <v>2</v>
      </c>
      <c r="F29">
        <f t="shared" si="0"/>
        <v>152</v>
      </c>
      <c r="G29" s="2"/>
      <c r="H29" s="2"/>
      <c r="I29" s="2"/>
      <c r="J29" s="2"/>
      <c r="K29" s="2"/>
      <c r="L29" s="2"/>
    </row>
    <row r="30" spans="1:12" ht="12.75">
      <c r="A30">
        <v>25</v>
      </c>
      <c r="B30" t="s">
        <v>25</v>
      </c>
      <c r="E30">
        <v>1</v>
      </c>
      <c r="F30">
        <f t="shared" si="0"/>
        <v>76</v>
      </c>
      <c r="G30" s="2"/>
      <c r="H30" s="2"/>
      <c r="I30" s="2"/>
      <c r="J30" s="2"/>
      <c r="K30" s="2"/>
      <c r="L30" s="2"/>
    </row>
    <row r="31" spans="1:12" ht="12.75">
      <c r="A31">
        <v>26</v>
      </c>
      <c r="B31" t="s">
        <v>26</v>
      </c>
      <c r="E31">
        <v>4</v>
      </c>
      <c r="F31">
        <f t="shared" si="0"/>
        <v>304</v>
      </c>
      <c r="G31" s="2"/>
      <c r="H31" s="2"/>
      <c r="I31" s="2"/>
      <c r="J31" s="2"/>
      <c r="K31" s="2"/>
      <c r="L31" s="2"/>
    </row>
    <row r="32" spans="1:12" ht="12.75">
      <c r="A32">
        <v>27</v>
      </c>
      <c r="B32" t="s">
        <v>27</v>
      </c>
      <c r="E32">
        <v>0</v>
      </c>
      <c r="F32">
        <f t="shared" si="0"/>
        <v>0</v>
      </c>
      <c r="G32" s="2"/>
      <c r="H32" s="2"/>
      <c r="I32" s="2"/>
      <c r="J32" s="2"/>
      <c r="K32" s="2"/>
      <c r="L32" s="2"/>
    </row>
    <row r="33" spans="1:12" ht="12.75">
      <c r="A33">
        <v>28</v>
      </c>
      <c r="B33" t="s">
        <v>28</v>
      </c>
      <c r="C33" s="14" t="s">
        <v>549</v>
      </c>
      <c r="D33" s="14" t="s">
        <v>581</v>
      </c>
      <c r="E33">
        <v>24</v>
      </c>
      <c r="F33">
        <f t="shared" si="0"/>
        <v>1824</v>
      </c>
      <c r="G33" s="2"/>
      <c r="H33" s="2"/>
      <c r="I33" s="2"/>
      <c r="J33" s="2"/>
      <c r="K33" s="2"/>
      <c r="L33" s="2"/>
    </row>
    <row r="34" spans="1:12" ht="12.75">
      <c r="A34">
        <v>29</v>
      </c>
      <c r="B34" t="s">
        <v>29</v>
      </c>
      <c r="C34" s="14" t="s">
        <v>549</v>
      </c>
      <c r="D34" s="14" t="s">
        <v>582</v>
      </c>
      <c r="E34">
        <v>6</v>
      </c>
      <c r="F34">
        <f t="shared" si="0"/>
        <v>456</v>
      </c>
      <c r="G34" s="2"/>
      <c r="H34" s="2"/>
      <c r="I34" s="2"/>
      <c r="J34" s="2"/>
      <c r="K34" s="2"/>
      <c r="L34" s="2"/>
    </row>
    <row r="35" spans="1:12" ht="12.75">
      <c r="A35">
        <v>30</v>
      </c>
      <c r="B35" t="s">
        <v>149</v>
      </c>
      <c r="E35">
        <v>0</v>
      </c>
      <c r="F35">
        <f t="shared" si="0"/>
        <v>0</v>
      </c>
      <c r="G35" s="2"/>
      <c r="H35" s="2"/>
      <c r="I35" s="2"/>
      <c r="J35" s="2"/>
      <c r="K35" s="2"/>
      <c r="L35" s="2"/>
    </row>
    <row r="36" spans="1:12" ht="12.75">
      <c r="A36">
        <v>31</v>
      </c>
      <c r="B36" t="s">
        <v>30</v>
      </c>
      <c r="C36" s="14" t="s">
        <v>610</v>
      </c>
      <c r="D36" s="14" t="s">
        <v>584</v>
      </c>
      <c r="E36">
        <v>4</v>
      </c>
      <c r="F36">
        <f t="shared" si="0"/>
        <v>304</v>
      </c>
      <c r="G36" s="2"/>
      <c r="H36" s="2"/>
      <c r="I36" s="2"/>
      <c r="J36" s="2"/>
      <c r="K36" s="2"/>
      <c r="L36" s="2"/>
    </row>
    <row r="37" spans="1:12" ht="12.75">
      <c r="A37">
        <v>32</v>
      </c>
      <c r="B37" t="s">
        <v>32</v>
      </c>
      <c r="C37" s="14" t="s">
        <v>610</v>
      </c>
      <c r="D37" s="14" t="s">
        <v>585</v>
      </c>
      <c r="E37">
        <v>4</v>
      </c>
      <c r="F37">
        <f t="shared" si="0"/>
        <v>304</v>
      </c>
      <c r="G37" s="2"/>
      <c r="H37" s="2"/>
      <c r="I37" s="2"/>
      <c r="J37" s="2"/>
      <c r="K37" s="2"/>
      <c r="L37" s="2"/>
    </row>
    <row r="38" spans="1:12" ht="12.75">
      <c r="A38">
        <v>33</v>
      </c>
      <c r="B38" t="s">
        <v>31</v>
      </c>
      <c r="C38" s="14" t="s">
        <v>610</v>
      </c>
      <c r="D38" s="14" t="s">
        <v>586</v>
      </c>
      <c r="E38">
        <v>8</v>
      </c>
      <c r="F38">
        <f t="shared" si="0"/>
        <v>608</v>
      </c>
      <c r="G38" s="2"/>
      <c r="H38" s="2"/>
      <c r="I38" s="2"/>
      <c r="J38" s="2"/>
      <c r="K38" s="2"/>
      <c r="L38" s="2"/>
    </row>
    <row r="39" spans="1:12" ht="12.75">
      <c r="A39">
        <v>34</v>
      </c>
      <c r="B39" t="s">
        <v>12</v>
      </c>
      <c r="C39" t="s">
        <v>352</v>
      </c>
      <c r="E39">
        <v>1</v>
      </c>
      <c r="F39">
        <f t="shared" si="0"/>
        <v>76</v>
      </c>
      <c r="G39" s="2"/>
      <c r="H39" s="2"/>
      <c r="I39" s="2">
        <v>5.8</v>
      </c>
      <c r="J39" s="2"/>
      <c r="K39" s="2"/>
      <c r="L39" s="2">
        <f>I39*F39</f>
        <v>440.8</v>
      </c>
    </row>
    <row r="40" spans="1:12" ht="12.75">
      <c r="A40">
        <v>35</v>
      </c>
      <c r="B40" t="s">
        <v>11</v>
      </c>
      <c r="C40" t="s">
        <v>353</v>
      </c>
      <c r="E40">
        <v>1</v>
      </c>
      <c r="F40">
        <f t="shared" si="0"/>
        <v>76</v>
      </c>
      <c r="G40" s="2"/>
      <c r="H40" s="2"/>
      <c r="I40" s="2">
        <v>5.8</v>
      </c>
      <c r="J40" s="2"/>
      <c r="K40" s="2"/>
      <c r="L40" s="2">
        <f>I40*F40</f>
        <v>440.8</v>
      </c>
    </row>
    <row r="41" spans="1:12" ht="12.75">
      <c r="A41">
        <v>36</v>
      </c>
      <c r="B41" t="s">
        <v>48</v>
      </c>
      <c r="C41" s="14" t="s">
        <v>549</v>
      </c>
      <c r="D41" s="14" t="s">
        <v>577</v>
      </c>
      <c r="E41" t="str">
        <f>E26</f>
        <v>x</v>
      </c>
      <c r="F41" t="e">
        <f t="shared" si="0"/>
        <v>#VALUE!</v>
      </c>
      <c r="G41" s="2"/>
      <c r="H41" s="2"/>
      <c r="I41" s="2"/>
      <c r="J41" s="2"/>
      <c r="K41" s="2"/>
      <c r="L41" s="2"/>
    </row>
    <row r="42" spans="7:12" ht="12.75">
      <c r="G42" s="2"/>
      <c r="H42" s="2"/>
      <c r="I42" s="2"/>
      <c r="J42" s="2"/>
      <c r="K42" s="2"/>
      <c r="L42" s="2"/>
    </row>
    <row r="43" spans="2:12" ht="12.75">
      <c r="B43" t="s">
        <v>45</v>
      </c>
      <c r="J43" s="2" t="e">
        <f>SUM(J6:J40)</f>
        <v>#VALUE!</v>
      </c>
      <c r="K43" s="2" t="e">
        <f>SUM(K6:K40)</f>
        <v>#VALUE!</v>
      </c>
      <c r="L43" s="2">
        <f>SUM(L6:L40)</f>
        <v>3617.6000000000004</v>
      </c>
    </row>
    <row r="44" spans="2:12" ht="12.75">
      <c r="B44" t="s">
        <v>46</v>
      </c>
      <c r="J44" s="3">
        <f>(6*82.5-3.2+6*16-19.05*1.78-2)/25.4/25.4</f>
        <v>0.8554327608655218</v>
      </c>
      <c r="K44" s="3">
        <f>(6*82.5-3.2+6*16-19.05*1.78-2-5)/25.4/25.4</f>
        <v>0.8476827453654908</v>
      </c>
      <c r="L44" s="3">
        <f>(9*82.5+(126.5-82.5)*6+91.75*6)/25.4/25.4</f>
        <v>2.4133548267096536</v>
      </c>
    </row>
    <row r="45" spans="2:12" ht="12.75">
      <c r="B45" t="s">
        <v>47</v>
      </c>
      <c r="J45" s="2" t="e">
        <f>J43*J44*0.098</f>
        <v>#VALUE!</v>
      </c>
      <c r="K45" s="2" t="e">
        <f>K43*K44*0.098</f>
        <v>#VALUE!</v>
      </c>
      <c r="L45" s="2">
        <f>L43*L44*0.098</f>
        <v>855.5941372682747</v>
      </c>
    </row>
    <row r="46" spans="2:12" ht="12.75">
      <c r="B46" t="s">
        <v>49</v>
      </c>
      <c r="J46" s="2" t="e">
        <f>J43*J44*4/1728</f>
        <v>#VALUE!</v>
      </c>
      <c r="K46" s="2" t="e">
        <f>K43*K44*4/1728</f>
        <v>#VALUE!</v>
      </c>
      <c r="L46" s="2">
        <f>L43*L44*4/1728</f>
        <v>20.20961208589084</v>
      </c>
    </row>
    <row r="48" ht="12.75">
      <c r="A48" s="5" t="s">
        <v>148</v>
      </c>
    </row>
    <row r="49" ht="12.75">
      <c r="A49" t="s">
        <v>55</v>
      </c>
    </row>
  </sheetData>
  <printOptions gridLines="1"/>
  <pageMargins left="0.5" right="0.5" top="0.5" bottom="0.5" header="0.25" footer="0.25"/>
  <pageSetup fitToHeight="1" fitToWidth="1" horizontalDpi="600" verticalDpi="600" orientation="landscape" scale="74" r:id="rId1"/>
  <headerFooter alignWithMargins="0">
    <oddHeader>&amp;C&amp;A&amp;R&amp;F</oddHeader>
    <oddFooter>&amp;LK. Kriesel&amp;CPage &amp;P of &amp;N&amp;R&amp;D &amp;T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S59"/>
  <sheetViews>
    <sheetView zoomScale="75" zoomScaleNormal="75" zoomScaleSheetLayoutView="100" workbookViewId="0" topLeftCell="A1">
      <pane xSplit="5925" ySplit="3075" topLeftCell="E44" activePane="bottomLeft" state="split"/>
      <selection pane="topLeft" activeCell="B63" sqref="B63"/>
      <selection pane="topRight" activeCell="B63" sqref="B63"/>
      <selection pane="bottomLeft" activeCell="B63" sqref="B63"/>
      <selection pane="bottomRight" activeCell="B63" sqref="B63"/>
    </sheetView>
  </sheetViews>
  <sheetFormatPr defaultColWidth="9.140625" defaultRowHeight="12.75"/>
  <cols>
    <col min="1" max="1" width="8.140625" style="0" customWidth="1"/>
    <col min="2" max="2" width="40.140625" style="0" customWidth="1"/>
    <col min="3" max="3" width="14.140625" style="14" customWidth="1"/>
    <col min="4" max="4" width="15.00390625" style="14" customWidth="1"/>
    <col min="6" max="6" width="8.28125" style="0" customWidth="1"/>
    <col min="7" max="7" width="8.140625" style="0" customWidth="1"/>
    <col min="8" max="10" width="8.00390625" style="0" customWidth="1"/>
    <col min="12" max="12" width="9.7109375" style="0" customWidth="1"/>
    <col min="16" max="16" width="8.8515625" style="8" customWidth="1"/>
    <col min="18" max="18" width="9.7109375" style="0" customWidth="1"/>
  </cols>
  <sheetData>
    <row r="1" spans="1:12" ht="12.75">
      <c r="A1" t="s">
        <v>0</v>
      </c>
      <c r="C1" s="14" t="s">
        <v>36</v>
      </c>
      <c r="L1">
        <v>144</v>
      </c>
    </row>
    <row r="2" spans="3:12" ht="12.75">
      <c r="C2" s="14" t="s">
        <v>37</v>
      </c>
      <c r="H2">
        <v>148</v>
      </c>
      <c r="I2" t="s">
        <v>429</v>
      </c>
      <c r="L2">
        <v>150</v>
      </c>
    </row>
    <row r="3" spans="1:7" ht="13.5" thickBot="1">
      <c r="A3" t="s">
        <v>596</v>
      </c>
      <c r="D3" s="14" t="s">
        <v>678</v>
      </c>
      <c r="G3" t="s">
        <v>57</v>
      </c>
    </row>
    <row r="4" spans="1:19" ht="13.5" customHeight="1" thickBot="1" thickTop="1">
      <c r="A4" t="s">
        <v>52</v>
      </c>
      <c r="G4">
        <v>25</v>
      </c>
      <c r="H4">
        <v>42</v>
      </c>
      <c r="I4">
        <v>42</v>
      </c>
      <c r="J4">
        <v>39</v>
      </c>
      <c r="Q4" s="6"/>
      <c r="R4" s="6" t="s">
        <v>235</v>
      </c>
      <c r="S4" s="7"/>
    </row>
    <row r="5" spans="1:19" s="1" customFormat="1" ht="134.25" customHeight="1" thickTop="1">
      <c r="A5" s="1" t="s">
        <v>692</v>
      </c>
      <c r="B5" s="1" t="s">
        <v>2</v>
      </c>
      <c r="C5" s="13" t="s">
        <v>547</v>
      </c>
      <c r="D5" s="13" t="s">
        <v>558</v>
      </c>
      <c r="E5" s="1" t="s">
        <v>604</v>
      </c>
      <c r="F5" s="1" t="s">
        <v>38</v>
      </c>
      <c r="G5" s="1" t="s">
        <v>235</v>
      </c>
      <c r="H5" s="1" t="s">
        <v>236</v>
      </c>
      <c r="I5" s="1" t="s">
        <v>237</v>
      </c>
      <c r="J5" s="1" t="s">
        <v>238</v>
      </c>
      <c r="K5" s="1" t="s">
        <v>39</v>
      </c>
      <c r="L5" s="1" t="s">
        <v>40</v>
      </c>
      <c r="M5" s="1" t="s">
        <v>41</v>
      </c>
      <c r="N5" s="1" t="s">
        <v>42</v>
      </c>
      <c r="O5" s="1" t="s">
        <v>43</v>
      </c>
      <c r="P5" s="9" t="s">
        <v>44</v>
      </c>
      <c r="Q5" s="1" t="s">
        <v>42</v>
      </c>
      <c r="R5" s="1" t="s">
        <v>43</v>
      </c>
      <c r="S5" s="1" t="s">
        <v>44</v>
      </c>
    </row>
    <row r="6" spans="1:19" ht="12.75">
      <c r="A6" s="23">
        <v>1</v>
      </c>
      <c r="B6" t="s">
        <v>5</v>
      </c>
      <c r="C6" s="14" t="s">
        <v>613</v>
      </c>
      <c r="D6" s="14" t="s">
        <v>552</v>
      </c>
      <c r="E6">
        <v>6</v>
      </c>
      <c r="F6">
        <f>E6*L$2</f>
        <v>900</v>
      </c>
      <c r="G6">
        <f aca="true" t="shared" si="0" ref="G6:G29">$E6*G$4</f>
        <v>150</v>
      </c>
      <c r="H6">
        <f aca="true" t="shared" si="1" ref="H6:J28">$E6*H$4</f>
        <v>252</v>
      </c>
      <c r="I6">
        <f t="shared" si="1"/>
        <v>252</v>
      </c>
      <c r="J6">
        <f t="shared" si="1"/>
        <v>234</v>
      </c>
      <c r="K6" s="2"/>
      <c r="L6" s="2"/>
      <c r="M6" s="2"/>
      <c r="N6" s="2"/>
      <c r="O6" s="2"/>
      <c r="P6" s="10"/>
      <c r="Q6" s="2"/>
      <c r="R6" s="2"/>
      <c r="S6" s="2"/>
    </row>
    <row r="7" spans="1:19" ht="12.75">
      <c r="A7" s="23">
        <v>2</v>
      </c>
      <c r="B7" t="s">
        <v>6</v>
      </c>
      <c r="C7" s="14" t="s">
        <v>612</v>
      </c>
      <c r="D7" s="14" t="s">
        <v>562</v>
      </c>
      <c r="E7">
        <v>6</v>
      </c>
      <c r="F7">
        <f aca="true" t="shared" si="2" ref="F7:F49">E7*L$2</f>
        <v>900</v>
      </c>
      <c r="G7">
        <f t="shared" si="0"/>
        <v>150</v>
      </c>
      <c r="H7">
        <f t="shared" si="1"/>
        <v>252</v>
      </c>
      <c r="I7">
        <f t="shared" si="1"/>
        <v>252</v>
      </c>
      <c r="J7">
        <f t="shared" si="1"/>
        <v>234</v>
      </c>
      <c r="K7" s="2"/>
      <c r="L7" s="2"/>
      <c r="M7" s="2"/>
      <c r="N7" s="2"/>
      <c r="O7" s="2"/>
      <c r="P7" s="10"/>
      <c r="Q7" s="2"/>
      <c r="R7" s="2"/>
      <c r="S7" s="2"/>
    </row>
    <row r="8" spans="1:19" ht="12.75">
      <c r="A8" s="23">
        <v>3</v>
      </c>
      <c r="B8" t="s">
        <v>7</v>
      </c>
      <c r="C8" s="14" t="s">
        <v>611</v>
      </c>
      <c r="D8" s="14" t="s">
        <v>563</v>
      </c>
      <c r="E8">
        <v>32</v>
      </c>
      <c r="F8">
        <f t="shared" si="2"/>
        <v>4800</v>
      </c>
      <c r="G8">
        <f t="shared" si="0"/>
        <v>800</v>
      </c>
      <c r="H8">
        <f t="shared" si="1"/>
        <v>1344</v>
      </c>
      <c r="I8">
        <f t="shared" si="1"/>
        <v>1344</v>
      </c>
      <c r="J8">
        <f t="shared" si="1"/>
        <v>1248</v>
      </c>
      <c r="K8" s="2"/>
      <c r="L8" s="2"/>
      <c r="M8" s="2"/>
      <c r="N8" s="2"/>
      <c r="O8" s="2"/>
      <c r="P8" s="10"/>
      <c r="Q8" s="2"/>
      <c r="R8" s="2"/>
      <c r="S8" s="2"/>
    </row>
    <row r="9" spans="1:19" ht="12.75">
      <c r="A9" s="23">
        <v>4</v>
      </c>
      <c r="B9" t="s">
        <v>190</v>
      </c>
      <c r="C9" s="14" t="s">
        <v>549</v>
      </c>
      <c r="D9" s="14" t="s">
        <v>557</v>
      </c>
      <c r="E9">
        <v>94</v>
      </c>
      <c r="F9">
        <f t="shared" si="2"/>
        <v>14100</v>
      </c>
      <c r="G9">
        <f t="shared" si="0"/>
        <v>2350</v>
      </c>
      <c r="H9">
        <f t="shared" si="1"/>
        <v>3948</v>
      </c>
      <c r="I9">
        <f t="shared" si="1"/>
        <v>3948</v>
      </c>
      <c r="J9">
        <f t="shared" si="1"/>
        <v>3666</v>
      </c>
      <c r="K9" s="2"/>
      <c r="L9" s="2"/>
      <c r="M9" s="2"/>
      <c r="N9" s="2"/>
      <c r="O9" s="2"/>
      <c r="P9" s="10"/>
      <c r="Q9" s="2"/>
      <c r="R9" s="2"/>
      <c r="S9" s="2"/>
    </row>
    <row r="10" spans="1:19" ht="25.5">
      <c r="A10" s="23">
        <v>5</v>
      </c>
      <c r="B10" s="1" t="s">
        <v>597</v>
      </c>
      <c r="C10" s="14" t="s">
        <v>549</v>
      </c>
      <c r="D10" s="14" t="s">
        <v>548</v>
      </c>
      <c r="E10">
        <v>18</v>
      </c>
      <c r="F10">
        <f t="shared" si="2"/>
        <v>2700</v>
      </c>
      <c r="G10">
        <f t="shared" si="0"/>
        <v>450</v>
      </c>
      <c r="H10">
        <f t="shared" si="1"/>
        <v>756</v>
      </c>
      <c r="I10">
        <f t="shared" si="1"/>
        <v>756</v>
      </c>
      <c r="J10">
        <f t="shared" si="1"/>
        <v>702</v>
      </c>
      <c r="K10" s="2"/>
      <c r="L10" s="2"/>
      <c r="M10" s="2"/>
      <c r="N10" s="2"/>
      <c r="O10" s="2"/>
      <c r="P10" s="10"/>
      <c r="Q10" s="2"/>
      <c r="R10" s="2"/>
      <c r="S10" s="2"/>
    </row>
    <row r="11" spans="1:19" ht="12.75">
      <c r="A11" s="23">
        <v>6</v>
      </c>
      <c r="B11" t="s">
        <v>247</v>
      </c>
      <c r="C11" s="14" t="s">
        <v>549</v>
      </c>
      <c r="D11" s="14" t="s">
        <v>555</v>
      </c>
      <c r="E11">
        <v>6</v>
      </c>
      <c r="F11">
        <f t="shared" si="2"/>
        <v>900</v>
      </c>
      <c r="G11">
        <f t="shared" si="0"/>
        <v>150</v>
      </c>
      <c r="H11">
        <f t="shared" si="1"/>
        <v>252</v>
      </c>
      <c r="I11">
        <f t="shared" si="1"/>
        <v>252</v>
      </c>
      <c r="J11">
        <f t="shared" si="1"/>
        <v>234</v>
      </c>
      <c r="K11" s="2"/>
      <c r="L11" s="2"/>
      <c r="M11" s="2"/>
      <c r="N11" s="2"/>
      <c r="O11" s="2"/>
      <c r="P11" s="10"/>
      <c r="Q11" s="2"/>
      <c r="R11" s="2"/>
      <c r="S11" s="2"/>
    </row>
    <row r="12" spans="1:19" ht="12.75">
      <c r="A12" s="23">
        <v>7</v>
      </c>
      <c r="B12" t="s">
        <v>181</v>
      </c>
      <c r="C12" s="14" t="s">
        <v>616</v>
      </c>
      <c r="D12" s="14" t="s">
        <v>559</v>
      </c>
      <c r="E12">
        <v>1</v>
      </c>
      <c r="F12">
        <f t="shared" si="2"/>
        <v>150</v>
      </c>
      <c r="G12">
        <f t="shared" si="0"/>
        <v>25</v>
      </c>
      <c r="H12">
        <f t="shared" si="1"/>
        <v>42</v>
      </c>
      <c r="I12">
        <f t="shared" si="1"/>
        <v>42</v>
      </c>
      <c r="J12">
        <f t="shared" si="1"/>
        <v>39</v>
      </c>
      <c r="K12" s="2"/>
      <c r="L12" s="2"/>
      <c r="M12" s="2">
        <v>5.8</v>
      </c>
      <c r="N12" s="2"/>
      <c r="O12" s="2"/>
      <c r="P12" s="10">
        <f aca="true" t="shared" si="3" ref="P12:P17">M12*F12</f>
        <v>870</v>
      </c>
      <c r="Q12" s="2"/>
      <c r="R12" s="2"/>
      <c r="S12" s="2">
        <f aca="true" t="shared" si="4" ref="S12:S17">M12*G12</f>
        <v>145</v>
      </c>
    </row>
    <row r="13" spans="1:19" ht="12.75">
      <c r="A13" s="23">
        <v>8</v>
      </c>
      <c r="B13" t="s">
        <v>151</v>
      </c>
      <c r="C13" s="14" t="s">
        <v>617</v>
      </c>
      <c r="D13" s="14" t="s">
        <v>565</v>
      </c>
      <c r="E13">
        <v>1</v>
      </c>
      <c r="F13">
        <f>E13*L$2</f>
        <v>150</v>
      </c>
      <c r="G13">
        <f>$E13*G$4</f>
        <v>25</v>
      </c>
      <c r="H13">
        <f>$E13*H$4</f>
        <v>42</v>
      </c>
      <c r="I13">
        <f>$E13*I$4</f>
        <v>42</v>
      </c>
      <c r="J13">
        <f>$E13*J$4</f>
        <v>39</v>
      </c>
      <c r="K13" s="2"/>
      <c r="L13" s="2"/>
      <c r="M13" s="2">
        <v>5.8</v>
      </c>
      <c r="N13" s="2"/>
      <c r="O13" s="2"/>
      <c r="P13" s="10">
        <f t="shared" si="3"/>
        <v>870</v>
      </c>
      <c r="Q13" s="2"/>
      <c r="R13" s="2"/>
      <c r="S13" s="2">
        <f t="shared" si="4"/>
        <v>145</v>
      </c>
    </row>
    <row r="14" spans="1:19" ht="12.75">
      <c r="A14">
        <v>9</v>
      </c>
      <c r="B14" t="s">
        <v>152</v>
      </c>
      <c r="C14" s="14" t="s">
        <v>618</v>
      </c>
      <c r="D14" s="14" t="s">
        <v>560</v>
      </c>
      <c r="E14">
        <v>1</v>
      </c>
      <c r="F14">
        <f t="shared" si="2"/>
        <v>150</v>
      </c>
      <c r="G14">
        <f t="shared" si="0"/>
        <v>25</v>
      </c>
      <c r="H14">
        <f t="shared" si="1"/>
        <v>42</v>
      </c>
      <c r="I14">
        <f t="shared" si="1"/>
        <v>42</v>
      </c>
      <c r="J14">
        <f t="shared" si="1"/>
        <v>39</v>
      </c>
      <c r="K14" s="2"/>
      <c r="L14" s="2"/>
      <c r="M14" s="2">
        <v>5.8</v>
      </c>
      <c r="N14" s="2"/>
      <c r="O14" s="2"/>
      <c r="P14" s="10">
        <f t="shared" si="3"/>
        <v>870</v>
      </c>
      <c r="Q14" s="2"/>
      <c r="R14" s="2"/>
      <c r="S14" s="2">
        <f t="shared" si="4"/>
        <v>145</v>
      </c>
    </row>
    <row r="15" spans="1:19" ht="12.75">
      <c r="A15">
        <v>10</v>
      </c>
      <c r="B15" t="s">
        <v>153</v>
      </c>
      <c r="C15" s="14" t="s">
        <v>633</v>
      </c>
      <c r="D15" s="14" t="s">
        <v>566</v>
      </c>
      <c r="E15">
        <v>1</v>
      </c>
      <c r="F15">
        <f>E15*L$2</f>
        <v>150</v>
      </c>
      <c r="G15">
        <f>$E15*G$4</f>
        <v>25</v>
      </c>
      <c r="H15">
        <f>$E15*H$4</f>
        <v>42</v>
      </c>
      <c r="I15">
        <f>$E15*I$4</f>
        <v>42</v>
      </c>
      <c r="J15">
        <f>$E15*J$4</f>
        <v>39</v>
      </c>
      <c r="K15" s="2"/>
      <c r="L15" s="2"/>
      <c r="M15" s="2">
        <v>5.8</v>
      </c>
      <c r="N15" s="2"/>
      <c r="O15" s="2"/>
      <c r="P15" s="10">
        <f t="shared" si="3"/>
        <v>870</v>
      </c>
      <c r="Q15" s="2"/>
      <c r="R15" s="2"/>
      <c r="S15" s="2">
        <f t="shared" si="4"/>
        <v>145</v>
      </c>
    </row>
    <row r="16" spans="1:19" ht="12.75">
      <c r="A16">
        <v>11</v>
      </c>
      <c r="B16" t="s">
        <v>154</v>
      </c>
      <c r="C16" s="14" t="s">
        <v>264</v>
      </c>
      <c r="D16" s="14" t="s">
        <v>561</v>
      </c>
      <c r="E16">
        <v>1</v>
      </c>
      <c r="F16">
        <f t="shared" si="2"/>
        <v>150</v>
      </c>
      <c r="G16">
        <f t="shared" si="0"/>
        <v>25</v>
      </c>
      <c r="H16">
        <f t="shared" si="1"/>
        <v>42</v>
      </c>
      <c r="I16">
        <f t="shared" si="1"/>
        <v>42</v>
      </c>
      <c r="J16">
        <f t="shared" si="1"/>
        <v>39</v>
      </c>
      <c r="K16" s="2"/>
      <c r="L16" s="2"/>
      <c r="M16" s="2">
        <v>10</v>
      </c>
      <c r="N16" s="2"/>
      <c r="O16" s="2"/>
      <c r="P16" s="10">
        <f t="shared" si="3"/>
        <v>1500</v>
      </c>
      <c r="Q16" s="2"/>
      <c r="R16" s="2"/>
      <c r="S16" s="2">
        <f t="shared" si="4"/>
        <v>250</v>
      </c>
    </row>
    <row r="17" spans="1:19" ht="12.75">
      <c r="A17">
        <v>12</v>
      </c>
      <c r="B17" t="s">
        <v>155</v>
      </c>
      <c r="C17" s="14" t="s">
        <v>267</v>
      </c>
      <c r="D17" s="14" t="s">
        <v>567</v>
      </c>
      <c r="E17">
        <v>1</v>
      </c>
      <c r="F17">
        <f>E17*L$2</f>
        <v>150</v>
      </c>
      <c r="G17">
        <f>$E17*G$4</f>
        <v>25</v>
      </c>
      <c r="H17">
        <f>$E17*H$4</f>
        <v>42</v>
      </c>
      <c r="I17">
        <f>$E17*I$4</f>
        <v>42</v>
      </c>
      <c r="J17">
        <f>$E17*J$4</f>
        <v>39</v>
      </c>
      <c r="K17" s="2"/>
      <c r="L17" s="2"/>
      <c r="M17" s="2">
        <v>10</v>
      </c>
      <c r="N17" s="2"/>
      <c r="O17" s="2"/>
      <c r="P17" s="10">
        <f t="shared" si="3"/>
        <v>1500</v>
      </c>
      <c r="Q17" s="2"/>
      <c r="R17" s="2"/>
      <c r="S17" s="2">
        <f t="shared" si="4"/>
        <v>250</v>
      </c>
    </row>
    <row r="18" spans="1:19" ht="12.75">
      <c r="A18" s="22">
        <v>13</v>
      </c>
      <c r="B18" t="s">
        <v>14</v>
      </c>
      <c r="C18" s="14" t="s">
        <v>272</v>
      </c>
      <c r="D18" s="14" t="s">
        <v>568</v>
      </c>
      <c r="E18">
        <v>1</v>
      </c>
      <c r="F18">
        <f t="shared" si="2"/>
        <v>150</v>
      </c>
      <c r="G18">
        <f t="shared" si="0"/>
        <v>25</v>
      </c>
      <c r="H18">
        <f t="shared" si="1"/>
        <v>42</v>
      </c>
      <c r="I18">
        <f t="shared" si="1"/>
        <v>42</v>
      </c>
      <c r="J18">
        <f t="shared" si="1"/>
        <v>39</v>
      </c>
      <c r="K18" s="2"/>
      <c r="L18" s="2">
        <v>35.84</v>
      </c>
      <c r="M18" s="2"/>
      <c r="N18" s="2"/>
      <c r="O18" s="2">
        <f>L18*F18</f>
        <v>5376.000000000001</v>
      </c>
      <c r="P18" s="10"/>
      <c r="Q18" s="2"/>
      <c r="R18" s="2">
        <f>L18*G18</f>
        <v>896.0000000000001</v>
      </c>
      <c r="S18" s="2"/>
    </row>
    <row r="19" spans="1:19" ht="12.75">
      <c r="A19">
        <v>14</v>
      </c>
      <c r="B19" t="s">
        <v>15</v>
      </c>
      <c r="C19" s="14" t="s">
        <v>273</v>
      </c>
      <c r="D19" s="14" t="s">
        <v>569</v>
      </c>
      <c r="E19">
        <v>1</v>
      </c>
      <c r="F19">
        <f t="shared" si="2"/>
        <v>150</v>
      </c>
      <c r="G19">
        <f t="shared" si="0"/>
        <v>25</v>
      </c>
      <c r="H19">
        <f t="shared" si="1"/>
        <v>42</v>
      </c>
      <c r="I19">
        <f t="shared" si="1"/>
        <v>42</v>
      </c>
      <c r="J19">
        <f t="shared" si="1"/>
        <v>39</v>
      </c>
      <c r="K19" s="2"/>
      <c r="L19" s="2">
        <v>35.84</v>
      </c>
      <c r="M19" s="2"/>
      <c r="N19" s="2"/>
      <c r="O19" s="2">
        <f>L19*F19</f>
        <v>5376.000000000001</v>
      </c>
      <c r="P19" s="10"/>
      <c r="Q19" s="2"/>
      <c r="R19" s="2">
        <f>L19*G19</f>
        <v>896.0000000000001</v>
      </c>
      <c r="S19" s="2"/>
    </row>
    <row r="20" spans="1:19" ht="38.25">
      <c r="A20">
        <v>15</v>
      </c>
      <c r="B20" s="1" t="s">
        <v>598</v>
      </c>
      <c r="C20" s="14" t="s">
        <v>619</v>
      </c>
      <c r="D20" s="14" t="s">
        <v>570</v>
      </c>
      <c r="E20">
        <v>1</v>
      </c>
      <c r="F20">
        <f t="shared" si="2"/>
        <v>150</v>
      </c>
      <c r="G20">
        <f t="shared" si="0"/>
        <v>25</v>
      </c>
      <c r="H20">
        <f t="shared" si="1"/>
        <v>42</v>
      </c>
      <c r="I20">
        <f t="shared" si="1"/>
        <v>42</v>
      </c>
      <c r="J20">
        <f t="shared" si="1"/>
        <v>39</v>
      </c>
      <c r="K20" s="2">
        <v>129.06</v>
      </c>
      <c r="L20" s="2"/>
      <c r="M20" s="2"/>
      <c r="N20" s="2">
        <f aca="true" t="shared" si="5" ref="N20:N25">F20*K20</f>
        <v>19359</v>
      </c>
      <c r="O20" s="2"/>
      <c r="P20" s="10"/>
      <c r="Q20" s="2">
        <f aca="true" t="shared" si="6" ref="Q20:Q25">K20*G20</f>
        <v>3226.5</v>
      </c>
      <c r="R20" s="2"/>
      <c r="S20" s="2"/>
    </row>
    <row r="21" spans="1:19" ht="12.75">
      <c r="A21">
        <v>16</v>
      </c>
      <c r="B21" t="s">
        <v>251</v>
      </c>
      <c r="C21" s="14" t="s">
        <v>620</v>
      </c>
      <c r="D21" s="14" t="s">
        <v>571</v>
      </c>
      <c r="E21">
        <v>1</v>
      </c>
      <c r="F21">
        <f t="shared" si="2"/>
        <v>150</v>
      </c>
      <c r="G21">
        <f t="shared" si="0"/>
        <v>25</v>
      </c>
      <c r="H21">
        <f t="shared" si="1"/>
        <v>42</v>
      </c>
      <c r="I21">
        <f t="shared" si="1"/>
        <v>42</v>
      </c>
      <c r="J21">
        <f t="shared" si="1"/>
        <v>39</v>
      </c>
      <c r="K21" s="2">
        <v>129.06</v>
      </c>
      <c r="L21" s="2"/>
      <c r="M21" s="2"/>
      <c r="N21" s="2">
        <f t="shared" si="5"/>
        <v>19359</v>
      </c>
      <c r="O21" s="2"/>
      <c r="P21" s="10"/>
      <c r="Q21" s="2">
        <f t="shared" si="6"/>
        <v>3226.5</v>
      </c>
      <c r="R21" s="2"/>
      <c r="S21" s="2"/>
    </row>
    <row r="22" spans="1:19" ht="25.5">
      <c r="A22">
        <v>17</v>
      </c>
      <c r="B22" s="1" t="s">
        <v>600</v>
      </c>
      <c r="C22" s="14" t="s">
        <v>599</v>
      </c>
      <c r="D22" s="14" t="s">
        <v>572</v>
      </c>
      <c r="E22">
        <v>1</v>
      </c>
      <c r="F22">
        <f t="shared" si="2"/>
        <v>150</v>
      </c>
      <c r="G22">
        <f t="shared" si="0"/>
        <v>25</v>
      </c>
      <c r="H22">
        <f t="shared" si="1"/>
        <v>42</v>
      </c>
      <c r="I22">
        <f t="shared" si="1"/>
        <v>42</v>
      </c>
      <c r="J22">
        <f t="shared" si="1"/>
        <v>39</v>
      </c>
      <c r="K22" s="2">
        <v>129.06</v>
      </c>
      <c r="L22" s="2"/>
      <c r="M22" s="2"/>
      <c r="N22" s="2">
        <f t="shared" si="5"/>
        <v>19359</v>
      </c>
      <c r="O22" s="2"/>
      <c r="P22" s="10"/>
      <c r="Q22" s="2">
        <f t="shared" si="6"/>
        <v>3226.5</v>
      </c>
      <c r="R22" s="2"/>
      <c r="S22" s="2"/>
    </row>
    <row r="23" spans="1:19" ht="12.75">
      <c r="A23">
        <v>18</v>
      </c>
      <c r="B23" t="s">
        <v>253</v>
      </c>
      <c r="C23" s="14" t="s">
        <v>621</v>
      </c>
      <c r="D23" s="14" t="s">
        <v>573</v>
      </c>
      <c r="E23">
        <v>1</v>
      </c>
      <c r="F23">
        <f t="shared" si="2"/>
        <v>150</v>
      </c>
      <c r="G23">
        <f t="shared" si="0"/>
        <v>25</v>
      </c>
      <c r="H23">
        <f t="shared" si="1"/>
        <v>42</v>
      </c>
      <c r="I23">
        <f t="shared" si="1"/>
        <v>42</v>
      </c>
      <c r="J23">
        <f t="shared" si="1"/>
        <v>39</v>
      </c>
      <c r="K23" s="2">
        <v>129.06</v>
      </c>
      <c r="L23" s="2"/>
      <c r="M23" s="2"/>
      <c r="N23" s="2">
        <f t="shared" si="5"/>
        <v>19359</v>
      </c>
      <c r="O23" s="2"/>
      <c r="P23" s="10"/>
      <c r="Q23" s="2">
        <f t="shared" si="6"/>
        <v>3226.5</v>
      </c>
      <c r="R23" s="2"/>
      <c r="S23" s="2"/>
    </row>
    <row r="24" spans="1:19" ht="12.75">
      <c r="A24">
        <v>19</v>
      </c>
      <c r="B24" t="s">
        <v>20</v>
      </c>
      <c r="C24" s="14" t="s">
        <v>432</v>
      </c>
      <c r="D24" s="14" t="s">
        <v>574</v>
      </c>
      <c r="E24">
        <v>1</v>
      </c>
      <c r="F24">
        <f t="shared" si="2"/>
        <v>150</v>
      </c>
      <c r="G24">
        <f t="shared" si="0"/>
        <v>25</v>
      </c>
      <c r="H24">
        <f t="shared" si="1"/>
        <v>42</v>
      </c>
      <c r="I24">
        <f t="shared" si="1"/>
        <v>42</v>
      </c>
      <c r="J24">
        <f t="shared" si="1"/>
        <v>39</v>
      </c>
      <c r="K24" s="2">
        <v>52</v>
      </c>
      <c r="L24" s="4"/>
      <c r="M24" s="4"/>
      <c r="N24" s="2">
        <f t="shared" si="5"/>
        <v>7800</v>
      </c>
      <c r="O24" s="2"/>
      <c r="P24" s="10"/>
      <c r="Q24" s="2">
        <f t="shared" si="6"/>
        <v>1300</v>
      </c>
      <c r="R24" s="2"/>
      <c r="S24" s="2"/>
    </row>
    <row r="25" spans="1:19" ht="12.75">
      <c r="A25">
        <v>20</v>
      </c>
      <c r="B25" t="s">
        <v>21</v>
      </c>
      <c r="C25" s="14" t="s">
        <v>294</v>
      </c>
      <c r="D25" s="14" t="s">
        <v>575</v>
      </c>
      <c r="E25">
        <v>1</v>
      </c>
      <c r="F25">
        <f t="shared" si="2"/>
        <v>150</v>
      </c>
      <c r="G25">
        <f t="shared" si="0"/>
        <v>25</v>
      </c>
      <c r="H25">
        <f t="shared" si="1"/>
        <v>42</v>
      </c>
      <c r="I25">
        <f t="shared" si="1"/>
        <v>42</v>
      </c>
      <c r="J25">
        <f t="shared" si="1"/>
        <v>39</v>
      </c>
      <c r="K25" s="2">
        <v>52</v>
      </c>
      <c r="L25" s="4"/>
      <c r="M25" s="4"/>
      <c r="N25" s="2">
        <f t="shared" si="5"/>
        <v>7800</v>
      </c>
      <c r="O25" s="2"/>
      <c r="P25" s="10"/>
      <c r="Q25" s="2">
        <f t="shared" si="6"/>
        <v>1300</v>
      </c>
      <c r="R25" s="2"/>
      <c r="S25" s="2"/>
    </row>
    <row r="26" spans="1:19" ht="12.75">
      <c r="A26">
        <v>21</v>
      </c>
      <c r="B26" t="s">
        <v>191</v>
      </c>
      <c r="C26" s="14" t="s">
        <v>549</v>
      </c>
      <c r="D26" s="14" t="s">
        <v>576</v>
      </c>
      <c r="E26">
        <v>96</v>
      </c>
      <c r="F26">
        <f t="shared" si="2"/>
        <v>14400</v>
      </c>
      <c r="G26">
        <f t="shared" si="0"/>
        <v>2400</v>
      </c>
      <c r="H26">
        <f t="shared" si="1"/>
        <v>4032</v>
      </c>
      <c r="I26">
        <f t="shared" si="1"/>
        <v>4032</v>
      </c>
      <c r="J26">
        <f t="shared" si="1"/>
        <v>3744</v>
      </c>
      <c r="K26" s="2"/>
      <c r="L26" s="2"/>
      <c r="M26" s="2"/>
      <c r="N26" s="2"/>
      <c r="O26" s="2"/>
      <c r="P26" s="10"/>
      <c r="Q26" s="2"/>
      <c r="R26" s="2"/>
      <c r="S26" s="2"/>
    </row>
    <row r="27" spans="1:19" ht="12.75">
      <c r="A27">
        <v>22</v>
      </c>
      <c r="B27" t="s">
        <v>228</v>
      </c>
      <c r="C27" s="14" t="s">
        <v>549</v>
      </c>
      <c r="D27" s="14" t="s">
        <v>577</v>
      </c>
      <c r="E27">
        <v>96</v>
      </c>
      <c r="F27">
        <f t="shared" si="2"/>
        <v>14400</v>
      </c>
      <c r="G27">
        <f t="shared" si="0"/>
        <v>2400</v>
      </c>
      <c r="H27">
        <f t="shared" si="1"/>
        <v>4032</v>
      </c>
      <c r="I27">
        <f t="shared" si="1"/>
        <v>4032</v>
      </c>
      <c r="J27">
        <f t="shared" si="1"/>
        <v>3744</v>
      </c>
      <c r="K27" s="2"/>
      <c r="L27" s="2"/>
      <c r="M27" s="2"/>
      <c r="N27" s="2"/>
      <c r="O27" s="2"/>
      <c r="P27" s="10"/>
      <c r="Q27" s="2"/>
      <c r="R27" s="2"/>
      <c r="S27" s="2"/>
    </row>
    <row r="28" spans="1:19" ht="12.75">
      <c r="A28">
        <v>23</v>
      </c>
      <c r="B28" t="s">
        <v>23</v>
      </c>
      <c r="C28" s="14" t="s">
        <v>622</v>
      </c>
      <c r="D28" s="14" t="s">
        <v>578</v>
      </c>
      <c r="E28">
        <v>2</v>
      </c>
      <c r="F28">
        <f t="shared" si="2"/>
        <v>300</v>
      </c>
      <c r="G28">
        <f t="shared" si="0"/>
        <v>50</v>
      </c>
      <c r="H28">
        <f t="shared" si="1"/>
        <v>84</v>
      </c>
      <c r="I28">
        <f t="shared" si="1"/>
        <v>84</v>
      </c>
      <c r="J28">
        <f t="shared" si="1"/>
        <v>78</v>
      </c>
      <c r="K28" s="2"/>
      <c r="L28" s="2"/>
      <c r="M28" s="2"/>
      <c r="N28" s="2"/>
      <c r="O28" s="2"/>
      <c r="P28" s="10"/>
      <c r="Q28" s="2"/>
      <c r="R28" s="2"/>
      <c r="S28" s="2"/>
    </row>
    <row r="29" spans="1:19" ht="12.75">
      <c r="A29">
        <v>24</v>
      </c>
      <c r="B29" t="s">
        <v>438</v>
      </c>
      <c r="C29" s="14" t="s">
        <v>276</v>
      </c>
      <c r="D29" s="14" t="s">
        <v>579</v>
      </c>
      <c r="E29">
        <v>1</v>
      </c>
      <c r="F29">
        <f t="shared" si="2"/>
        <v>150</v>
      </c>
      <c r="G29">
        <f t="shared" si="0"/>
        <v>25</v>
      </c>
      <c r="H29">
        <f>$E29*H$4</f>
        <v>42</v>
      </c>
      <c r="I29">
        <f>$E29*I$4</f>
        <v>42</v>
      </c>
      <c r="J29">
        <f>$E29*J$4</f>
        <v>39</v>
      </c>
      <c r="K29" s="2"/>
      <c r="L29" s="2"/>
      <c r="M29" s="2"/>
      <c r="N29" s="2"/>
      <c r="O29" s="2"/>
      <c r="P29" s="10"/>
      <c r="Q29" s="2"/>
      <c r="R29" s="2"/>
      <c r="S29" s="2"/>
    </row>
    <row r="30" spans="1:19" ht="12.75">
      <c r="A30">
        <v>25</v>
      </c>
      <c r="B30" t="s">
        <v>25</v>
      </c>
      <c r="C30" s="14" t="s">
        <v>277</v>
      </c>
      <c r="D30" s="14" t="s">
        <v>580</v>
      </c>
      <c r="E30">
        <v>1</v>
      </c>
      <c r="F30">
        <f t="shared" si="2"/>
        <v>150</v>
      </c>
      <c r="G30">
        <f aca="true" t="shared" si="7" ref="G30:J47">$E30*G$4</f>
        <v>25</v>
      </c>
      <c r="H30">
        <f t="shared" si="7"/>
        <v>42</v>
      </c>
      <c r="I30">
        <f t="shared" si="7"/>
        <v>42</v>
      </c>
      <c r="J30">
        <f t="shared" si="7"/>
        <v>39</v>
      </c>
      <c r="K30" s="2"/>
      <c r="L30" s="2"/>
      <c r="M30" s="2"/>
      <c r="N30" s="2"/>
      <c r="O30" s="2"/>
      <c r="P30" s="10"/>
      <c r="Q30" s="2"/>
      <c r="R30" s="2"/>
      <c r="S30" s="2"/>
    </row>
    <row r="31" spans="1:19" ht="12.75">
      <c r="A31">
        <v>26</v>
      </c>
      <c r="B31" t="s">
        <v>248</v>
      </c>
      <c r="C31" s="14" t="s">
        <v>615</v>
      </c>
      <c r="D31" s="13" t="s">
        <v>554</v>
      </c>
      <c r="E31">
        <v>2</v>
      </c>
      <c r="F31">
        <f t="shared" si="2"/>
        <v>300</v>
      </c>
      <c r="G31">
        <f t="shared" si="7"/>
        <v>50</v>
      </c>
      <c r="H31">
        <f t="shared" si="7"/>
        <v>84</v>
      </c>
      <c r="I31">
        <f t="shared" si="7"/>
        <v>84</v>
      </c>
      <c r="J31">
        <f t="shared" si="7"/>
        <v>78</v>
      </c>
      <c r="K31" s="2"/>
      <c r="L31" s="2"/>
      <c r="M31" s="2"/>
      <c r="N31" s="2"/>
      <c r="O31" s="2"/>
      <c r="P31" s="10"/>
      <c r="Q31" s="2"/>
      <c r="R31" s="2"/>
      <c r="S31" s="2"/>
    </row>
    <row r="32" spans="1:19" ht="12.75">
      <c r="A32">
        <v>27</v>
      </c>
      <c r="B32" t="s">
        <v>27</v>
      </c>
      <c r="C32" s="14" t="s">
        <v>614</v>
      </c>
      <c r="D32" s="14" t="s">
        <v>553</v>
      </c>
      <c r="E32">
        <v>2</v>
      </c>
      <c r="F32">
        <f t="shared" si="2"/>
        <v>300</v>
      </c>
      <c r="G32">
        <f t="shared" si="7"/>
        <v>50</v>
      </c>
      <c r="H32">
        <f t="shared" si="7"/>
        <v>84</v>
      </c>
      <c r="I32">
        <f t="shared" si="7"/>
        <v>84</v>
      </c>
      <c r="J32">
        <f t="shared" si="7"/>
        <v>78</v>
      </c>
      <c r="K32" s="2"/>
      <c r="L32" s="2"/>
      <c r="M32" s="2"/>
      <c r="N32" s="2"/>
      <c r="O32" s="2"/>
      <c r="P32" s="10"/>
      <c r="Q32" s="2"/>
      <c r="R32" s="2"/>
      <c r="S32" s="2"/>
    </row>
    <row r="33" spans="1:19" ht="12.75">
      <c r="A33">
        <v>28</v>
      </c>
      <c r="B33" t="s">
        <v>229</v>
      </c>
      <c r="C33" s="14" t="s">
        <v>549</v>
      </c>
      <c r="D33" s="14" t="s">
        <v>581</v>
      </c>
      <c r="E33">
        <v>28</v>
      </c>
      <c r="F33">
        <f t="shared" si="2"/>
        <v>4200</v>
      </c>
      <c r="G33">
        <f t="shared" si="7"/>
        <v>700</v>
      </c>
      <c r="H33">
        <f t="shared" si="7"/>
        <v>1176</v>
      </c>
      <c r="I33">
        <f t="shared" si="7"/>
        <v>1176</v>
      </c>
      <c r="J33">
        <f t="shared" si="7"/>
        <v>1092</v>
      </c>
      <c r="K33" s="2"/>
      <c r="L33" s="2"/>
      <c r="M33" s="2"/>
      <c r="N33" s="2"/>
      <c r="O33" s="2"/>
      <c r="P33" s="10"/>
      <c r="Q33" s="2"/>
      <c r="R33" s="2"/>
      <c r="S33" s="2"/>
    </row>
    <row r="34" spans="1:19" ht="12.75">
      <c r="A34">
        <v>29</v>
      </c>
      <c r="B34" t="s">
        <v>551</v>
      </c>
      <c r="C34" s="14" t="s">
        <v>549</v>
      </c>
      <c r="D34" s="13" t="s">
        <v>601</v>
      </c>
      <c r="E34">
        <v>24</v>
      </c>
      <c r="F34">
        <f t="shared" si="2"/>
        <v>3600</v>
      </c>
      <c r="G34">
        <f t="shared" si="7"/>
        <v>600</v>
      </c>
      <c r="H34">
        <f t="shared" si="7"/>
        <v>1008</v>
      </c>
      <c r="I34">
        <f t="shared" si="7"/>
        <v>1008</v>
      </c>
      <c r="J34">
        <f t="shared" si="7"/>
        <v>936</v>
      </c>
      <c r="K34" s="2"/>
      <c r="L34" s="2"/>
      <c r="M34" s="2"/>
      <c r="N34" s="2"/>
      <c r="O34" s="2"/>
      <c r="P34" s="10"/>
      <c r="Q34" s="2"/>
      <c r="R34" s="2"/>
      <c r="S34" s="2"/>
    </row>
    <row r="35" spans="1:19" ht="12.75">
      <c r="A35">
        <v>30</v>
      </c>
      <c r="B35" t="s">
        <v>249</v>
      </c>
      <c r="C35" s="14" t="s">
        <v>549</v>
      </c>
      <c r="D35" s="14" t="s">
        <v>582</v>
      </c>
      <c r="E35">
        <v>6</v>
      </c>
      <c r="F35">
        <f t="shared" si="2"/>
        <v>900</v>
      </c>
      <c r="G35">
        <f t="shared" si="7"/>
        <v>150</v>
      </c>
      <c r="H35">
        <f t="shared" si="7"/>
        <v>252</v>
      </c>
      <c r="I35">
        <f t="shared" si="7"/>
        <v>252</v>
      </c>
      <c r="J35">
        <f t="shared" si="7"/>
        <v>234</v>
      </c>
      <c r="K35" s="2"/>
      <c r="L35" s="2"/>
      <c r="M35" s="2"/>
      <c r="N35" s="2"/>
      <c r="O35" s="2"/>
      <c r="P35" s="10"/>
      <c r="Q35" s="2"/>
      <c r="R35" s="2"/>
      <c r="S35" s="2"/>
    </row>
    <row r="36" spans="1:19" ht="12.75">
      <c r="A36">
        <v>31</v>
      </c>
      <c r="B36" t="s">
        <v>602</v>
      </c>
      <c r="C36" s="14" t="s">
        <v>623</v>
      </c>
      <c r="D36" s="14" t="s">
        <v>583</v>
      </c>
      <c r="E36">
        <v>4</v>
      </c>
      <c r="F36">
        <f t="shared" si="2"/>
        <v>600</v>
      </c>
      <c r="G36">
        <f t="shared" si="7"/>
        <v>100</v>
      </c>
      <c r="H36">
        <f t="shared" si="7"/>
        <v>168</v>
      </c>
      <c r="I36">
        <f t="shared" si="7"/>
        <v>168</v>
      </c>
      <c r="J36">
        <f t="shared" si="7"/>
        <v>156</v>
      </c>
      <c r="K36" s="2"/>
      <c r="L36" s="2"/>
      <c r="M36" s="2"/>
      <c r="N36" s="2"/>
      <c r="O36" s="2"/>
      <c r="P36" s="10"/>
      <c r="Q36" s="2"/>
      <c r="R36" s="2"/>
      <c r="S36" s="2"/>
    </row>
    <row r="37" spans="1:19" ht="12.75">
      <c r="A37">
        <v>32</v>
      </c>
      <c r="B37" t="s">
        <v>157</v>
      </c>
      <c r="C37" s="14" t="s">
        <v>624</v>
      </c>
      <c r="D37" s="14" t="s">
        <v>556</v>
      </c>
      <c r="E37">
        <v>2</v>
      </c>
      <c r="F37">
        <f t="shared" si="2"/>
        <v>300</v>
      </c>
      <c r="G37">
        <f t="shared" si="7"/>
        <v>50</v>
      </c>
      <c r="H37">
        <f t="shared" si="7"/>
        <v>84</v>
      </c>
      <c r="I37">
        <f t="shared" si="7"/>
        <v>84</v>
      </c>
      <c r="J37">
        <f t="shared" si="7"/>
        <v>78</v>
      </c>
      <c r="K37" s="2"/>
      <c r="L37" s="2"/>
      <c r="M37" s="2"/>
      <c r="N37" s="2"/>
      <c r="O37" s="2"/>
      <c r="P37" s="10"/>
      <c r="Q37" s="2"/>
      <c r="R37" s="2"/>
      <c r="S37" s="2"/>
    </row>
    <row r="38" spans="1:19" ht="12.75">
      <c r="A38">
        <v>33</v>
      </c>
      <c r="B38" t="s">
        <v>219</v>
      </c>
      <c r="C38" s="14" t="s">
        <v>549</v>
      </c>
      <c r="D38" s="14" t="s">
        <v>564</v>
      </c>
      <c r="E38">
        <v>2</v>
      </c>
      <c r="F38">
        <f t="shared" si="2"/>
        <v>300</v>
      </c>
      <c r="G38">
        <f t="shared" si="7"/>
        <v>50</v>
      </c>
      <c r="H38">
        <f t="shared" si="7"/>
        <v>84</v>
      </c>
      <c r="I38">
        <f t="shared" si="7"/>
        <v>84</v>
      </c>
      <c r="J38">
        <f t="shared" si="7"/>
        <v>78</v>
      </c>
      <c r="K38" s="2"/>
      <c r="L38" s="2"/>
      <c r="M38" s="2"/>
      <c r="N38" s="2"/>
      <c r="O38" s="2"/>
      <c r="P38" s="10"/>
      <c r="Q38" s="2"/>
      <c r="R38" s="2"/>
      <c r="S38" s="2"/>
    </row>
    <row r="39" spans="1:19" ht="12.75">
      <c r="A39">
        <v>34</v>
      </c>
      <c r="B39" t="s">
        <v>216</v>
      </c>
      <c r="C39" s="14" t="s">
        <v>549</v>
      </c>
      <c r="D39" s="14" t="s">
        <v>550</v>
      </c>
      <c r="E39">
        <v>2</v>
      </c>
      <c r="F39">
        <f t="shared" si="2"/>
        <v>300</v>
      </c>
      <c r="G39">
        <f t="shared" si="7"/>
        <v>50</v>
      </c>
      <c r="H39">
        <f t="shared" si="7"/>
        <v>84</v>
      </c>
      <c r="I39">
        <f t="shared" si="7"/>
        <v>84</v>
      </c>
      <c r="J39">
        <f t="shared" si="7"/>
        <v>78</v>
      </c>
      <c r="K39" s="2"/>
      <c r="L39" s="2"/>
      <c r="M39" s="2"/>
      <c r="N39" s="2"/>
      <c r="O39" s="2"/>
      <c r="P39" s="10"/>
      <c r="Q39" s="2"/>
      <c r="R39" s="2"/>
      <c r="S39" s="2"/>
    </row>
    <row r="40" spans="1:19" s="15" customFormat="1" ht="12.75">
      <c r="A40" s="15">
        <v>35</v>
      </c>
      <c r="B40" s="15" t="s">
        <v>195</v>
      </c>
      <c r="C40" s="18" t="s">
        <v>215</v>
      </c>
      <c r="D40" s="18"/>
      <c r="E40" s="15">
        <f>7*0</f>
        <v>0</v>
      </c>
      <c r="F40" s="15">
        <f t="shared" si="2"/>
        <v>0</v>
      </c>
      <c r="G40" s="15">
        <f t="shared" si="7"/>
        <v>0</v>
      </c>
      <c r="H40" s="15">
        <f t="shared" si="7"/>
        <v>0</v>
      </c>
      <c r="I40" s="15">
        <f t="shared" si="7"/>
        <v>0</v>
      </c>
      <c r="J40" s="15">
        <f t="shared" si="7"/>
        <v>0</v>
      </c>
      <c r="K40" s="17"/>
      <c r="L40" s="17"/>
      <c r="M40" s="17"/>
      <c r="N40" s="17"/>
      <c r="O40" s="17"/>
      <c r="P40" s="21"/>
      <c r="Q40" s="17"/>
      <c r="R40" s="17"/>
      <c r="S40" s="17"/>
    </row>
    <row r="41" spans="1:19" ht="12.75">
      <c r="A41">
        <v>36</v>
      </c>
      <c r="B41" s="1" t="s">
        <v>650</v>
      </c>
      <c r="C41" s="14" t="s">
        <v>610</v>
      </c>
      <c r="D41" s="14" t="s">
        <v>584</v>
      </c>
      <c r="E41">
        <v>2</v>
      </c>
      <c r="F41">
        <f t="shared" si="2"/>
        <v>300</v>
      </c>
      <c r="G41">
        <f t="shared" si="7"/>
        <v>50</v>
      </c>
      <c r="H41">
        <f t="shared" si="7"/>
        <v>84</v>
      </c>
      <c r="I41">
        <f t="shared" si="7"/>
        <v>84</v>
      </c>
      <c r="J41">
        <f t="shared" si="7"/>
        <v>78</v>
      </c>
      <c r="K41" s="2"/>
      <c r="L41" s="2"/>
      <c r="M41" s="2"/>
      <c r="N41" s="2"/>
      <c r="O41" s="2"/>
      <c r="P41" s="10"/>
      <c r="Q41" s="2"/>
      <c r="R41" s="2"/>
      <c r="S41" s="2"/>
    </row>
    <row r="42" spans="1:19" ht="12.75">
      <c r="A42">
        <v>37</v>
      </c>
      <c r="B42" s="1" t="s">
        <v>653</v>
      </c>
      <c r="C42" s="14" t="s">
        <v>610</v>
      </c>
      <c r="D42" s="14" t="s">
        <v>585</v>
      </c>
      <c r="E42">
        <v>2</v>
      </c>
      <c r="F42">
        <f t="shared" si="2"/>
        <v>300</v>
      </c>
      <c r="G42">
        <f t="shared" si="7"/>
        <v>50</v>
      </c>
      <c r="H42">
        <f t="shared" si="7"/>
        <v>84</v>
      </c>
      <c r="I42">
        <f t="shared" si="7"/>
        <v>84</v>
      </c>
      <c r="J42">
        <f t="shared" si="7"/>
        <v>78</v>
      </c>
      <c r="K42" s="2"/>
      <c r="L42" s="2"/>
      <c r="M42" s="2"/>
      <c r="N42" s="2"/>
      <c r="O42" s="2"/>
      <c r="P42" s="10"/>
      <c r="Q42" s="2"/>
      <c r="R42" s="2"/>
      <c r="S42" s="2"/>
    </row>
    <row r="43" spans="1:19" ht="12.75">
      <c r="A43">
        <v>38</v>
      </c>
      <c r="B43" s="1" t="s">
        <v>656</v>
      </c>
      <c r="C43" s="14" t="s">
        <v>610</v>
      </c>
      <c r="D43" s="14" t="s">
        <v>586</v>
      </c>
      <c r="E43">
        <v>4</v>
      </c>
      <c r="F43">
        <f t="shared" si="2"/>
        <v>600</v>
      </c>
      <c r="G43">
        <f t="shared" si="7"/>
        <v>100</v>
      </c>
      <c r="H43">
        <f t="shared" si="7"/>
        <v>168</v>
      </c>
      <c r="I43">
        <f t="shared" si="7"/>
        <v>168</v>
      </c>
      <c r="J43">
        <f t="shared" si="7"/>
        <v>156</v>
      </c>
      <c r="K43" s="2"/>
      <c r="L43" s="2"/>
      <c r="M43" s="2"/>
      <c r="N43" s="2"/>
      <c r="O43" s="2"/>
      <c r="P43" s="10"/>
      <c r="Q43" s="2"/>
      <c r="R43" s="2"/>
      <c r="S43" s="2"/>
    </row>
    <row r="44" spans="1:19" ht="12.75">
      <c r="A44" s="22">
        <v>39</v>
      </c>
      <c r="B44" s="1" t="s">
        <v>651</v>
      </c>
      <c r="C44" s="14" t="s">
        <v>278</v>
      </c>
      <c r="D44" s="14" t="s">
        <v>587</v>
      </c>
      <c r="E44">
        <v>1</v>
      </c>
      <c r="F44">
        <f t="shared" si="2"/>
        <v>150</v>
      </c>
      <c r="G44">
        <f t="shared" si="7"/>
        <v>25</v>
      </c>
      <c r="H44">
        <f t="shared" si="7"/>
        <v>42</v>
      </c>
      <c r="I44">
        <f t="shared" si="7"/>
        <v>42</v>
      </c>
      <c r="J44">
        <f t="shared" si="7"/>
        <v>39</v>
      </c>
      <c r="K44" s="2"/>
      <c r="L44" s="2"/>
      <c r="M44" s="2"/>
      <c r="N44" s="2"/>
      <c r="O44" s="2"/>
      <c r="P44" s="10"/>
      <c r="Q44" s="2"/>
      <c r="R44" s="2"/>
      <c r="S44" s="2"/>
    </row>
    <row r="45" spans="1:19" ht="12.75">
      <c r="A45">
        <v>40</v>
      </c>
      <c r="B45" s="1" t="s">
        <v>654</v>
      </c>
      <c r="C45" s="14" t="s">
        <v>278</v>
      </c>
      <c r="D45" s="14" t="s">
        <v>588</v>
      </c>
      <c r="E45">
        <v>1</v>
      </c>
      <c r="F45">
        <f t="shared" si="2"/>
        <v>150</v>
      </c>
      <c r="G45">
        <f t="shared" si="7"/>
        <v>25</v>
      </c>
      <c r="H45">
        <f t="shared" si="7"/>
        <v>42</v>
      </c>
      <c r="I45">
        <f t="shared" si="7"/>
        <v>42</v>
      </c>
      <c r="J45">
        <f t="shared" si="7"/>
        <v>39</v>
      </c>
      <c r="K45" s="2"/>
      <c r="L45" s="2"/>
      <c r="M45" s="2"/>
      <c r="N45" s="2"/>
      <c r="O45" s="2"/>
      <c r="P45" s="10"/>
      <c r="Q45" s="2"/>
      <c r="R45" s="2"/>
      <c r="S45" s="2"/>
    </row>
    <row r="46" spans="1:19" ht="12.75">
      <c r="A46">
        <v>41</v>
      </c>
      <c r="B46" s="1" t="s">
        <v>657</v>
      </c>
      <c r="C46" s="14" t="s">
        <v>278</v>
      </c>
      <c r="D46" s="14" t="s">
        <v>589</v>
      </c>
      <c r="E46">
        <v>2</v>
      </c>
      <c r="F46">
        <f t="shared" si="2"/>
        <v>300</v>
      </c>
      <c r="G46">
        <f t="shared" si="7"/>
        <v>50</v>
      </c>
      <c r="H46">
        <f t="shared" si="7"/>
        <v>84</v>
      </c>
      <c r="I46">
        <f t="shared" si="7"/>
        <v>84</v>
      </c>
      <c r="J46">
        <f t="shared" si="7"/>
        <v>78</v>
      </c>
      <c r="K46" s="2"/>
      <c r="L46" s="2"/>
      <c r="M46" s="2"/>
      <c r="N46" s="2"/>
      <c r="O46" s="2"/>
      <c r="P46" s="10"/>
      <c r="Q46" s="2"/>
      <c r="R46" s="2"/>
      <c r="S46" s="2"/>
    </row>
    <row r="47" spans="1:17" ht="12.75">
      <c r="A47">
        <v>42</v>
      </c>
      <c r="B47" s="1" t="s">
        <v>652</v>
      </c>
      <c r="C47" t="s">
        <v>285</v>
      </c>
      <c r="D47" t="s">
        <v>593</v>
      </c>
      <c r="E47">
        <v>2</v>
      </c>
      <c r="F47">
        <f t="shared" si="2"/>
        <v>300</v>
      </c>
      <c r="G47">
        <f t="shared" si="7"/>
        <v>50</v>
      </c>
      <c r="H47">
        <f t="shared" si="7"/>
        <v>84</v>
      </c>
      <c r="I47">
        <f t="shared" si="7"/>
        <v>84</v>
      </c>
      <c r="J47">
        <f t="shared" si="7"/>
        <v>78</v>
      </c>
      <c r="K47" s="2"/>
      <c r="L47" s="2"/>
      <c r="P47" s="10"/>
      <c r="Q47" s="2"/>
    </row>
    <row r="48" spans="1:17" ht="25.5">
      <c r="A48">
        <v>43</v>
      </c>
      <c r="B48" s="1" t="s">
        <v>655</v>
      </c>
      <c r="C48" t="s">
        <v>285</v>
      </c>
      <c r="D48" t="s">
        <v>594</v>
      </c>
      <c r="E48">
        <v>2</v>
      </c>
      <c r="F48">
        <f t="shared" si="2"/>
        <v>300</v>
      </c>
      <c r="G48">
        <f aca="true" t="shared" si="8" ref="G48:J51">$E48*G$4</f>
        <v>50</v>
      </c>
      <c r="H48">
        <f t="shared" si="8"/>
        <v>84</v>
      </c>
      <c r="I48">
        <f t="shared" si="8"/>
        <v>84</v>
      </c>
      <c r="J48">
        <f t="shared" si="8"/>
        <v>78</v>
      </c>
      <c r="K48" s="2"/>
      <c r="L48" s="2"/>
      <c r="P48" s="10"/>
      <c r="Q48" s="2"/>
    </row>
    <row r="49" spans="1:17" ht="12.75">
      <c r="A49" s="22">
        <v>44</v>
      </c>
      <c r="B49" s="1" t="s">
        <v>658</v>
      </c>
      <c r="C49" t="s">
        <v>285</v>
      </c>
      <c r="D49" t="s">
        <v>595</v>
      </c>
      <c r="E49">
        <v>6</v>
      </c>
      <c r="F49">
        <f t="shared" si="2"/>
        <v>900</v>
      </c>
      <c r="G49">
        <f t="shared" si="8"/>
        <v>150</v>
      </c>
      <c r="H49">
        <f t="shared" si="8"/>
        <v>252</v>
      </c>
      <c r="I49">
        <f t="shared" si="8"/>
        <v>252</v>
      </c>
      <c r="J49">
        <f t="shared" si="8"/>
        <v>234</v>
      </c>
      <c r="K49" s="2"/>
      <c r="L49" s="2"/>
      <c r="P49" s="10"/>
      <c r="Q49" s="2"/>
    </row>
    <row r="50" spans="1:19" ht="12.75">
      <c r="A50">
        <v>45</v>
      </c>
      <c r="B50" t="s">
        <v>234</v>
      </c>
      <c r="C50" t="s">
        <v>549</v>
      </c>
      <c r="D50" s="14" t="s">
        <v>592</v>
      </c>
      <c r="E50">
        <v>6</v>
      </c>
      <c r="F50">
        <f>E50*L$2</f>
        <v>900</v>
      </c>
      <c r="G50">
        <f t="shared" si="8"/>
        <v>150</v>
      </c>
      <c r="H50">
        <f t="shared" si="8"/>
        <v>252</v>
      </c>
      <c r="I50">
        <f t="shared" si="8"/>
        <v>252</v>
      </c>
      <c r="J50">
        <f t="shared" si="8"/>
        <v>234</v>
      </c>
      <c r="K50" s="2"/>
      <c r="L50" s="2"/>
      <c r="M50" s="2"/>
      <c r="N50" s="2"/>
      <c r="O50" s="2"/>
      <c r="P50" s="10"/>
      <c r="Q50" s="2"/>
      <c r="R50" s="2"/>
      <c r="S50" s="2"/>
    </row>
    <row r="51" spans="1:19" ht="12.75">
      <c r="A51">
        <v>46</v>
      </c>
      <c r="B51" t="s">
        <v>590</v>
      </c>
      <c r="C51" s="14" t="s">
        <v>603</v>
      </c>
      <c r="D51" s="14" t="s">
        <v>591</v>
      </c>
      <c r="E51">
        <v>1</v>
      </c>
      <c r="F51">
        <f>E51*L$2</f>
        <v>150</v>
      </c>
      <c r="G51">
        <f t="shared" si="8"/>
        <v>25</v>
      </c>
      <c r="H51">
        <f t="shared" si="8"/>
        <v>42</v>
      </c>
      <c r="I51">
        <f t="shared" si="8"/>
        <v>42</v>
      </c>
      <c r="J51">
        <f t="shared" si="8"/>
        <v>39</v>
      </c>
      <c r="K51" s="2"/>
      <c r="L51" s="2"/>
      <c r="M51" s="2"/>
      <c r="N51" s="2"/>
      <c r="O51" s="2"/>
      <c r="P51" s="10"/>
      <c r="Q51" s="2"/>
      <c r="R51" s="2"/>
      <c r="S51" s="2"/>
    </row>
    <row r="52" spans="3:4" ht="12.75">
      <c r="C52"/>
      <c r="D52"/>
    </row>
    <row r="53" spans="2:19" ht="12.75">
      <c r="B53" t="s">
        <v>45</v>
      </c>
      <c r="C53"/>
      <c r="D53"/>
      <c r="N53" s="2">
        <f aca="true" t="shared" si="9" ref="N53:S53">SUM(N6:N50)</f>
        <v>93036</v>
      </c>
      <c r="O53" s="2">
        <f t="shared" si="9"/>
        <v>10752.000000000002</v>
      </c>
      <c r="P53" s="10">
        <f t="shared" si="9"/>
        <v>6480</v>
      </c>
      <c r="Q53" s="2">
        <f t="shared" si="9"/>
        <v>15506</v>
      </c>
      <c r="R53" s="2">
        <f t="shared" si="9"/>
        <v>1792.0000000000002</v>
      </c>
      <c r="S53" s="2">
        <f t="shared" si="9"/>
        <v>1080</v>
      </c>
    </row>
    <row r="54" spans="2:19" ht="12.75">
      <c r="B54" t="s">
        <v>224</v>
      </c>
      <c r="N54" s="2">
        <f aca="true" t="shared" si="10" ref="N54:S54">N53/12</f>
        <v>7753</v>
      </c>
      <c r="O54" s="2">
        <f t="shared" si="10"/>
        <v>896.0000000000001</v>
      </c>
      <c r="P54" s="10">
        <f t="shared" si="10"/>
        <v>540</v>
      </c>
      <c r="Q54" s="2">
        <f t="shared" si="10"/>
        <v>1292.1666666666667</v>
      </c>
      <c r="R54" s="2">
        <f t="shared" si="10"/>
        <v>149.33333333333334</v>
      </c>
      <c r="S54" s="2">
        <f t="shared" si="10"/>
        <v>90</v>
      </c>
    </row>
    <row r="55" spans="2:19" ht="12.75">
      <c r="B55" t="s">
        <v>46</v>
      </c>
      <c r="N55" s="3">
        <f>(6*82.5-3.2+6*16-19.05*1.78-2)/25.4/25.4</f>
        <v>0.8554327608655218</v>
      </c>
      <c r="O55" s="3">
        <f>(6*82.5-3.2+6*16-19.05*1.78-2-5)/25.4/25.4</f>
        <v>0.8476827453654908</v>
      </c>
      <c r="P55" s="3">
        <f>(9*82.5+(126.5-82.5)*6+91.75*6)/25.4/25.4</f>
        <v>2.4133548267096536</v>
      </c>
      <c r="Q55" s="52">
        <f>(6*82.5-3.2+6*16-19.05*1.78-2)/25.4/25.4</f>
        <v>0.8554327608655218</v>
      </c>
      <c r="R55" s="3">
        <f>(6*82.5-3.2+6*16-19.05*1.78-2-5)/25.4/25.4</f>
        <v>0.8476827453654908</v>
      </c>
      <c r="S55" s="3">
        <f>(9*82.5+(126.5-82.5)*6+91.75*6)/25.4/25.4</f>
        <v>2.4133548267096536</v>
      </c>
    </row>
    <row r="56" spans="2:19" ht="12.75">
      <c r="B56" t="s">
        <v>58</v>
      </c>
      <c r="N56" s="2">
        <f aca="true" t="shared" si="11" ref="N56:S56">N53*N55*0.098</f>
        <v>7799.4321493087</v>
      </c>
      <c r="O56" s="2">
        <f t="shared" si="11"/>
        <v>893.1999180606365</v>
      </c>
      <c r="P56" s="10">
        <f t="shared" si="11"/>
        <v>1532.5768491536985</v>
      </c>
      <c r="Q56" s="2">
        <f t="shared" si="11"/>
        <v>1299.9053582181166</v>
      </c>
      <c r="R56" s="2">
        <f t="shared" si="11"/>
        <v>148.86665301010606</v>
      </c>
      <c r="S56" s="2">
        <f t="shared" si="11"/>
        <v>255.42947485894976</v>
      </c>
    </row>
    <row r="57" spans="2:19" ht="12.75">
      <c r="B57" t="s">
        <v>49</v>
      </c>
      <c r="N57" s="2">
        <f aca="true" t="shared" si="12" ref="N57:S57">N53*N55*4/1728</f>
        <v>184.2269498608442</v>
      </c>
      <c r="O57" s="2">
        <f t="shared" si="12"/>
        <v>21.097881662429998</v>
      </c>
      <c r="P57" s="10">
        <f t="shared" si="12"/>
        <v>36.2003224006448</v>
      </c>
      <c r="Q57" s="2">
        <f t="shared" si="12"/>
        <v>30.70449164347403</v>
      </c>
      <c r="R57" s="2">
        <f t="shared" si="12"/>
        <v>3.5163136104049992</v>
      </c>
      <c r="S57" s="2">
        <f t="shared" si="12"/>
        <v>6.033387066774134</v>
      </c>
    </row>
    <row r="58" ht="12.75">
      <c r="S58" s="28">
        <f>S55*12*0.1</f>
        <v>2.8960257920515846</v>
      </c>
    </row>
    <row r="59" ht="12.75">
      <c r="A59" t="s">
        <v>239</v>
      </c>
    </row>
  </sheetData>
  <printOptions gridLines="1"/>
  <pageMargins left="0.5" right="0.5" top="0.5" bottom="0.5" header="0.25" footer="0.25"/>
  <pageSetup fitToHeight="1" fitToWidth="1" horizontalDpi="600" verticalDpi="600" orientation="landscape" scale="55" r:id="rId1"/>
  <headerFooter alignWithMargins="0">
    <oddHeader>&amp;C&amp;A&amp;R&amp;F</oddHeader>
    <oddFooter>&amp;LK. Kriesel&amp;CPage &amp;P of &amp;N&amp;R&amp;D &amp;T</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224"/>
  <sheetViews>
    <sheetView workbookViewId="0" topLeftCell="A1">
      <pane ySplit="3570" topLeftCell="BM7" activePane="bottomLeft" state="split"/>
      <selection pane="topLeft" activeCell="B63" sqref="B63"/>
      <selection pane="bottomLeft" activeCell="E34" sqref="E34"/>
    </sheetView>
  </sheetViews>
  <sheetFormatPr defaultColWidth="9.140625" defaultRowHeight="12.75"/>
  <cols>
    <col min="1" max="1" width="8.140625" style="0" customWidth="1"/>
    <col min="2" max="2" width="40.7109375" style="0" customWidth="1"/>
    <col min="3" max="3" width="11.140625" style="0" customWidth="1"/>
    <col min="4" max="4" width="18.00390625" style="0" customWidth="1"/>
    <col min="7" max="8" width="10.7109375" style="0" customWidth="1"/>
    <col min="10" max="11" width="10.7109375" style="0" customWidth="1"/>
  </cols>
  <sheetData>
    <row r="1" spans="1:8" ht="12.75">
      <c r="A1" t="s">
        <v>0</v>
      </c>
      <c r="C1" t="s">
        <v>36</v>
      </c>
      <c r="H1">
        <v>36</v>
      </c>
    </row>
    <row r="2" spans="3:8" ht="12.75">
      <c r="C2" t="s">
        <v>37</v>
      </c>
      <c r="H2">
        <v>38</v>
      </c>
    </row>
    <row r="3" spans="1:4" ht="12.75">
      <c r="A3" t="s">
        <v>640</v>
      </c>
      <c r="D3" t="s">
        <v>647</v>
      </c>
    </row>
    <row r="4" ht="12.75">
      <c r="A4" t="s">
        <v>53</v>
      </c>
    </row>
    <row r="5" spans="1:12" ht="111" customHeight="1">
      <c r="A5" s="1" t="s">
        <v>692</v>
      </c>
      <c r="B5" t="s">
        <v>2</v>
      </c>
      <c r="C5" s="13" t="s">
        <v>547</v>
      </c>
      <c r="D5" s="13" t="s">
        <v>558</v>
      </c>
      <c r="E5" s="1" t="s">
        <v>4</v>
      </c>
      <c r="F5" s="1" t="s">
        <v>38</v>
      </c>
      <c r="G5" s="1" t="s">
        <v>39</v>
      </c>
      <c r="H5" s="1" t="s">
        <v>40</v>
      </c>
      <c r="I5" s="1" t="s">
        <v>41</v>
      </c>
      <c r="J5" s="1" t="s">
        <v>42</v>
      </c>
      <c r="K5" s="1" t="s">
        <v>43</v>
      </c>
      <c r="L5" s="1" t="s">
        <v>44</v>
      </c>
    </row>
    <row r="6" spans="1:12" ht="12.75">
      <c r="A6">
        <v>1</v>
      </c>
      <c r="B6" t="s">
        <v>5</v>
      </c>
      <c r="C6" s="14" t="s">
        <v>613</v>
      </c>
      <c r="D6" s="14" t="s">
        <v>552</v>
      </c>
      <c r="E6">
        <v>6</v>
      </c>
      <c r="F6">
        <f>E6*H$2</f>
        <v>228</v>
      </c>
      <c r="G6" s="2"/>
      <c r="H6" s="2"/>
      <c r="I6" s="2"/>
      <c r="J6" s="2"/>
      <c r="K6" s="2"/>
      <c r="L6" s="2"/>
    </row>
    <row r="7" spans="1:12" ht="12.75">
      <c r="A7" s="22">
        <v>2</v>
      </c>
      <c r="B7" t="s">
        <v>6</v>
      </c>
      <c r="C7" t="s">
        <v>612</v>
      </c>
      <c r="D7" s="14" t="s">
        <v>562</v>
      </c>
      <c r="E7">
        <v>6</v>
      </c>
      <c r="F7">
        <f aca="true" t="shared" si="0" ref="F7:F51">E7*H$2</f>
        <v>228</v>
      </c>
      <c r="G7" s="2"/>
      <c r="H7" s="2"/>
      <c r="I7" s="2"/>
      <c r="J7" s="2"/>
      <c r="K7" s="2"/>
      <c r="L7" s="2"/>
    </row>
    <row r="8" spans="1:12" ht="12.75">
      <c r="A8" s="22">
        <v>3</v>
      </c>
      <c r="B8" t="s">
        <v>7</v>
      </c>
      <c r="C8" t="s">
        <v>611</v>
      </c>
      <c r="D8" s="14" t="s">
        <v>563</v>
      </c>
      <c r="E8">
        <v>20</v>
      </c>
      <c r="F8">
        <f t="shared" si="0"/>
        <v>760</v>
      </c>
      <c r="G8" s="2"/>
      <c r="H8" s="2"/>
      <c r="I8" s="2"/>
      <c r="J8" s="2"/>
      <c r="K8" s="2"/>
      <c r="L8" s="2"/>
    </row>
    <row r="9" spans="1:12" ht="12.75">
      <c r="A9" s="22">
        <v>4</v>
      </c>
      <c r="B9" t="s">
        <v>210</v>
      </c>
      <c r="C9" t="s">
        <v>549</v>
      </c>
      <c r="D9" s="14" t="s">
        <v>557</v>
      </c>
      <c r="E9">
        <v>72</v>
      </c>
      <c r="F9">
        <f t="shared" si="0"/>
        <v>2736</v>
      </c>
      <c r="G9" s="2"/>
      <c r="H9" s="2"/>
      <c r="I9" s="2"/>
      <c r="J9" s="2"/>
      <c r="K9" s="2"/>
      <c r="L9" s="2"/>
    </row>
    <row r="10" spans="1:12" ht="25.5">
      <c r="A10" s="22">
        <v>5</v>
      </c>
      <c r="B10" s="1" t="s">
        <v>597</v>
      </c>
      <c r="C10" t="s">
        <v>549</v>
      </c>
      <c r="D10" s="14" t="s">
        <v>548</v>
      </c>
      <c r="E10">
        <v>18</v>
      </c>
      <c r="F10">
        <f t="shared" si="0"/>
        <v>684</v>
      </c>
      <c r="G10" s="2"/>
      <c r="H10" s="2"/>
      <c r="I10" s="2"/>
      <c r="J10" s="2"/>
      <c r="K10" s="2"/>
      <c r="L10" s="2"/>
    </row>
    <row r="11" spans="1:12" ht="12" customHeight="1">
      <c r="A11" s="22">
        <v>6</v>
      </c>
      <c r="B11" t="s">
        <v>247</v>
      </c>
      <c r="C11" t="s">
        <v>549</v>
      </c>
      <c r="D11" s="14" t="s">
        <v>555</v>
      </c>
      <c r="E11">
        <v>6</v>
      </c>
      <c r="F11">
        <f t="shared" si="0"/>
        <v>228</v>
      </c>
      <c r="G11" s="2"/>
      <c r="H11" s="2"/>
      <c r="I11" s="2"/>
      <c r="J11" s="2"/>
      <c r="K11" s="2"/>
      <c r="L11" s="2"/>
    </row>
    <row r="12" spans="1:12" ht="12" customHeight="1">
      <c r="A12" s="22">
        <v>7</v>
      </c>
      <c r="B12" t="s">
        <v>150</v>
      </c>
      <c r="C12" t="s">
        <v>616</v>
      </c>
      <c r="D12" s="14" t="s">
        <v>559</v>
      </c>
      <c r="E12">
        <v>1</v>
      </c>
      <c r="F12">
        <f>E12*H$2</f>
        <v>38</v>
      </c>
      <c r="G12" s="2"/>
      <c r="H12" s="2"/>
      <c r="I12" s="2">
        <v>5.8</v>
      </c>
      <c r="J12" s="2"/>
      <c r="K12" s="2"/>
      <c r="L12" s="2">
        <f aca="true" t="shared" si="1" ref="L12:L17">I12*F12</f>
        <v>220.4</v>
      </c>
    </row>
    <row r="13" spans="1:12" ht="11.25" customHeight="1">
      <c r="A13" s="22">
        <v>8</v>
      </c>
      <c r="B13" t="s">
        <v>151</v>
      </c>
      <c r="C13" t="s">
        <v>617</v>
      </c>
      <c r="D13" s="14" t="s">
        <v>565</v>
      </c>
      <c r="E13">
        <v>1</v>
      </c>
      <c r="F13">
        <f t="shared" si="0"/>
        <v>38</v>
      </c>
      <c r="G13" s="2"/>
      <c r="H13" s="2"/>
      <c r="I13" s="2">
        <v>5.8</v>
      </c>
      <c r="J13" s="2"/>
      <c r="K13" s="2"/>
      <c r="L13" s="2">
        <f t="shared" si="1"/>
        <v>220.4</v>
      </c>
    </row>
    <row r="14" spans="1:12" ht="11.25" customHeight="1">
      <c r="A14">
        <v>9</v>
      </c>
      <c r="B14" t="s">
        <v>152</v>
      </c>
      <c r="C14" t="s">
        <v>618</v>
      </c>
      <c r="D14" s="14" t="s">
        <v>560</v>
      </c>
      <c r="E14">
        <v>1</v>
      </c>
      <c r="F14">
        <f>E14*H$2</f>
        <v>38</v>
      </c>
      <c r="G14" s="2"/>
      <c r="H14" s="2"/>
      <c r="I14" s="2">
        <v>5.8</v>
      </c>
      <c r="J14" s="2"/>
      <c r="K14" s="2"/>
      <c r="L14" s="2">
        <f t="shared" si="1"/>
        <v>220.4</v>
      </c>
    </row>
    <row r="15" spans="1:12" ht="12.75">
      <c r="A15">
        <v>10</v>
      </c>
      <c r="B15" t="s">
        <v>153</v>
      </c>
      <c r="C15" t="s">
        <v>633</v>
      </c>
      <c r="D15" s="14" t="s">
        <v>566</v>
      </c>
      <c r="E15">
        <v>1</v>
      </c>
      <c r="F15">
        <f t="shared" si="0"/>
        <v>38</v>
      </c>
      <c r="G15" s="2"/>
      <c r="H15" s="2"/>
      <c r="I15" s="2">
        <v>5.8</v>
      </c>
      <c r="J15" s="2"/>
      <c r="K15" s="2"/>
      <c r="L15" s="2">
        <f t="shared" si="1"/>
        <v>220.4</v>
      </c>
    </row>
    <row r="16" spans="1:12" ht="12.75">
      <c r="A16">
        <v>11</v>
      </c>
      <c r="B16" t="s">
        <v>154</v>
      </c>
      <c r="C16" t="s">
        <v>264</v>
      </c>
      <c r="D16" s="14" t="s">
        <v>561</v>
      </c>
      <c r="E16">
        <v>1</v>
      </c>
      <c r="F16">
        <f>E16*H$2</f>
        <v>38</v>
      </c>
      <c r="G16" s="2"/>
      <c r="H16" s="2"/>
      <c r="I16" s="2">
        <v>10</v>
      </c>
      <c r="J16" s="2"/>
      <c r="K16" s="2"/>
      <c r="L16" s="2">
        <f t="shared" si="1"/>
        <v>380</v>
      </c>
    </row>
    <row r="17" spans="1:12" ht="12.75">
      <c r="A17">
        <v>12</v>
      </c>
      <c r="B17" t="s">
        <v>155</v>
      </c>
      <c r="C17" t="s">
        <v>267</v>
      </c>
      <c r="D17" s="14" t="s">
        <v>567</v>
      </c>
      <c r="E17">
        <v>1</v>
      </c>
      <c r="F17">
        <f t="shared" si="0"/>
        <v>38</v>
      </c>
      <c r="G17" s="2"/>
      <c r="H17" s="2"/>
      <c r="I17" s="2">
        <v>10</v>
      </c>
      <c r="J17" s="2"/>
      <c r="K17" s="2"/>
      <c r="L17" s="2">
        <f t="shared" si="1"/>
        <v>380</v>
      </c>
    </row>
    <row r="18" spans="1:12" ht="12.75">
      <c r="A18">
        <v>13</v>
      </c>
      <c r="B18" t="s">
        <v>14</v>
      </c>
      <c r="C18" t="s">
        <v>286</v>
      </c>
      <c r="D18" t="s">
        <v>680</v>
      </c>
      <c r="E18">
        <v>1</v>
      </c>
      <c r="F18">
        <f t="shared" si="0"/>
        <v>38</v>
      </c>
      <c r="G18" s="2"/>
      <c r="H18" s="2">
        <v>31.1</v>
      </c>
      <c r="I18" s="2"/>
      <c r="J18" s="2"/>
      <c r="K18" s="2">
        <f>H18*F18</f>
        <v>1181.8</v>
      </c>
      <c r="L18" s="2"/>
    </row>
    <row r="19" spans="1:12" ht="12.75">
      <c r="A19">
        <v>14</v>
      </c>
      <c r="B19" t="s">
        <v>15</v>
      </c>
      <c r="C19" t="s">
        <v>634</v>
      </c>
      <c r="D19" t="s">
        <v>681</v>
      </c>
      <c r="E19">
        <v>1</v>
      </c>
      <c r="F19">
        <f t="shared" si="0"/>
        <v>38</v>
      </c>
      <c r="G19" s="2"/>
      <c r="H19" s="2">
        <v>31.1</v>
      </c>
      <c r="I19" s="2"/>
      <c r="J19" s="2"/>
      <c r="K19" s="2">
        <f>H19*F19</f>
        <v>1181.8</v>
      </c>
      <c r="L19" s="2"/>
    </row>
    <row r="20" spans="1:12" ht="12.75">
      <c r="A20">
        <v>15</v>
      </c>
      <c r="B20" t="s">
        <v>250</v>
      </c>
      <c r="C20" s="14" t="s">
        <v>643</v>
      </c>
      <c r="D20" s="14" t="s">
        <v>682</v>
      </c>
      <c r="E20">
        <v>1</v>
      </c>
      <c r="F20">
        <f t="shared" si="0"/>
        <v>38</v>
      </c>
      <c r="G20" s="2">
        <v>77</v>
      </c>
      <c r="H20" s="2"/>
      <c r="I20" s="2"/>
      <c r="J20" s="2">
        <f aca="true" t="shared" si="2" ref="J20:J25">F20*G20</f>
        <v>2926</v>
      </c>
      <c r="K20" s="2"/>
      <c r="L20" s="2"/>
    </row>
    <row r="21" spans="1:12" ht="12.75">
      <c r="A21">
        <v>16</v>
      </c>
      <c r="B21" t="s">
        <v>251</v>
      </c>
      <c r="C21" s="14" t="s">
        <v>641</v>
      </c>
      <c r="D21" s="14" t="s">
        <v>683</v>
      </c>
      <c r="E21">
        <v>1</v>
      </c>
      <c r="F21">
        <f t="shared" si="0"/>
        <v>38</v>
      </c>
      <c r="G21" s="2">
        <v>77</v>
      </c>
      <c r="H21" s="2"/>
      <c r="I21" s="2"/>
      <c r="J21" s="2">
        <f t="shared" si="2"/>
        <v>2926</v>
      </c>
      <c r="K21" s="2"/>
      <c r="L21" s="2"/>
    </row>
    <row r="22" spans="1:12" ht="12.75">
      <c r="A22">
        <v>17</v>
      </c>
      <c r="B22" t="s">
        <v>252</v>
      </c>
      <c r="C22" s="14" t="s">
        <v>642</v>
      </c>
      <c r="D22" s="14" t="s">
        <v>648</v>
      </c>
      <c r="E22">
        <v>1</v>
      </c>
      <c r="F22">
        <f t="shared" si="0"/>
        <v>38</v>
      </c>
      <c r="G22" s="2">
        <v>77</v>
      </c>
      <c r="H22" s="2"/>
      <c r="I22" s="2"/>
      <c r="J22" s="2">
        <f t="shared" si="2"/>
        <v>2926</v>
      </c>
      <c r="K22" s="2"/>
      <c r="L22" s="2"/>
    </row>
    <row r="23" spans="1:12" ht="12.75">
      <c r="A23">
        <v>18</v>
      </c>
      <c r="B23" t="s">
        <v>253</v>
      </c>
      <c r="C23" s="14" t="s">
        <v>649</v>
      </c>
      <c r="D23" s="14" t="s">
        <v>684</v>
      </c>
      <c r="E23">
        <v>1</v>
      </c>
      <c r="F23">
        <f t="shared" si="0"/>
        <v>38</v>
      </c>
      <c r="G23" s="2">
        <v>77</v>
      </c>
      <c r="H23" s="2"/>
      <c r="I23" s="2"/>
      <c r="J23" s="2">
        <f t="shared" si="2"/>
        <v>2926</v>
      </c>
      <c r="K23" s="2"/>
      <c r="L23" s="2"/>
    </row>
    <row r="24" spans="1:12" ht="12.75">
      <c r="A24">
        <v>19</v>
      </c>
      <c r="B24" t="s">
        <v>20</v>
      </c>
      <c r="C24" s="14" t="s">
        <v>716</v>
      </c>
      <c r="D24" s="14" t="s">
        <v>685</v>
      </c>
      <c r="E24">
        <v>1</v>
      </c>
      <c r="F24">
        <f t="shared" si="0"/>
        <v>38</v>
      </c>
      <c r="G24" s="2">
        <v>51.72</v>
      </c>
      <c r="H24" s="2"/>
      <c r="I24" s="2"/>
      <c r="J24" s="2">
        <f t="shared" si="2"/>
        <v>1965.36</v>
      </c>
      <c r="K24" s="2"/>
      <c r="L24" s="2"/>
    </row>
    <row r="25" spans="1:12" ht="12.75">
      <c r="A25">
        <v>20</v>
      </c>
      <c r="B25" t="s">
        <v>21</v>
      </c>
      <c r="C25" t="s">
        <v>717</v>
      </c>
      <c r="D25" t="s">
        <v>686</v>
      </c>
      <c r="E25">
        <v>1</v>
      </c>
      <c r="F25">
        <f t="shared" si="0"/>
        <v>38</v>
      </c>
      <c r="G25" s="2">
        <v>51.72</v>
      </c>
      <c r="H25" s="2"/>
      <c r="I25" s="2"/>
      <c r="J25" s="2">
        <f t="shared" si="2"/>
        <v>1965.36</v>
      </c>
      <c r="K25" s="2"/>
      <c r="L25" s="2"/>
    </row>
    <row r="26" spans="1:12" ht="12.75">
      <c r="A26">
        <v>21</v>
      </c>
      <c r="B26" t="s">
        <v>209</v>
      </c>
      <c r="C26" t="s">
        <v>549</v>
      </c>
      <c r="D26" s="14" t="s">
        <v>576</v>
      </c>
      <c r="E26">
        <v>56</v>
      </c>
      <c r="F26">
        <f>E26*H$2</f>
        <v>2128</v>
      </c>
      <c r="G26" s="2"/>
      <c r="H26" s="2"/>
      <c r="I26" s="2"/>
      <c r="J26" s="2"/>
      <c r="K26" s="2"/>
      <c r="L26" s="2"/>
    </row>
    <row r="27" spans="1:12" ht="12.75">
      <c r="A27">
        <v>22</v>
      </c>
      <c r="B27" t="s">
        <v>228</v>
      </c>
      <c r="C27" t="s">
        <v>549</v>
      </c>
      <c r="D27" s="14" t="s">
        <v>577</v>
      </c>
      <c r="E27">
        <v>56</v>
      </c>
      <c r="F27">
        <f t="shared" si="0"/>
        <v>2128</v>
      </c>
      <c r="G27" s="2"/>
      <c r="H27" s="2"/>
      <c r="I27" s="2"/>
      <c r="J27" s="2"/>
      <c r="K27" s="2"/>
      <c r="L27" s="2"/>
    </row>
    <row r="28" spans="1:12" ht="12.75">
      <c r="A28">
        <v>23</v>
      </c>
      <c r="B28" t="s">
        <v>23</v>
      </c>
      <c r="C28" t="s">
        <v>635</v>
      </c>
      <c r="D28" t="s">
        <v>687</v>
      </c>
      <c r="E28">
        <v>2</v>
      </c>
      <c r="F28">
        <f t="shared" si="0"/>
        <v>76</v>
      </c>
      <c r="G28" s="2"/>
      <c r="H28" s="2"/>
      <c r="I28" s="2"/>
      <c r="J28" s="2"/>
      <c r="K28" s="2"/>
      <c r="L28" s="2"/>
    </row>
    <row r="29" spans="1:12" ht="12.75">
      <c r="A29">
        <v>24</v>
      </c>
      <c r="B29" t="s">
        <v>438</v>
      </c>
      <c r="C29" t="s">
        <v>636</v>
      </c>
      <c r="D29" t="s">
        <v>688</v>
      </c>
      <c r="E29">
        <v>1</v>
      </c>
      <c r="F29">
        <f t="shared" si="0"/>
        <v>38</v>
      </c>
      <c r="G29" s="2"/>
      <c r="H29" s="2"/>
      <c r="I29" s="2"/>
      <c r="J29" s="2"/>
      <c r="K29" s="2"/>
      <c r="L29" s="2"/>
    </row>
    <row r="30" spans="1:12" ht="12.75">
      <c r="A30">
        <v>25</v>
      </c>
      <c r="B30" t="s">
        <v>25</v>
      </c>
      <c r="C30" t="s">
        <v>637</v>
      </c>
      <c r="D30" t="s">
        <v>689</v>
      </c>
      <c r="E30">
        <v>1</v>
      </c>
      <c r="F30">
        <f t="shared" si="0"/>
        <v>38</v>
      </c>
      <c r="G30" s="2"/>
      <c r="H30" s="2"/>
      <c r="I30" s="2"/>
      <c r="J30" s="2"/>
      <c r="K30" s="2"/>
      <c r="L30" s="2"/>
    </row>
    <row r="31" spans="1:12" ht="12.75">
      <c r="A31">
        <v>26</v>
      </c>
      <c r="B31" t="s">
        <v>248</v>
      </c>
      <c r="C31" t="s">
        <v>615</v>
      </c>
      <c r="D31" t="s">
        <v>690</v>
      </c>
      <c r="E31">
        <v>2</v>
      </c>
      <c r="F31">
        <f t="shared" si="0"/>
        <v>76</v>
      </c>
      <c r="G31" s="2"/>
      <c r="H31" s="2"/>
      <c r="I31" s="2"/>
      <c r="J31" s="2"/>
      <c r="K31" s="2"/>
      <c r="L31" s="2"/>
    </row>
    <row r="32" spans="1:12" ht="12.75">
      <c r="A32">
        <v>27</v>
      </c>
      <c r="B32" t="s">
        <v>27</v>
      </c>
      <c r="C32" t="s">
        <v>638</v>
      </c>
      <c r="D32" t="s">
        <v>691</v>
      </c>
      <c r="E32">
        <v>2</v>
      </c>
      <c r="F32">
        <f t="shared" si="0"/>
        <v>76</v>
      </c>
      <c r="G32" s="2"/>
      <c r="H32" s="2"/>
      <c r="I32" s="2"/>
      <c r="J32" s="2"/>
      <c r="K32" s="2"/>
      <c r="L32" s="2"/>
    </row>
    <row r="33" spans="1:12" ht="12.75">
      <c r="A33">
        <v>28</v>
      </c>
      <c r="B33" t="s">
        <v>208</v>
      </c>
      <c r="C33" t="s">
        <v>549</v>
      </c>
      <c r="D33" s="14" t="s">
        <v>581</v>
      </c>
      <c r="E33">
        <v>26</v>
      </c>
      <c r="F33">
        <f t="shared" si="0"/>
        <v>988</v>
      </c>
      <c r="G33" s="2"/>
      <c r="H33" s="2"/>
      <c r="I33" s="2"/>
      <c r="J33" s="2"/>
      <c r="K33" s="2"/>
      <c r="L33" s="2"/>
    </row>
    <row r="34" spans="1:12" ht="12.75">
      <c r="A34">
        <v>29</v>
      </c>
      <c r="B34" t="s">
        <v>721</v>
      </c>
      <c r="C34" t="s">
        <v>549</v>
      </c>
      <c r="D34" s="13" t="s">
        <v>601</v>
      </c>
      <c r="E34">
        <v>24</v>
      </c>
      <c r="F34">
        <f>E34*H$2</f>
        <v>912</v>
      </c>
      <c r="G34" s="2"/>
      <c r="H34" s="2"/>
      <c r="I34" s="2"/>
      <c r="J34" s="2"/>
      <c r="K34" s="2"/>
      <c r="L34" s="2"/>
    </row>
    <row r="35" spans="1:12" ht="12.75">
      <c r="A35" s="22">
        <v>30</v>
      </c>
      <c r="B35" t="s">
        <v>249</v>
      </c>
      <c r="C35" t="s">
        <v>549</v>
      </c>
      <c r="D35" s="14" t="s">
        <v>582</v>
      </c>
      <c r="E35">
        <v>6</v>
      </c>
      <c r="F35">
        <f>E35*H$2</f>
        <v>228</v>
      </c>
      <c r="G35" s="2"/>
      <c r="H35" s="2"/>
      <c r="I35" s="2"/>
      <c r="J35" s="2"/>
      <c r="K35" s="2"/>
      <c r="L35" s="2"/>
    </row>
    <row r="36" spans="1:12" ht="12.75">
      <c r="A36">
        <v>31</v>
      </c>
      <c r="B36" t="s">
        <v>156</v>
      </c>
      <c r="C36" t="s">
        <v>639</v>
      </c>
      <c r="D36" t="s">
        <v>693</v>
      </c>
      <c r="E36">
        <v>4</v>
      </c>
      <c r="F36">
        <f t="shared" si="0"/>
        <v>152</v>
      </c>
      <c r="G36" s="2"/>
      <c r="H36" s="2"/>
      <c r="I36" s="2"/>
      <c r="J36" s="2"/>
      <c r="K36" s="2"/>
      <c r="L36" s="2"/>
    </row>
    <row r="37" spans="1:12" ht="12.75">
      <c r="A37" s="22">
        <v>32</v>
      </c>
      <c r="B37" t="s">
        <v>157</v>
      </c>
      <c r="C37" t="s">
        <v>624</v>
      </c>
      <c r="D37" s="14" t="s">
        <v>556</v>
      </c>
      <c r="E37">
        <v>2</v>
      </c>
      <c r="F37">
        <f>E37*H$2</f>
        <v>76</v>
      </c>
      <c r="G37" s="2"/>
      <c r="H37" s="2"/>
      <c r="I37" s="2"/>
      <c r="J37" s="2"/>
      <c r="K37" s="2"/>
      <c r="L37" s="2"/>
    </row>
    <row r="38" spans="1:12" ht="12.75">
      <c r="A38">
        <v>33</v>
      </c>
      <c r="B38" t="s">
        <v>219</v>
      </c>
      <c r="C38" s="14" t="s">
        <v>549</v>
      </c>
      <c r="D38" s="14" t="s">
        <v>564</v>
      </c>
      <c r="E38">
        <v>2</v>
      </c>
      <c r="F38">
        <f>E38*H$2</f>
        <v>76</v>
      </c>
      <c r="G38" s="2"/>
      <c r="H38" s="2"/>
      <c r="I38" s="2"/>
      <c r="J38" s="2"/>
      <c r="K38" s="2"/>
      <c r="L38" s="2"/>
    </row>
    <row r="39" spans="1:12" ht="12.75">
      <c r="A39">
        <v>34</v>
      </c>
      <c r="B39" t="s">
        <v>217</v>
      </c>
      <c r="C39" s="14" t="s">
        <v>549</v>
      </c>
      <c r="D39" s="14" t="s">
        <v>550</v>
      </c>
      <c r="E39">
        <v>2</v>
      </c>
      <c r="F39">
        <f>E39*H$2</f>
        <v>76</v>
      </c>
      <c r="G39" s="2"/>
      <c r="H39" s="2"/>
      <c r="I39" s="2"/>
      <c r="J39" s="2"/>
      <c r="K39" s="2"/>
      <c r="L39" s="2"/>
    </row>
    <row r="40" spans="1:12" s="15" customFormat="1" ht="12" customHeight="1">
      <c r="A40" s="15">
        <v>35</v>
      </c>
      <c r="B40" s="15" t="s">
        <v>158</v>
      </c>
      <c r="C40" s="18" t="s">
        <v>215</v>
      </c>
      <c r="D40" s="18"/>
      <c r="E40" s="15">
        <f>0*7</f>
        <v>0</v>
      </c>
      <c r="F40" s="15">
        <f>E40*H$2</f>
        <v>0</v>
      </c>
      <c r="G40" s="17"/>
      <c r="H40" s="17"/>
      <c r="I40" s="17"/>
      <c r="J40" s="17"/>
      <c r="K40" s="17"/>
      <c r="L40" s="17"/>
    </row>
    <row r="41" spans="1:12" ht="12.75">
      <c r="A41">
        <v>36</v>
      </c>
      <c r="B41" s="1" t="s">
        <v>650</v>
      </c>
      <c r="C41" s="14" t="s">
        <v>610</v>
      </c>
      <c r="D41" s="14" t="s">
        <v>584</v>
      </c>
      <c r="E41">
        <v>2</v>
      </c>
      <c r="F41">
        <f t="shared" si="0"/>
        <v>76</v>
      </c>
      <c r="G41" s="2"/>
      <c r="H41" s="2"/>
      <c r="I41" s="2"/>
      <c r="J41" s="2"/>
      <c r="K41" s="2"/>
      <c r="L41" s="2"/>
    </row>
    <row r="42" spans="1:12" ht="12.75">
      <c r="A42">
        <v>37</v>
      </c>
      <c r="B42" s="1" t="s">
        <v>653</v>
      </c>
      <c r="C42" s="14" t="s">
        <v>610</v>
      </c>
      <c r="D42" s="14" t="s">
        <v>585</v>
      </c>
      <c r="E42">
        <v>2</v>
      </c>
      <c r="F42">
        <f t="shared" si="0"/>
        <v>76</v>
      </c>
      <c r="G42" s="2"/>
      <c r="H42" s="2"/>
      <c r="I42" s="2"/>
      <c r="J42" s="2"/>
      <c r="K42" s="2"/>
      <c r="L42" s="2"/>
    </row>
    <row r="43" spans="1:12" ht="12.75">
      <c r="A43">
        <v>38</v>
      </c>
      <c r="B43" s="1" t="s">
        <v>656</v>
      </c>
      <c r="C43" s="14" t="s">
        <v>610</v>
      </c>
      <c r="D43" s="14" t="s">
        <v>586</v>
      </c>
      <c r="E43">
        <v>4</v>
      </c>
      <c r="F43">
        <f t="shared" si="0"/>
        <v>152</v>
      </c>
      <c r="G43" s="2"/>
      <c r="H43" s="2"/>
      <c r="I43" s="2"/>
      <c r="J43" s="2"/>
      <c r="K43" s="2"/>
      <c r="L43" s="2"/>
    </row>
    <row r="44" spans="1:12" ht="12.75">
      <c r="A44">
        <v>39</v>
      </c>
      <c r="B44" s="1" t="s">
        <v>651</v>
      </c>
      <c r="C44" s="14" t="s">
        <v>278</v>
      </c>
      <c r="D44" s="14" t="s">
        <v>587</v>
      </c>
      <c r="E44">
        <v>1</v>
      </c>
      <c r="F44">
        <f t="shared" si="0"/>
        <v>38</v>
      </c>
      <c r="G44" s="2"/>
      <c r="H44" s="2"/>
      <c r="I44" s="2"/>
      <c r="J44" s="2"/>
      <c r="K44" s="2"/>
      <c r="L44" s="2"/>
    </row>
    <row r="45" spans="1:12" ht="12.75">
      <c r="A45">
        <v>40</v>
      </c>
      <c r="B45" s="1" t="s">
        <v>654</v>
      </c>
      <c r="C45" s="14" t="s">
        <v>278</v>
      </c>
      <c r="D45" s="14" t="s">
        <v>588</v>
      </c>
      <c r="E45">
        <v>1</v>
      </c>
      <c r="F45">
        <f t="shared" si="0"/>
        <v>38</v>
      </c>
      <c r="G45" s="2"/>
      <c r="H45" s="2"/>
      <c r="I45" s="2"/>
      <c r="J45" s="2"/>
      <c r="K45" s="2"/>
      <c r="L45" s="2"/>
    </row>
    <row r="46" spans="1:12" ht="12.75">
      <c r="A46">
        <v>41</v>
      </c>
      <c r="B46" s="1" t="s">
        <v>657</v>
      </c>
      <c r="C46" s="14" t="s">
        <v>278</v>
      </c>
      <c r="D46" s="14" t="s">
        <v>589</v>
      </c>
      <c r="E46">
        <v>2</v>
      </c>
      <c r="F46">
        <f t="shared" si="0"/>
        <v>76</v>
      </c>
      <c r="G46" s="2"/>
      <c r="H46" s="2"/>
      <c r="I46" s="2"/>
      <c r="J46" s="2"/>
      <c r="K46" s="2"/>
      <c r="L46" s="2"/>
    </row>
    <row r="47" spans="1:12" ht="12.75">
      <c r="A47">
        <v>42</v>
      </c>
      <c r="B47" s="1" t="s">
        <v>652</v>
      </c>
      <c r="C47" t="s">
        <v>285</v>
      </c>
      <c r="D47" t="s">
        <v>593</v>
      </c>
      <c r="E47">
        <v>2</v>
      </c>
      <c r="F47">
        <f t="shared" si="0"/>
        <v>76</v>
      </c>
      <c r="G47" s="2"/>
      <c r="H47" s="2"/>
      <c r="I47" s="2"/>
      <c r="J47" s="2"/>
      <c r="K47" s="2"/>
      <c r="L47" s="2"/>
    </row>
    <row r="48" spans="1:12" ht="12.75">
      <c r="A48">
        <v>43</v>
      </c>
      <c r="B48" s="1" t="s">
        <v>655</v>
      </c>
      <c r="C48" t="s">
        <v>285</v>
      </c>
      <c r="D48" t="s">
        <v>594</v>
      </c>
      <c r="E48">
        <v>2</v>
      </c>
      <c r="F48">
        <f t="shared" si="0"/>
        <v>76</v>
      </c>
      <c r="G48" s="2"/>
      <c r="H48" s="2"/>
      <c r="I48" s="2"/>
      <c r="J48" s="2"/>
      <c r="K48" s="2"/>
      <c r="L48" s="2"/>
    </row>
    <row r="49" spans="1:12" ht="12.75">
      <c r="A49">
        <v>44</v>
      </c>
      <c r="B49" s="1" t="s">
        <v>658</v>
      </c>
      <c r="C49" t="s">
        <v>285</v>
      </c>
      <c r="D49" t="s">
        <v>595</v>
      </c>
      <c r="E49">
        <v>6</v>
      </c>
      <c r="F49">
        <f t="shared" si="0"/>
        <v>228</v>
      </c>
      <c r="G49" s="2"/>
      <c r="H49" s="2"/>
      <c r="I49" s="2"/>
      <c r="J49" s="2"/>
      <c r="K49" s="2"/>
      <c r="L49" s="2"/>
    </row>
    <row r="50" spans="1:12" ht="12.75">
      <c r="A50">
        <v>45</v>
      </c>
      <c r="B50" t="s">
        <v>234</v>
      </c>
      <c r="C50" t="s">
        <v>549</v>
      </c>
      <c r="D50" s="14" t="s">
        <v>592</v>
      </c>
      <c r="E50">
        <v>6</v>
      </c>
      <c r="F50">
        <f t="shared" si="0"/>
        <v>228</v>
      </c>
      <c r="G50" s="2"/>
      <c r="H50" s="2"/>
      <c r="I50" s="2"/>
      <c r="J50" s="2"/>
      <c r="K50" s="2"/>
      <c r="L50" s="2"/>
    </row>
    <row r="51" spans="1:12" ht="12.75">
      <c r="A51">
        <v>46</v>
      </c>
      <c r="B51" t="s">
        <v>644</v>
      </c>
      <c r="C51" t="s">
        <v>645</v>
      </c>
      <c r="D51" t="s">
        <v>549</v>
      </c>
      <c r="E51">
        <v>1</v>
      </c>
      <c r="F51">
        <f t="shared" si="0"/>
        <v>38</v>
      </c>
      <c r="G51" s="2"/>
      <c r="H51" s="2"/>
      <c r="I51" s="2"/>
      <c r="J51" s="2"/>
      <c r="K51" s="2"/>
      <c r="L51" s="2"/>
    </row>
    <row r="52" ht="12.75">
      <c r="E52" s="22"/>
    </row>
    <row r="53" spans="1:12" ht="12.75">
      <c r="A53" t="s">
        <v>646</v>
      </c>
      <c r="G53" s="2"/>
      <c r="H53" s="2"/>
      <c r="I53" s="2"/>
      <c r="J53" s="2"/>
      <c r="K53" s="2"/>
      <c r="L53" s="2"/>
    </row>
    <row r="54" spans="7:12" ht="12.75">
      <c r="G54" s="2"/>
      <c r="H54" s="2"/>
      <c r="I54" s="2"/>
      <c r="J54" s="2"/>
      <c r="K54" s="2"/>
      <c r="L54" s="2"/>
    </row>
    <row r="55" spans="6:11" ht="12.75">
      <c r="F55" s="2"/>
      <c r="G55" s="2"/>
      <c r="H55" s="2"/>
      <c r="I55" s="2"/>
      <c r="J55" s="2"/>
      <c r="K55" s="2"/>
    </row>
    <row r="56" spans="2:12" ht="12.75">
      <c r="B56" t="s">
        <v>45</v>
      </c>
      <c r="J56" s="2">
        <f>SUM(J6:J50)</f>
        <v>15634.720000000001</v>
      </c>
      <c r="K56" s="2">
        <f>SUM(K6:K50)</f>
        <v>2363.6</v>
      </c>
      <c r="L56" s="2">
        <f>SUM(L6:L50)</f>
        <v>1641.6</v>
      </c>
    </row>
    <row r="57" spans="2:12" ht="12.75">
      <c r="B57" t="s">
        <v>224</v>
      </c>
      <c r="J57" s="2">
        <f>J56/12</f>
        <v>1302.8933333333334</v>
      </c>
      <c r="K57" s="2">
        <f>K56/12</f>
        <v>196.96666666666667</v>
      </c>
      <c r="L57" s="2">
        <f>L56/12</f>
        <v>136.79999999999998</v>
      </c>
    </row>
    <row r="58" spans="2:12" ht="12.75">
      <c r="B58" t="s">
        <v>46</v>
      </c>
      <c r="J58" s="3">
        <f>(6*82.5-3.2+6*16-19.05*1.78-2)/25.4/25.4</f>
        <v>0.8554327608655218</v>
      </c>
      <c r="K58" s="3">
        <f>(6*82.5-3.2+6*16-19.05*1.78-2-5)/25.4/25.4</f>
        <v>0.8476827453654908</v>
      </c>
      <c r="L58" s="3">
        <f>(9*82.5+(126.5-82.5)*6+91.75*6)/25.4/25.4</f>
        <v>2.4133548267096536</v>
      </c>
    </row>
    <row r="59" spans="2:12" ht="12.75">
      <c r="B59" t="s">
        <v>47</v>
      </c>
      <c r="J59" s="2">
        <f>J56*J58*0.098</f>
        <v>1310.6962661060204</v>
      </c>
      <c r="K59" s="2">
        <f>K56*K58*0.098</f>
        <v>196.35112782069567</v>
      </c>
      <c r="L59" s="2">
        <f>L56*L58*0.098</f>
        <v>388.2528017856036</v>
      </c>
    </row>
    <row r="60" spans="2:12" ht="12.75">
      <c r="B60" t="s">
        <v>49</v>
      </c>
      <c r="J60" s="2">
        <f>J56*J58*4/1728</f>
        <v>30.959378923517107</v>
      </c>
      <c r="K60" s="2">
        <f>K56*K58*4/1728</f>
        <v>4.637923465152486</v>
      </c>
      <c r="L60" s="2">
        <f>L56*L58*4/1728</f>
        <v>9.170748341496683</v>
      </c>
    </row>
    <row r="224" ht="12.75">
      <c r="A224" s="22"/>
    </row>
  </sheetData>
  <printOptions gridLines="1"/>
  <pageMargins left="0.375" right="0.375" top="0.5" bottom="0.25" header="0.25" footer="0.25"/>
  <pageSetup fitToHeight="1" fitToWidth="1" horizontalDpi="600" verticalDpi="600" orientation="portrait" scale="77" r:id="rId1"/>
  <headerFooter alignWithMargins="0">
    <oddHeader>&amp;C&amp;A&amp;R&amp;F</oddHeader>
    <oddFooter>&amp;LK. Kriesel&amp;CPage &amp;P of &amp;N&amp;R&amp;D &amp;T</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56"/>
  <sheetViews>
    <sheetView workbookViewId="0" topLeftCell="A1">
      <pane xSplit="7350" ySplit="3585" topLeftCell="E3" activePane="bottomLeft" state="split"/>
      <selection pane="topLeft" activeCell="B63" sqref="B63"/>
      <selection pane="topRight" activeCell="B63" sqref="B63"/>
      <selection pane="bottomLeft" activeCell="C30" sqref="C30"/>
      <selection pane="bottomRight" activeCell="B63" sqref="B63"/>
    </sheetView>
  </sheetViews>
  <sheetFormatPr defaultColWidth="9.140625" defaultRowHeight="12.75"/>
  <cols>
    <col min="1" max="1" width="8.140625" style="0" customWidth="1"/>
    <col min="2" max="2" width="37.7109375" style="0" customWidth="1"/>
    <col min="3" max="3" width="11.28125" style="14" customWidth="1"/>
    <col min="4" max="4" width="18.140625" style="0" customWidth="1"/>
  </cols>
  <sheetData>
    <row r="1" spans="1:8" ht="12.75">
      <c r="A1" t="s">
        <v>0</v>
      </c>
      <c r="C1" s="14" t="s">
        <v>36</v>
      </c>
      <c r="H1">
        <v>36</v>
      </c>
    </row>
    <row r="2" spans="3:8" ht="12.75">
      <c r="C2" s="14" t="s">
        <v>37</v>
      </c>
      <c r="H2">
        <v>38</v>
      </c>
    </row>
    <row r="3" spans="1:5" ht="12.75">
      <c r="A3" t="s">
        <v>54</v>
      </c>
      <c r="D3" t="s">
        <v>694</v>
      </c>
      <c r="E3" t="s">
        <v>720</v>
      </c>
    </row>
    <row r="4" ht="12.75">
      <c r="A4" t="s">
        <v>53</v>
      </c>
    </row>
    <row r="5" spans="1:12" s="1" customFormat="1" ht="102">
      <c r="A5" s="1" t="s">
        <v>692</v>
      </c>
      <c r="B5" s="1" t="s">
        <v>2</v>
      </c>
      <c r="C5" s="13" t="s">
        <v>547</v>
      </c>
      <c r="D5" s="13" t="s">
        <v>558</v>
      </c>
      <c r="E5" s="1" t="s">
        <v>4</v>
      </c>
      <c r="F5" s="1" t="s">
        <v>38</v>
      </c>
      <c r="G5" s="1" t="s">
        <v>39</v>
      </c>
      <c r="H5" s="1" t="s">
        <v>40</v>
      </c>
      <c r="I5" s="1" t="s">
        <v>41</v>
      </c>
      <c r="J5" s="1" t="s">
        <v>42</v>
      </c>
      <c r="K5" s="1" t="s">
        <v>43</v>
      </c>
      <c r="L5" s="1" t="s">
        <v>44</v>
      </c>
    </row>
    <row r="6" spans="1:12" ht="12.75">
      <c r="A6">
        <v>1</v>
      </c>
      <c r="B6" t="s">
        <v>5</v>
      </c>
      <c r="C6" s="14" t="s">
        <v>613</v>
      </c>
      <c r="D6" s="14" t="s">
        <v>552</v>
      </c>
      <c r="E6">
        <v>6</v>
      </c>
      <c r="F6">
        <f aca="true" t="shared" si="0" ref="F6:F36">E6*H$2</f>
        <v>228</v>
      </c>
      <c r="G6" s="2"/>
      <c r="H6" s="2"/>
      <c r="I6" s="2"/>
      <c r="J6" s="2"/>
      <c r="K6" s="2"/>
      <c r="L6" s="2"/>
    </row>
    <row r="7" spans="1:12" ht="12.75">
      <c r="A7">
        <v>2</v>
      </c>
      <c r="B7" t="s">
        <v>6</v>
      </c>
      <c r="C7" s="14" t="s">
        <v>612</v>
      </c>
      <c r="D7" s="14" t="s">
        <v>562</v>
      </c>
      <c r="E7">
        <v>6</v>
      </c>
      <c r="F7">
        <f t="shared" si="0"/>
        <v>228</v>
      </c>
      <c r="G7" s="2"/>
      <c r="H7" s="2"/>
      <c r="I7" s="2"/>
      <c r="J7" s="2"/>
      <c r="K7" s="2"/>
      <c r="L7" s="2"/>
    </row>
    <row r="8" spans="1:12" ht="12.75">
      <c r="A8">
        <v>3</v>
      </c>
      <c r="B8" t="s">
        <v>7</v>
      </c>
      <c r="C8" s="14" t="s">
        <v>611</v>
      </c>
      <c r="D8" s="14" t="s">
        <v>563</v>
      </c>
      <c r="E8">
        <v>18</v>
      </c>
      <c r="F8">
        <f t="shared" si="0"/>
        <v>684</v>
      </c>
      <c r="G8" s="2"/>
      <c r="H8" s="2"/>
      <c r="I8" s="2"/>
      <c r="J8" s="2"/>
      <c r="K8" s="2"/>
      <c r="L8" s="2"/>
    </row>
    <row r="9" spans="1:12" ht="12.75">
      <c r="A9">
        <v>4</v>
      </c>
      <c r="B9" t="s">
        <v>190</v>
      </c>
      <c r="C9" s="14" t="s">
        <v>549</v>
      </c>
      <c r="D9" s="14" t="s">
        <v>557</v>
      </c>
      <c r="E9">
        <v>66</v>
      </c>
      <c r="F9">
        <f t="shared" si="0"/>
        <v>2508</v>
      </c>
      <c r="G9" s="2"/>
      <c r="H9" s="2"/>
      <c r="I9" s="2"/>
      <c r="J9" s="2"/>
      <c r="K9" s="2"/>
      <c r="L9" s="2"/>
    </row>
    <row r="10" spans="1:12" ht="25.5">
      <c r="A10">
        <v>5</v>
      </c>
      <c r="B10" s="1" t="s">
        <v>597</v>
      </c>
      <c r="C10" s="14" t="s">
        <v>549</v>
      </c>
      <c r="D10" s="14" t="s">
        <v>548</v>
      </c>
      <c r="E10">
        <v>18</v>
      </c>
      <c r="F10">
        <f t="shared" si="0"/>
        <v>684</v>
      </c>
      <c r="G10" s="2"/>
      <c r="H10" s="2"/>
      <c r="I10" s="2"/>
      <c r="J10" s="2"/>
      <c r="K10" s="2"/>
      <c r="L10" s="2"/>
    </row>
    <row r="11" spans="1:12" ht="12.75">
      <c r="A11">
        <v>6</v>
      </c>
      <c r="B11" t="s">
        <v>247</v>
      </c>
      <c r="C11" s="14" t="s">
        <v>549</v>
      </c>
      <c r="D11" s="14" t="s">
        <v>555</v>
      </c>
      <c r="E11">
        <v>6</v>
      </c>
      <c r="F11">
        <f t="shared" si="0"/>
        <v>228</v>
      </c>
      <c r="G11" s="2"/>
      <c r="H11" s="2"/>
      <c r="I11" s="2"/>
      <c r="J11" s="2"/>
      <c r="K11" s="2"/>
      <c r="L11" s="2"/>
    </row>
    <row r="12" spans="1:12" ht="12.75">
      <c r="A12">
        <v>7</v>
      </c>
      <c r="B12" t="s">
        <v>9</v>
      </c>
      <c r="C12" s="14" t="s">
        <v>616</v>
      </c>
      <c r="D12" s="14" t="s">
        <v>559</v>
      </c>
      <c r="E12">
        <v>1</v>
      </c>
      <c r="F12">
        <f t="shared" si="0"/>
        <v>38</v>
      </c>
      <c r="G12" s="2"/>
      <c r="H12" s="2"/>
      <c r="I12" s="2">
        <v>5.8</v>
      </c>
      <c r="J12" s="2"/>
      <c r="K12" s="2"/>
      <c r="L12" s="2">
        <f aca="true" t="shared" si="1" ref="L12:L17">I12*F12</f>
        <v>220.4</v>
      </c>
    </row>
    <row r="13" spans="1:12" ht="12.75">
      <c r="A13">
        <v>8</v>
      </c>
      <c r="B13" t="s">
        <v>11</v>
      </c>
      <c r="C13" s="14" t="s">
        <v>617</v>
      </c>
      <c r="D13" s="14" t="s">
        <v>565</v>
      </c>
      <c r="E13">
        <v>1</v>
      </c>
      <c r="F13">
        <f t="shared" si="0"/>
        <v>38</v>
      </c>
      <c r="G13" s="2"/>
      <c r="H13" s="2"/>
      <c r="I13" s="2">
        <v>5.8</v>
      </c>
      <c r="J13" s="2"/>
      <c r="K13" s="2"/>
      <c r="L13" s="2">
        <f t="shared" si="1"/>
        <v>220.4</v>
      </c>
    </row>
    <row r="14" spans="1:12" ht="12.75">
      <c r="A14">
        <v>9</v>
      </c>
      <c r="B14" t="s">
        <v>10</v>
      </c>
      <c r="C14" s="14" t="s">
        <v>618</v>
      </c>
      <c r="D14" s="14" t="s">
        <v>560</v>
      </c>
      <c r="E14">
        <v>1</v>
      </c>
      <c r="F14">
        <f t="shared" si="0"/>
        <v>38</v>
      </c>
      <c r="G14" s="2"/>
      <c r="H14" s="2"/>
      <c r="I14" s="2">
        <v>5.8</v>
      </c>
      <c r="J14" s="2"/>
      <c r="K14" s="2"/>
      <c r="L14" s="2">
        <f t="shared" si="1"/>
        <v>220.4</v>
      </c>
    </row>
    <row r="15" spans="1:12" ht="12.75">
      <c r="A15">
        <v>10</v>
      </c>
      <c r="B15" t="s">
        <v>12</v>
      </c>
      <c r="C15" s="14" t="s">
        <v>633</v>
      </c>
      <c r="D15" s="14" t="s">
        <v>566</v>
      </c>
      <c r="E15">
        <v>1</v>
      </c>
      <c r="F15">
        <f>E15*H$2</f>
        <v>38</v>
      </c>
      <c r="G15" s="2"/>
      <c r="H15" s="2"/>
      <c r="I15" s="2">
        <v>5.8</v>
      </c>
      <c r="J15" s="2"/>
      <c r="K15" s="2"/>
      <c r="L15" s="2">
        <f t="shared" si="1"/>
        <v>220.4</v>
      </c>
    </row>
    <row r="16" spans="1:12" ht="12.75">
      <c r="A16">
        <v>11</v>
      </c>
      <c r="B16" t="s">
        <v>12</v>
      </c>
      <c r="C16" s="14" t="s">
        <v>264</v>
      </c>
      <c r="D16" s="14" t="s">
        <v>561</v>
      </c>
      <c r="E16">
        <v>1</v>
      </c>
      <c r="F16">
        <f>E16*H$2</f>
        <v>38</v>
      </c>
      <c r="G16" s="2"/>
      <c r="H16" s="2"/>
      <c r="I16" s="2">
        <v>10</v>
      </c>
      <c r="J16" s="2"/>
      <c r="K16" s="2"/>
      <c r="L16" s="2">
        <f t="shared" si="1"/>
        <v>380</v>
      </c>
    </row>
    <row r="17" spans="1:12" ht="12.75">
      <c r="A17">
        <v>12</v>
      </c>
      <c r="B17" t="s">
        <v>13</v>
      </c>
      <c r="C17" s="14" t="s">
        <v>267</v>
      </c>
      <c r="D17" s="14" t="s">
        <v>567</v>
      </c>
      <c r="E17">
        <v>1</v>
      </c>
      <c r="F17">
        <f>E17*H$2</f>
        <v>38</v>
      </c>
      <c r="G17" s="2"/>
      <c r="H17" s="2"/>
      <c r="I17" s="2">
        <v>10</v>
      </c>
      <c r="J17" s="2"/>
      <c r="K17" s="2"/>
      <c r="L17" s="2">
        <f t="shared" si="1"/>
        <v>380</v>
      </c>
    </row>
    <row r="18" spans="1:12" ht="12.75">
      <c r="A18">
        <v>13</v>
      </c>
      <c r="B18" t="s">
        <v>14</v>
      </c>
      <c r="C18" s="14" t="s">
        <v>708</v>
      </c>
      <c r="D18" t="s">
        <v>549</v>
      </c>
      <c r="E18">
        <v>1</v>
      </c>
      <c r="F18">
        <f t="shared" si="0"/>
        <v>38</v>
      </c>
      <c r="G18" s="2"/>
      <c r="H18" s="2">
        <v>34.08</v>
      </c>
      <c r="I18" s="2"/>
      <c r="J18" s="2"/>
      <c r="K18" s="2">
        <f>H18*F18</f>
        <v>1295.04</v>
      </c>
      <c r="L18" s="2"/>
    </row>
    <row r="19" spans="1:12" ht="12.75">
      <c r="A19">
        <v>14</v>
      </c>
      <c r="B19" t="s">
        <v>15</v>
      </c>
      <c r="C19" s="14" t="s">
        <v>709</v>
      </c>
      <c r="D19" t="s">
        <v>549</v>
      </c>
      <c r="E19">
        <v>1</v>
      </c>
      <c r="F19">
        <f t="shared" si="0"/>
        <v>38</v>
      </c>
      <c r="G19" s="2"/>
      <c r="H19" s="2">
        <f>H18</f>
        <v>34.08</v>
      </c>
      <c r="I19" s="2"/>
      <c r="J19" s="2"/>
      <c r="K19" s="2">
        <f>H19*F19</f>
        <v>1295.04</v>
      </c>
      <c r="L19" s="2"/>
    </row>
    <row r="20" spans="1:12" ht="12.75">
      <c r="A20">
        <v>15</v>
      </c>
      <c r="B20" t="s">
        <v>250</v>
      </c>
      <c r="C20" s="14" t="s">
        <v>710</v>
      </c>
      <c r="D20" t="s">
        <v>549</v>
      </c>
      <c r="E20">
        <v>1</v>
      </c>
      <c r="F20">
        <f t="shared" si="0"/>
        <v>38</v>
      </c>
      <c r="G20" s="2">
        <v>69.01</v>
      </c>
      <c r="H20" s="2"/>
      <c r="I20" s="2"/>
      <c r="J20">
        <f aca="true" t="shared" si="2" ref="J20:J25">F20*G20</f>
        <v>2622.38</v>
      </c>
      <c r="K20" s="2"/>
      <c r="L20" s="2"/>
    </row>
    <row r="21" spans="1:12" ht="12.75">
      <c r="A21">
        <v>16</v>
      </c>
      <c r="B21" t="s">
        <v>251</v>
      </c>
      <c r="C21" s="14" t="s">
        <v>711</v>
      </c>
      <c r="D21" t="s">
        <v>549</v>
      </c>
      <c r="E21">
        <v>1</v>
      </c>
      <c r="F21">
        <f t="shared" si="0"/>
        <v>38</v>
      </c>
      <c r="G21" s="2">
        <f>G20</f>
        <v>69.01</v>
      </c>
      <c r="H21" s="2"/>
      <c r="I21" s="2"/>
      <c r="J21">
        <f t="shared" si="2"/>
        <v>2622.38</v>
      </c>
      <c r="K21" s="2"/>
      <c r="L21" s="2"/>
    </row>
    <row r="22" spans="1:12" ht="12.75">
      <c r="A22">
        <v>17</v>
      </c>
      <c r="B22" t="s">
        <v>712</v>
      </c>
      <c r="C22" s="14" t="s">
        <v>713</v>
      </c>
      <c r="D22" t="s">
        <v>549</v>
      </c>
      <c r="E22">
        <v>1</v>
      </c>
      <c r="F22">
        <f t="shared" si="0"/>
        <v>38</v>
      </c>
      <c r="G22" s="2">
        <f>G20</f>
        <v>69.01</v>
      </c>
      <c r="H22" s="2"/>
      <c r="I22" s="2"/>
      <c r="J22">
        <f t="shared" si="2"/>
        <v>2622.38</v>
      </c>
      <c r="K22" s="2"/>
      <c r="L22" s="2"/>
    </row>
    <row r="23" spans="1:12" ht="12.75">
      <c r="A23">
        <v>18</v>
      </c>
      <c r="B23" t="s">
        <v>714</v>
      </c>
      <c r="C23" s="14" t="s">
        <v>715</v>
      </c>
      <c r="D23" t="s">
        <v>549</v>
      </c>
      <c r="E23">
        <v>1</v>
      </c>
      <c r="F23">
        <f t="shared" si="0"/>
        <v>38</v>
      </c>
      <c r="G23" s="2">
        <f>G20</f>
        <v>69.01</v>
      </c>
      <c r="H23" s="2"/>
      <c r="I23" s="2"/>
      <c r="J23">
        <f t="shared" si="2"/>
        <v>2622.38</v>
      </c>
      <c r="K23" s="2"/>
      <c r="L23" s="2"/>
    </row>
    <row r="24" spans="1:12" ht="12.75">
      <c r="A24">
        <v>19</v>
      </c>
      <c r="B24" t="s">
        <v>20</v>
      </c>
      <c r="C24" s="14" t="s">
        <v>716</v>
      </c>
      <c r="D24" s="14" t="s">
        <v>685</v>
      </c>
      <c r="E24">
        <v>1</v>
      </c>
      <c r="F24">
        <f t="shared" si="0"/>
        <v>38</v>
      </c>
      <c r="G24" s="2">
        <v>51.72</v>
      </c>
      <c r="H24" s="2"/>
      <c r="I24" s="2"/>
      <c r="J24">
        <f t="shared" si="2"/>
        <v>1965.36</v>
      </c>
      <c r="K24" s="2"/>
      <c r="L24" s="2"/>
    </row>
    <row r="25" spans="1:12" ht="12.75">
      <c r="A25">
        <v>20</v>
      </c>
      <c r="B25" t="s">
        <v>21</v>
      </c>
      <c r="C25" t="s">
        <v>717</v>
      </c>
      <c r="D25" t="s">
        <v>686</v>
      </c>
      <c r="E25">
        <v>1</v>
      </c>
      <c r="F25">
        <f t="shared" si="0"/>
        <v>38</v>
      </c>
      <c r="G25" s="2">
        <f>G24</f>
        <v>51.72</v>
      </c>
      <c r="H25" s="2"/>
      <c r="I25" s="2"/>
      <c r="J25">
        <f t="shared" si="2"/>
        <v>1965.36</v>
      </c>
      <c r="K25" s="2"/>
      <c r="L25" s="2"/>
    </row>
    <row r="26" spans="1:12" ht="12.75">
      <c r="A26">
        <v>21</v>
      </c>
      <c r="B26" t="s">
        <v>209</v>
      </c>
      <c r="C26" t="s">
        <v>549</v>
      </c>
      <c r="D26" s="14" t="s">
        <v>576</v>
      </c>
      <c r="E26">
        <v>52</v>
      </c>
      <c r="F26">
        <f t="shared" si="0"/>
        <v>1976</v>
      </c>
      <c r="G26" s="2"/>
      <c r="H26" s="2"/>
      <c r="I26" s="2"/>
      <c r="J26" s="2"/>
      <c r="K26" s="2"/>
      <c r="L26" s="2"/>
    </row>
    <row r="27" spans="1:12" ht="12.75">
      <c r="A27">
        <v>22</v>
      </c>
      <c r="B27" t="s">
        <v>228</v>
      </c>
      <c r="C27" t="s">
        <v>549</v>
      </c>
      <c r="D27" s="14" t="s">
        <v>577</v>
      </c>
      <c r="E27">
        <v>52</v>
      </c>
      <c r="F27">
        <f t="shared" si="0"/>
        <v>1976</v>
      </c>
      <c r="G27" s="2"/>
      <c r="H27" s="2"/>
      <c r="I27" s="2"/>
      <c r="J27" s="2"/>
      <c r="K27" s="2"/>
      <c r="L27" s="2"/>
    </row>
    <row r="28" spans="1:12" ht="12.75">
      <c r="A28">
        <v>23</v>
      </c>
      <c r="B28" t="s">
        <v>23</v>
      </c>
      <c r="C28" s="14" t="s">
        <v>718</v>
      </c>
      <c r="D28" t="s">
        <v>549</v>
      </c>
      <c r="E28">
        <v>2</v>
      </c>
      <c r="F28">
        <f t="shared" si="0"/>
        <v>76</v>
      </c>
      <c r="G28" s="2"/>
      <c r="H28" s="2"/>
      <c r="I28" s="2"/>
      <c r="J28" s="2"/>
      <c r="K28" s="2"/>
      <c r="L28" s="2"/>
    </row>
    <row r="29" spans="1:12" ht="12.75">
      <c r="A29">
        <v>24</v>
      </c>
      <c r="B29" t="s">
        <v>438</v>
      </c>
      <c r="C29" s="14" t="s">
        <v>719</v>
      </c>
      <c r="D29" t="s">
        <v>549</v>
      </c>
      <c r="E29">
        <v>1</v>
      </c>
      <c r="F29">
        <f t="shared" si="0"/>
        <v>38</v>
      </c>
      <c r="G29" s="2"/>
      <c r="H29" s="2"/>
      <c r="I29" s="2"/>
      <c r="J29" s="2"/>
      <c r="K29" s="2"/>
      <c r="L29" s="2"/>
    </row>
    <row r="30" spans="1:12" ht="12.75">
      <c r="A30">
        <v>25</v>
      </c>
      <c r="B30" t="s">
        <v>25</v>
      </c>
      <c r="C30" t="s">
        <v>740</v>
      </c>
      <c r="D30" t="s">
        <v>689</v>
      </c>
      <c r="E30">
        <v>1</v>
      </c>
      <c r="F30">
        <f t="shared" si="0"/>
        <v>38</v>
      </c>
      <c r="G30" s="2"/>
      <c r="H30" s="2"/>
      <c r="I30" s="2"/>
      <c r="J30" s="2"/>
      <c r="K30" s="2"/>
      <c r="L30" s="2"/>
    </row>
    <row r="31" spans="1:12" ht="12.75">
      <c r="A31">
        <v>26</v>
      </c>
      <c r="B31" t="s">
        <v>26</v>
      </c>
      <c r="C31" t="s">
        <v>615</v>
      </c>
      <c r="D31" t="s">
        <v>690</v>
      </c>
      <c r="E31">
        <v>2</v>
      </c>
      <c r="F31">
        <f t="shared" si="0"/>
        <v>76</v>
      </c>
      <c r="G31" s="2"/>
      <c r="H31" s="2"/>
      <c r="I31" s="2"/>
      <c r="J31" s="2"/>
      <c r="K31" s="2"/>
      <c r="L31" s="2"/>
    </row>
    <row r="32" spans="1:12" ht="12.75">
      <c r="A32">
        <v>27</v>
      </c>
      <c r="B32" t="s">
        <v>27</v>
      </c>
      <c r="C32" t="s">
        <v>638</v>
      </c>
      <c r="D32" t="s">
        <v>691</v>
      </c>
      <c r="E32">
        <v>2</v>
      </c>
      <c r="F32">
        <f t="shared" si="0"/>
        <v>76</v>
      </c>
      <c r="G32" s="2"/>
      <c r="H32" s="2"/>
      <c r="I32" s="2"/>
      <c r="J32" s="2"/>
      <c r="K32" s="2"/>
      <c r="L32" s="2"/>
    </row>
    <row r="33" spans="1:12" ht="12.75">
      <c r="A33">
        <v>28</v>
      </c>
      <c r="B33" t="s">
        <v>28</v>
      </c>
      <c r="C33" t="s">
        <v>549</v>
      </c>
      <c r="D33" s="14" t="s">
        <v>581</v>
      </c>
      <c r="E33">
        <v>26</v>
      </c>
      <c r="F33">
        <f t="shared" si="0"/>
        <v>988</v>
      </c>
      <c r="G33" s="2"/>
      <c r="H33" s="2"/>
      <c r="I33" s="2"/>
      <c r="J33" s="2"/>
      <c r="K33" s="2"/>
      <c r="L33" s="2"/>
    </row>
    <row r="34" spans="1:12" ht="12.75">
      <c r="A34">
        <v>29</v>
      </c>
      <c r="B34" t="s">
        <v>721</v>
      </c>
      <c r="C34" t="s">
        <v>549</v>
      </c>
      <c r="D34" s="13" t="s">
        <v>601</v>
      </c>
      <c r="E34">
        <v>24</v>
      </c>
      <c r="F34">
        <f t="shared" si="0"/>
        <v>912</v>
      </c>
      <c r="G34" s="2"/>
      <c r="H34" s="2"/>
      <c r="I34" s="2"/>
      <c r="J34" s="2"/>
      <c r="K34" s="2"/>
      <c r="L34" s="2"/>
    </row>
    <row r="35" spans="1:12" ht="12.75">
      <c r="A35" s="22">
        <v>30</v>
      </c>
      <c r="B35" t="s">
        <v>249</v>
      </c>
      <c r="C35" t="s">
        <v>549</v>
      </c>
      <c r="D35" s="14" t="s">
        <v>582</v>
      </c>
      <c r="E35">
        <v>6</v>
      </c>
      <c r="F35">
        <f t="shared" si="0"/>
        <v>228</v>
      </c>
      <c r="G35" s="2"/>
      <c r="H35" s="2"/>
      <c r="I35" s="2"/>
      <c r="J35" s="2"/>
      <c r="K35" s="2"/>
      <c r="L35" s="2"/>
    </row>
    <row r="36" spans="1:12" ht="12.75">
      <c r="A36">
        <v>31</v>
      </c>
      <c r="B36" t="s">
        <v>156</v>
      </c>
      <c r="C36" t="s">
        <v>639</v>
      </c>
      <c r="D36" t="s">
        <v>693</v>
      </c>
      <c r="E36">
        <v>4</v>
      </c>
      <c r="F36">
        <f t="shared" si="0"/>
        <v>152</v>
      </c>
      <c r="G36" s="2"/>
      <c r="H36" s="2"/>
      <c r="I36" s="2"/>
      <c r="J36" s="2"/>
      <c r="K36" s="2"/>
      <c r="L36" s="2"/>
    </row>
    <row r="37" spans="1:12" ht="12.75">
      <c r="A37" s="22">
        <v>32</v>
      </c>
      <c r="B37" t="s">
        <v>157</v>
      </c>
      <c r="C37" t="s">
        <v>624</v>
      </c>
      <c r="D37" s="14" t="s">
        <v>556</v>
      </c>
      <c r="E37">
        <v>2</v>
      </c>
      <c r="F37">
        <f>E37*H$2</f>
        <v>76</v>
      </c>
      <c r="G37" s="2"/>
      <c r="H37" s="2"/>
      <c r="I37" s="2"/>
      <c r="J37" s="2"/>
      <c r="K37" s="2"/>
      <c r="L37" s="2"/>
    </row>
    <row r="38" spans="1:12" ht="12.75">
      <c r="A38">
        <v>33</v>
      </c>
      <c r="B38" t="s">
        <v>219</v>
      </c>
      <c r="C38" s="14" t="s">
        <v>549</v>
      </c>
      <c r="D38" s="14" t="s">
        <v>564</v>
      </c>
      <c r="E38">
        <v>2</v>
      </c>
      <c r="F38">
        <f>E38*H$2</f>
        <v>76</v>
      </c>
      <c r="G38" s="2"/>
      <c r="H38" s="2"/>
      <c r="I38" s="2"/>
      <c r="J38" s="2"/>
      <c r="K38" s="2"/>
      <c r="L38" s="2"/>
    </row>
    <row r="39" spans="1:12" ht="12.75">
      <c r="A39">
        <v>34</v>
      </c>
      <c r="B39" t="s">
        <v>217</v>
      </c>
      <c r="C39" s="14" t="s">
        <v>549</v>
      </c>
      <c r="D39" s="14" t="s">
        <v>550</v>
      </c>
      <c r="E39">
        <v>2</v>
      </c>
      <c r="F39">
        <f>E39*H$2</f>
        <v>76</v>
      </c>
      <c r="G39" s="2"/>
      <c r="H39" s="2"/>
      <c r="I39" s="2"/>
      <c r="J39" s="2"/>
      <c r="K39" s="2"/>
      <c r="L39" s="2"/>
    </row>
    <row r="40" spans="1:12" s="65" customFormat="1" ht="12.75">
      <c r="A40" s="65">
        <v>35</v>
      </c>
      <c r="B40" s="65" t="s">
        <v>158</v>
      </c>
      <c r="C40" s="66" t="s">
        <v>215</v>
      </c>
      <c r="D40" s="66"/>
      <c r="E40" s="65">
        <f>0*7</f>
        <v>0</v>
      </c>
      <c r="F40" s="65">
        <f>E40*H$2</f>
        <v>0</v>
      </c>
      <c r="G40" s="66"/>
      <c r="H40" s="66"/>
      <c r="I40" s="66"/>
      <c r="J40" s="66"/>
      <c r="K40" s="66"/>
      <c r="L40" s="66"/>
    </row>
    <row r="41" spans="1:12" ht="12.75">
      <c r="A41">
        <v>36</v>
      </c>
      <c r="B41" s="1" t="s">
        <v>650</v>
      </c>
      <c r="C41" s="14" t="s">
        <v>610</v>
      </c>
      <c r="D41" s="14" t="s">
        <v>584</v>
      </c>
      <c r="E41">
        <v>2</v>
      </c>
      <c r="F41">
        <f aca="true" t="shared" si="3" ref="F41:F51">E41*H$2</f>
        <v>76</v>
      </c>
      <c r="G41" s="2"/>
      <c r="H41" s="2"/>
      <c r="I41" s="2"/>
      <c r="J41" s="2"/>
      <c r="K41" s="2"/>
      <c r="L41" s="2"/>
    </row>
    <row r="42" spans="1:12" ht="25.5">
      <c r="A42">
        <v>37</v>
      </c>
      <c r="B42" s="1" t="s">
        <v>653</v>
      </c>
      <c r="C42" s="14" t="s">
        <v>610</v>
      </c>
      <c r="D42" s="14" t="s">
        <v>585</v>
      </c>
      <c r="E42">
        <v>2</v>
      </c>
      <c r="F42">
        <f t="shared" si="3"/>
        <v>76</v>
      </c>
      <c r="G42" s="2"/>
      <c r="H42" s="2"/>
      <c r="I42" s="2"/>
      <c r="J42" s="2"/>
      <c r="K42" s="2"/>
      <c r="L42" s="2"/>
    </row>
    <row r="43" spans="1:12" ht="25.5">
      <c r="A43">
        <v>38</v>
      </c>
      <c r="B43" s="1" t="s">
        <v>656</v>
      </c>
      <c r="C43" s="14" t="s">
        <v>610</v>
      </c>
      <c r="D43" s="14" t="s">
        <v>586</v>
      </c>
      <c r="E43">
        <v>4</v>
      </c>
      <c r="F43">
        <f t="shared" si="3"/>
        <v>152</v>
      </c>
      <c r="G43" s="2"/>
      <c r="H43" s="2"/>
      <c r="I43" s="2"/>
      <c r="J43" s="2"/>
      <c r="K43" s="2"/>
      <c r="L43" s="2"/>
    </row>
    <row r="44" spans="1:12" ht="12.75">
      <c r="A44">
        <v>39</v>
      </c>
      <c r="B44" s="1" t="s">
        <v>651</v>
      </c>
      <c r="C44" s="14" t="s">
        <v>278</v>
      </c>
      <c r="D44" s="14" t="s">
        <v>587</v>
      </c>
      <c r="E44">
        <v>1</v>
      </c>
      <c r="F44">
        <f t="shared" si="3"/>
        <v>38</v>
      </c>
      <c r="G44" s="2"/>
      <c r="H44" s="2"/>
      <c r="I44" s="2"/>
      <c r="J44" s="2"/>
      <c r="K44" s="2"/>
      <c r="L44" s="2"/>
    </row>
    <row r="45" spans="1:12" ht="25.5">
      <c r="A45">
        <v>40</v>
      </c>
      <c r="B45" s="1" t="s">
        <v>654</v>
      </c>
      <c r="C45" s="14" t="s">
        <v>278</v>
      </c>
      <c r="D45" s="14" t="s">
        <v>588</v>
      </c>
      <c r="E45">
        <v>1</v>
      </c>
      <c r="F45">
        <f t="shared" si="3"/>
        <v>38</v>
      </c>
      <c r="G45" s="2"/>
      <c r="H45" s="2"/>
      <c r="I45" s="2"/>
      <c r="J45" s="2"/>
      <c r="K45" s="2"/>
      <c r="L45" s="2"/>
    </row>
    <row r="46" spans="1:12" ht="25.5">
      <c r="A46">
        <v>41</v>
      </c>
      <c r="B46" s="1" t="s">
        <v>657</v>
      </c>
      <c r="C46" s="14" t="s">
        <v>278</v>
      </c>
      <c r="D46" s="14" t="s">
        <v>589</v>
      </c>
      <c r="E46">
        <v>2</v>
      </c>
      <c r="F46">
        <f t="shared" si="3"/>
        <v>76</v>
      </c>
      <c r="G46" s="2"/>
      <c r="H46" s="2"/>
      <c r="I46" s="2"/>
      <c r="J46" s="2"/>
      <c r="K46" s="2"/>
      <c r="L46" s="2"/>
    </row>
    <row r="47" spans="1:12" ht="12.75">
      <c r="A47">
        <v>42</v>
      </c>
      <c r="B47" s="1" t="s">
        <v>652</v>
      </c>
      <c r="C47" t="s">
        <v>285</v>
      </c>
      <c r="D47" t="s">
        <v>593</v>
      </c>
      <c r="E47">
        <v>2</v>
      </c>
      <c r="F47">
        <f t="shared" si="3"/>
        <v>76</v>
      </c>
      <c r="G47" s="2"/>
      <c r="H47" s="2"/>
      <c r="I47" s="2"/>
      <c r="J47" s="2"/>
      <c r="K47" s="2"/>
      <c r="L47" s="2"/>
    </row>
    <row r="48" spans="1:12" ht="25.5">
      <c r="A48">
        <v>43</v>
      </c>
      <c r="B48" s="1" t="s">
        <v>655</v>
      </c>
      <c r="C48" t="s">
        <v>285</v>
      </c>
      <c r="D48" t="s">
        <v>594</v>
      </c>
      <c r="E48">
        <v>2</v>
      </c>
      <c r="F48">
        <f t="shared" si="3"/>
        <v>76</v>
      </c>
      <c r="G48" s="2"/>
      <c r="H48" s="2"/>
      <c r="I48" s="2"/>
      <c r="J48" s="2"/>
      <c r="K48" s="2"/>
      <c r="L48" s="2"/>
    </row>
    <row r="49" spans="1:12" ht="25.5">
      <c r="A49">
        <v>44</v>
      </c>
      <c r="B49" s="1" t="s">
        <v>658</v>
      </c>
      <c r="C49" t="s">
        <v>285</v>
      </c>
      <c r="D49" t="s">
        <v>595</v>
      </c>
      <c r="E49">
        <v>6</v>
      </c>
      <c r="F49">
        <f t="shared" si="3"/>
        <v>228</v>
      </c>
      <c r="G49" s="2"/>
      <c r="H49" s="2"/>
      <c r="I49" s="2"/>
      <c r="J49" s="2"/>
      <c r="K49" s="2"/>
      <c r="L49" s="2"/>
    </row>
    <row r="50" spans="1:12" ht="12.75">
      <c r="A50">
        <v>45</v>
      </c>
      <c r="B50" t="s">
        <v>234</v>
      </c>
      <c r="C50" t="s">
        <v>549</v>
      </c>
      <c r="D50" s="14" t="s">
        <v>592</v>
      </c>
      <c r="E50">
        <v>6</v>
      </c>
      <c r="F50">
        <f t="shared" si="3"/>
        <v>228</v>
      </c>
      <c r="G50" s="2"/>
      <c r="H50" s="2"/>
      <c r="I50" s="2"/>
      <c r="J50" s="2"/>
      <c r="K50" s="2"/>
      <c r="L50" s="2"/>
    </row>
    <row r="51" spans="1:12" ht="12.75">
      <c r="A51">
        <v>46</v>
      </c>
      <c r="B51" t="s">
        <v>724</v>
      </c>
      <c r="C51" t="s">
        <v>723</v>
      </c>
      <c r="D51" t="s">
        <v>549</v>
      </c>
      <c r="E51">
        <v>1</v>
      </c>
      <c r="F51">
        <f t="shared" si="3"/>
        <v>38</v>
      </c>
      <c r="G51" s="2"/>
      <c r="H51" s="2"/>
      <c r="I51" s="2"/>
      <c r="J51" s="2"/>
      <c r="K51" s="2"/>
      <c r="L51" s="2"/>
    </row>
    <row r="52" spans="7:12" ht="12.75">
      <c r="G52" s="2"/>
      <c r="H52" s="2"/>
      <c r="I52" s="2"/>
      <c r="J52" s="2"/>
      <c r="K52" s="2"/>
      <c r="L52" s="2"/>
    </row>
    <row r="53" spans="2:12" ht="12.75">
      <c r="B53" t="s">
        <v>45</v>
      </c>
      <c r="J53" s="2">
        <f>SUM(J6:J49)</f>
        <v>14420.240000000002</v>
      </c>
      <c r="K53" s="2">
        <f>SUM(K6:K49)</f>
        <v>2590.08</v>
      </c>
      <c r="L53" s="2">
        <f>SUM(L6:L49)</f>
        <v>1641.6</v>
      </c>
    </row>
    <row r="54" spans="2:12" ht="12.75">
      <c r="B54" t="s">
        <v>46</v>
      </c>
      <c r="J54" s="3">
        <f>(6*82.5-3.2+6*16-19.05*1.78-2)/25.4/25.4</f>
        <v>0.8554327608655218</v>
      </c>
      <c r="K54" s="3">
        <f>(6*82.5-3.2+6*16-19.05*1.78-2-5)/25.4/25.4</f>
        <v>0.8476827453654908</v>
      </c>
      <c r="L54" s="3">
        <f>(9*82.5+(126.5-82.5)*6+91.75*6)/25.4/25.4</f>
        <v>2.4133548267096536</v>
      </c>
    </row>
    <row r="55" spans="2:12" ht="12.75">
      <c r="B55" t="s">
        <v>47</v>
      </c>
      <c r="J55" s="2">
        <f>J53*J54*0.098</f>
        <v>1208.8834801232565</v>
      </c>
      <c r="K55" s="2">
        <f>K53*K54*0.098</f>
        <v>215.16548026139256</v>
      </c>
      <c r="L55" s="2">
        <f>L53*L54*0.098</f>
        <v>388.2528017856036</v>
      </c>
    </row>
    <row r="56" spans="2:12" ht="12.75">
      <c r="B56" t="s">
        <v>49</v>
      </c>
      <c r="J56" s="2">
        <f>J53*J54*4/1728</f>
        <v>28.554503971165353</v>
      </c>
      <c r="K56" s="2">
        <f>K53*K54*4/1728</f>
        <v>5.082328993324654</v>
      </c>
      <c r="L56" s="2">
        <f>L53*L54*4/1728</f>
        <v>9.170748341496683</v>
      </c>
    </row>
  </sheetData>
  <printOptions gridLines="1"/>
  <pageMargins left="0.5" right="0.5" top="0.5" bottom="0.5" header="0.25" footer="0.25"/>
  <pageSetup fitToHeight="1" fitToWidth="1" horizontalDpi="600" verticalDpi="600" orientation="portrait" scale="78" r:id="rId1"/>
  <headerFooter alignWithMargins="0">
    <oddHeader>&amp;C&amp;A&amp;R&amp;F</oddHeader>
    <oddFooter>&amp;LK. Kriesel&amp;CPage &amp;P of &amp;N&amp;R&amp;D &amp;T</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37"/>
  <sheetViews>
    <sheetView workbookViewId="0" topLeftCell="A1">
      <selection activeCell="I6" sqref="I6"/>
    </sheetView>
  </sheetViews>
  <sheetFormatPr defaultColWidth="9.140625" defaultRowHeight="12.75"/>
  <cols>
    <col min="1" max="1" width="23.8515625" style="0" customWidth="1"/>
    <col min="2" max="2" width="16.140625" style="0" customWidth="1"/>
    <col min="3" max="3" width="10.7109375" style="0" customWidth="1"/>
    <col min="4" max="4" width="10.28125" style="0" customWidth="1"/>
    <col min="14" max="14" width="9.8515625" style="0" customWidth="1"/>
  </cols>
  <sheetData>
    <row r="1" ht="12.75">
      <c r="A1" t="s">
        <v>481</v>
      </c>
    </row>
    <row r="3" spans="1:5" ht="12.75">
      <c r="A3" t="s">
        <v>487</v>
      </c>
      <c r="E3" t="s">
        <v>482</v>
      </c>
    </row>
    <row r="4" spans="1:14" ht="12.75">
      <c r="A4" t="s">
        <v>464</v>
      </c>
      <c r="C4" t="s">
        <v>469</v>
      </c>
      <c r="D4" t="s">
        <v>470</v>
      </c>
      <c r="E4" t="s">
        <v>472</v>
      </c>
      <c r="F4" t="s">
        <v>471</v>
      </c>
      <c r="G4" t="s">
        <v>473</v>
      </c>
      <c r="H4" t="s">
        <v>476</v>
      </c>
      <c r="I4" t="s">
        <v>474</v>
      </c>
      <c r="J4" t="s">
        <v>477</v>
      </c>
      <c r="K4" t="s">
        <v>475</v>
      </c>
      <c r="L4" t="s">
        <v>478</v>
      </c>
      <c r="M4" t="s">
        <v>479</v>
      </c>
      <c r="N4" t="s">
        <v>486</v>
      </c>
    </row>
    <row r="5" spans="2:13" ht="12.75">
      <c r="B5" t="s">
        <v>467</v>
      </c>
      <c r="C5" t="s">
        <v>480</v>
      </c>
      <c r="D5">
        <v>24.72</v>
      </c>
      <c r="E5">
        <v>6</v>
      </c>
      <c r="F5">
        <v>10</v>
      </c>
      <c r="G5" t="s">
        <v>343</v>
      </c>
      <c r="H5" t="s">
        <v>343</v>
      </c>
      <c r="I5">
        <v>558</v>
      </c>
      <c r="K5">
        <f>I5</f>
        <v>558</v>
      </c>
      <c r="L5" s="4">
        <f>D5*I5</f>
        <v>13793.76</v>
      </c>
      <c r="M5" s="3">
        <f>L5/K5</f>
        <v>24.72</v>
      </c>
    </row>
    <row r="6" spans="2:15" ht="12.75">
      <c r="B6" t="s">
        <v>468</v>
      </c>
      <c r="C6">
        <v>31.6</v>
      </c>
      <c r="D6">
        <v>24.1</v>
      </c>
      <c r="E6">
        <v>8</v>
      </c>
      <c r="F6">
        <v>10</v>
      </c>
      <c r="G6">
        <v>50</v>
      </c>
      <c r="H6">
        <f>G6*C6</f>
        <v>1580</v>
      </c>
      <c r="I6">
        <v>558</v>
      </c>
      <c r="J6">
        <f>I6*D6</f>
        <v>13447.800000000001</v>
      </c>
      <c r="K6">
        <f>SUM(G6,I6)</f>
        <v>608</v>
      </c>
      <c r="L6" s="4">
        <f>H6+J6</f>
        <v>15027.800000000001</v>
      </c>
      <c r="M6" s="3">
        <f>L6/K6</f>
        <v>24.716776315789474</v>
      </c>
      <c r="O6" t="s">
        <v>495</v>
      </c>
    </row>
    <row r="9" spans="1:13" ht="12.75">
      <c r="A9" t="s">
        <v>465</v>
      </c>
      <c r="B9" t="s">
        <v>467</v>
      </c>
      <c r="D9">
        <v>15.02</v>
      </c>
      <c r="E9">
        <v>6</v>
      </c>
      <c r="F9">
        <v>10</v>
      </c>
      <c r="H9">
        <f>G9*C9</f>
        <v>0</v>
      </c>
      <c r="I9">
        <v>1190</v>
      </c>
      <c r="J9">
        <f>I9*D9</f>
        <v>17873.8</v>
      </c>
      <c r="K9">
        <v>1190</v>
      </c>
      <c r="L9" s="4">
        <f>H9+J9</f>
        <v>17873.8</v>
      </c>
      <c r="M9">
        <f>L9/K9</f>
        <v>15.02</v>
      </c>
    </row>
    <row r="10" spans="2:15" ht="12.75">
      <c r="B10" t="s">
        <v>468</v>
      </c>
      <c r="C10">
        <v>22.8</v>
      </c>
      <c r="D10">
        <v>14.46</v>
      </c>
      <c r="E10">
        <v>8</v>
      </c>
      <c r="F10" t="s">
        <v>343</v>
      </c>
      <c r="G10">
        <v>36</v>
      </c>
      <c r="H10">
        <f>G10*C10</f>
        <v>820.8000000000001</v>
      </c>
      <c r="I10">
        <v>1190</v>
      </c>
      <c r="J10">
        <f>I10*D10</f>
        <v>17207.4</v>
      </c>
      <c r="K10">
        <f>SUM(G10,I10)</f>
        <v>1226</v>
      </c>
      <c r="L10" s="4">
        <f>H10+J10</f>
        <v>18028.2</v>
      </c>
      <c r="M10" s="4">
        <f>L10/K10</f>
        <v>14.70489396411093</v>
      </c>
      <c r="O10" t="s">
        <v>495</v>
      </c>
    </row>
    <row r="13" spans="1:15" ht="12.75">
      <c r="A13" t="s">
        <v>466</v>
      </c>
      <c r="B13" t="s">
        <v>467</v>
      </c>
      <c r="D13">
        <v>10.35</v>
      </c>
      <c r="E13">
        <v>6</v>
      </c>
      <c r="F13">
        <v>10</v>
      </c>
      <c r="H13">
        <f>G13*C13</f>
        <v>0</v>
      </c>
      <c r="I13">
        <v>443</v>
      </c>
      <c r="J13">
        <f>I13*D13</f>
        <v>4585.05</v>
      </c>
      <c r="K13">
        <f>I13+G13</f>
        <v>443</v>
      </c>
      <c r="L13" s="4">
        <f>H13+J13</f>
        <v>4585.05</v>
      </c>
      <c r="M13">
        <f>L13/K13</f>
        <v>10.35</v>
      </c>
      <c r="O13" t="s">
        <v>495</v>
      </c>
    </row>
    <row r="14" spans="2:13" ht="12.75">
      <c r="B14" t="s">
        <v>468</v>
      </c>
      <c r="C14">
        <v>26.5</v>
      </c>
      <c r="D14">
        <v>9.83</v>
      </c>
      <c r="E14">
        <v>8</v>
      </c>
      <c r="F14" t="s">
        <v>343</v>
      </c>
      <c r="G14">
        <v>18</v>
      </c>
      <c r="H14">
        <f>G14*C14</f>
        <v>477</v>
      </c>
      <c r="I14">
        <v>443</v>
      </c>
      <c r="J14">
        <f>I14*D14</f>
        <v>4354.69</v>
      </c>
      <c r="K14">
        <f>SUM(G14,I14)</f>
        <v>461</v>
      </c>
      <c r="L14" s="4">
        <f>H14+J14</f>
        <v>4831.69</v>
      </c>
      <c r="M14" s="4">
        <f>L14/K14</f>
        <v>10.480889370932754</v>
      </c>
    </row>
    <row r="16" spans="1:15" ht="12.75">
      <c r="A16" t="s">
        <v>483</v>
      </c>
      <c r="B16" t="s">
        <v>467</v>
      </c>
      <c r="D16">
        <v>22.47</v>
      </c>
      <c r="E16">
        <v>6</v>
      </c>
      <c r="F16">
        <v>10</v>
      </c>
      <c r="H16">
        <f>G16*C16</f>
        <v>0</v>
      </c>
      <c r="I16">
        <v>217</v>
      </c>
      <c r="J16">
        <f>I16*D16</f>
        <v>4875.99</v>
      </c>
      <c r="K16">
        <f>I16+G16</f>
        <v>217</v>
      </c>
      <c r="L16" s="4">
        <f>H16+J16</f>
        <v>4875.99</v>
      </c>
      <c r="M16" s="4">
        <f>L16/K16</f>
        <v>22.47</v>
      </c>
      <c r="O16" t="s">
        <v>495</v>
      </c>
    </row>
    <row r="17" spans="2:14" ht="12.75">
      <c r="B17" t="s">
        <v>468</v>
      </c>
      <c r="C17">
        <v>30.71</v>
      </c>
      <c r="D17">
        <v>20.72</v>
      </c>
      <c r="E17">
        <v>8</v>
      </c>
      <c r="F17">
        <v>10</v>
      </c>
      <c r="G17">
        <v>30</v>
      </c>
      <c r="H17">
        <f>G17*C17</f>
        <v>921.3000000000001</v>
      </c>
      <c r="I17">
        <v>217</v>
      </c>
      <c r="J17">
        <f>I17*D17</f>
        <v>4496.24</v>
      </c>
      <c r="K17">
        <f>SUM(G17,I17)</f>
        <v>247</v>
      </c>
      <c r="L17" s="4">
        <f>H17+J17+N17</f>
        <v>6392.54</v>
      </c>
      <c r="M17" s="4">
        <f>L17/K17</f>
        <v>25.880728744939272</v>
      </c>
      <c r="N17">
        <v>975</v>
      </c>
    </row>
    <row r="18" spans="11:13" ht="12.75">
      <c r="K18">
        <f>-G17*D17</f>
        <v>-621.5999999999999</v>
      </c>
      <c r="L18" s="4">
        <f>L17+K18</f>
        <v>5770.9400000000005</v>
      </c>
      <c r="M18" s="4">
        <f>L18-N17</f>
        <v>4795.9400000000005</v>
      </c>
    </row>
    <row r="19" spans="1:3" ht="12.75">
      <c r="A19" t="s">
        <v>484</v>
      </c>
      <c r="B19" t="s">
        <v>467</v>
      </c>
      <c r="C19" t="s">
        <v>485</v>
      </c>
    </row>
    <row r="20" spans="2:15" ht="12.75">
      <c r="B20" t="s">
        <v>468</v>
      </c>
      <c r="C20">
        <v>2.8</v>
      </c>
      <c r="D20">
        <v>1.9</v>
      </c>
      <c r="E20">
        <v>8</v>
      </c>
      <c r="F20">
        <v>10</v>
      </c>
      <c r="G20">
        <v>340</v>
      </c>
      <c r="H20">
        <f>G20*C20</f>
        <v>951.9999999999999</v>
      </c>
      <c r="I20">
        <v>4000</v>
      </c>
      <c r="J20">
        <f>I20*D20</f>
        <v>7600</v>
      </c>
      <c r="K20">
        <f>SUM(G20,I20)</f>
        <v>4340</v>
      </c>
      <c r="L20" s="4">
        <f>H20+J20</f>
        <v>8552</v>
      </c>
      <c r="M20" s="4">
        <f>L20/K20</f>
        <v>1.9705069124423964</v>
      </c>
      <c r="N20">
        <v>975</v>
      </c>
      <c r="O20" t="s">
        <v>495</v>
      </c>
    </row>
    <row r="23" spans="1:9" ht="12.75">
      <c r="A23" t="s">
        <v>488</v>
      </c>
      <c r="I23" t="s">
        <v>496</v>
      </c>
    </row>
    <row r="24" spans="1:13" ht="12.75">
      <c r="A24" t="s">
        <v>489</v>
      </c>
      <c r="B24" t="s">
        <v>467</v>
      </c>
      <c r="C24">
        <v>35244.75</v>
      </c>
      <c r="I24" t="s">
        <v>500</v>
      </c>
      <c r="J24" t="s">
        <v>501</v>
      </c>
      <c r="L24" t="s">
        <v>502</v>
      </c>
      <c r="M24" t="s">
        <v>503</v>
      </c>
    </row>
    <row r="25" spans="2:13" ht="12.75">
      <c r="B25" t="s">
        <v>468</v>
      </c>
      <c r="C25">
        <v>38864</v>
      </c>
      <c r="I25" t="s">
        <v>497</v>
      </c>
      <c r="J25" s="3">
        <f>M6</f>
        <v>24.716776315789474</v>
      </c>
      <c r="K25" t="s">
        <v>468</v>
      </c>
      <c r="L25">
        <v>558</v>
      </c>
      <c r="M25">
        <f>L25*J25</f>
        <v>13791.961184210526</v>
      </c>
    </row>
    <row r="26" spans="9:13" ht="12.75">
      <c r="I26" t="s">
        <v>498</v>
      </c>
      <c r="J26" s="4">
        <f>M10</f>
        <v>14.70489396411093</v>
      </c>
      <c r="K26" t="s">
        <v>468</v>
      </c>
      <c r="L26">
        <v>1190</v>
      </c>
      <c r="M26">
        <f>L26*J26</f>
        <v>17498.823817292006</v>
      </c>
    </row>
    <row r="27" spans="5:13" ht="12.75">
      <c r="E27" t="s">
        <v>492</v>
      </c>
      <c r="F27" t="s">
        <v>493</v>
      </c>
      <c r="I27" t="s">
        <v>499</v>
      </c>
      <c r="J27">
        <f>M13</f>
        <v>10.35</v>
      </c>
      <c r="K27" t="s">
        <v>467</v>
      </c>
      <c r="L27">
        <v>443</v>
      </c>
      <c r="M27">
        <f>L27*J27</f>
        <v>4585.05</v>
      </c>
    </row>
    <row r="28" spans="1:6" ht="12.75">
      <c r="A28" t="s">
        <v>490</v>
      </c>
      <c r="B28" t="s">
        <v>491</v>
      </c>
      <c r="C28" t="s">
        <v>467</v>
      </c>
      <c r="D28">
        <v>35244.75</v>
      </c>
      <c r="F28" s="4">
        <f>D28+E28</f>
        <v>35244.75</v>
      </c>
    </row>
    <row r="29" spans="2:13" ht="12.75">
      <c r="B29" t="s">
        <v>317</v>
      </c>
      <c r="C29" t="s">
        <v>467</v>
      </c>
      <c r="D29" s="4">
        <f>L16</f>
        <v>4875.99</v>
      </c>
      <c r="F29" s="4">
        <f>D29+E29</f>
        <v>4875.99</v>
      </c>
      <c r="L29" s="29" t="s">
        <v>504</v>
      </c>
      <c r="M29">
        <f>SUM(M25:M27)</f>
        <v>35875.835001502535</v>
      </c>
    </row>
    <row r="30" spans="2:6" ht="12.75">
      <c r="B30" t="s">
        <v>484</v>
      </c>
      <c r="C30" t="s">
        <v>468</v>
      </c>
      <c r="D30" s="4">
        <f>L20</f>
        <v>8552</v>
      </c>
      <c r="E30">
        <f>N20</f>
        <v>975</v>
      </c>
      <c r="F30" s="4">
        <f>D30+E30</f>
        <v>9527</v>
      </c>
    </row>
    <row r="32" spans="5:6" ht="12.75">
      <c r="E32" t="s">
        <v>494</v>
      </c>
      <c r="F32" s="4">
        <f>SUM(F28:F30)</f>
        <v>49647.74</v>
      </c>
    </row>
    <row r="34" ht="12.75">
      <c r="A34" t="s">
        <v>505</v>
      </c>
    </row>
    <row r="35" ht="12.75">
      <c r="A35" t="s">
        <v>506</v>
      </c>
    </row>
    <row r="36" ht="12.75">
      <c r="A36" t="s">
        <v>507</v>
      </c>
    </row>
    <row r="37" ht="12.75">
      <c r="B37" t="s">
        <v>508</v>
      </c>
    </row>
  </sheetData>
  <printOptions gridLines="1"/>
  <pageMargins left="0.75" right="0.75" top="1" bottom="1" header="0.5" footer="0.5"/>
  <pageSetup fitToHeight="1" fitToWidth="1" horizontalDpi="600" verticalDpi="600" orientation="landscape" scale="91" r:id="rId1"/>
</worksheet>
</file>

<file path=xl/worksheets/sheet18.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19" sqref="B19:H19"/>
    </sheetView>
  </sheetViews>
  <sheetFormatPr defaultColWidth="9.140625" defaultRowHeight="12.75"/>
  <cols>
    <col min="1" max="1" width="28.7109375" style="1" customWidth="1"/>
    <col min="2" max="2" width="22.28125" style="1" customWidth="1"/>
    <col min="3" max="3" width="13.140625" style="0" customWidth="1"/>
    <col min="4" max="4" width="5.7109375" style="0" customWidth="1"/>
    <col min="5" max="5" width="10.7109375" style="11" customWidth="1"/>
    <col min="6" max="6" width="13.8515625" style="0" customWidth="1"/>
    <col min="7" max="7" width="12.7109375" style="0" customWidth="1"/>
    <col min="8" max="8" width="26.140625" style="1" customWidth="1"/>
  </cols>
  <sheetData>
    <row r="1" ht="12.75">
      <c r="A1" s="12" t="s">
        <v>59</v>
      </c>
    </row>
    <row r="3" spans="1:8" ht="12.75">
      <c r="A3" s="1" t="s">
        <v>2</v>
      </c>
      <c r="B3" s="1" t="s">
        <v>60</v>
      </c>
      <c r="C3" t="s">
        <v>61</v>
      </c>
      <c r="D3" t="s">
        <v>62</v>
      </c>
      <c r="E3" s="11" t="s">
        <v>63</v>
      </c>
      <c r="F3" t="s">
        <v>64</v>
      </c>
      <c r="G3" t="s">
        <v>65</v>
      </c>
      <c r="H3" s="1" t="s">
        <v>66</v>
      </c>
    </row>
    <row r="4" spans="1:8" ht="12.75">
      <c r="A4" s="1" t="s">
        <v>355</v>
      </c>
      <c r="B4" s="1" t="s">
        <v>356</v>
      </c>
      <c r="C4" t="s">
        <v>358</v>
      </c>
      <c r="D4" t="s">
        <v>357</v>
      </c>
      <c r="E4" s="11">
        <v>44705</v>
      </c>
      <c r="F4" t="s">
        <v>359</v>
      </c>
      <c r="G4" t="s">
        <v>360</v>
      </c>
      <c r="H4" s="1" t="s">
        <v>361</v>
      </c>
    </row>
    <row r="5" spans="1:8" ht="12.75">
      <c r="A5" s="1" t="s">
        <v>363</v>
      </c>
      <c r="B5" s="1" t="s">
        <v>364</v>
      </c>
      <c r="C5" t="s">
        <v>365</v>
      </c>
      <c r="D5" t="s">
        <v>366</v>
      </c>
      <c r="E5" s="11">
        <v>47903</v>
      </c>
      <c r="F5" t="s">
        <v>367</v>
      </c>
      <c r="G5" t="s">
        <v>368</v>
      </c>
      <c r="H5" s="1" t="s">
        <v>8</v>
      </c>
    </row>
    <row r="6" spans="1:8" ht="12.75">
      <c r="A6" s="1" t="s">
        <v>86</v>
      </c>
      <c r="B6" s="1" t="s">
        <v>87</v>
      </c>
      <c r="C6" t="s">
        <v>88</v>
      </c>
      <c r="D6" t="s">
        <v>89</v>
      </c>
      <c r="E6" s="11">
        <v>56308</v>
      </c>
      <c r="F6" t="s">
        <v>90</v>
      </c>
      <c r="G6" t="s">
        <v>91</v>
      </c>
      <c r="H6" s="1" t="s">
        <v>92</v>
      </c>
    </row>
    <row r="7" spans="1:8" ht="12.75">
      <c r="A7" s="1" t="s">
        <v>80</v>
      </c>
      <c r="B7" s="1" t="s">
        <v>81</v>
      </c>
      <c r="C7" t="s">
        <v>82</v>
      </c>
      <c r="D7" t="s">
        <v>83</v>
      </c>
      <c r="E7" s="11">
        <v>60185</v>
      </c>
      <c r="F7" t="s">
        <v>84</v>
      </c>
      <c r="G7" t="s">
        <v>85</v>
      </c>
      <c r="H7" s="1" t="s">
        <v>362</v>
      </c>
    </row>
    <row r="8" spans="1:7" ht="25.5">
      <c r="A8" s="1" t="s">
        <v>67</v>
      </c>
      <c r="B8" s="1" t="s">
        <v>68</v>
      </c>
      <c r="C8" t="s">
        <v>69</v>
      </c>
      <c r="D8" t="s">
        <v>70</v>
      </c>
      <c r="E8" s="11" t="s">
        <v>71</v>
      </c>
      <c r="F8" t="s">
        <v>72</v>
      </c>
      <c r="G8" t="s">
        <v>73</v>
      </c>
    </row>
    <row r="9" spans="1:7" ht="12.75">
      <c r="A9" s="1" t="s">
        <v>112</v>
      </c>
      <c r="B9" s="1" t="s">
        <v>113</v>
      </c>
      <c r="C9" t="s">
        <v>114</v>
      </c>
      <c r="D9" t="s">
        <v>115</v>
      </c>
      <c r="E9" s="11" t="s">
        <v>116</v>
      </c>
      <c r="F9" t="s">
        <v>117</v>
      </c>
      <c r="G9" t="s">
        <v>118</v>
      </c>
    </row>
    <row r="10" spans="1:7" ht="12.75">
      <c r="A10" s="1" t="s">
        <v>375</v>
      </c>
      <c r="B10" s="1" t="s">
        <v>400</v>
      </c>
      <c r="C10" t="s">
        <v>376</v>
      </c>
      <c r="D10" t="s">
        <v>142</v>
      </c>
      <c r="E10" s="11">
        <v>48809</v>
      </c>
      <c r="F10" t="s">
        <v>377</v>
      </c>
      <c r="G10" t="s">
        <v>401</v>
      </c>
    </row>
    <row r="11" spans="1:8" ht="12.75">
      <c r="A11" s="1" t="s">
        <v>369</v>
      </c>
      <c r="B11" s="1" t="s">
        <v>370</v>
      </c>
      <c r="C11" t="s">
        <v>371</v>
      </c>
      <c r="D11" t="s">
        <v>372</v>
      </c>
      <c r="E11" s="11">
        <v>21227</v>
      </c>
      <c r="F11" s="11" t="s">
        <v>373</v>
      </c>
      <c r="G11" t="s">
        <v>374</v>
      </c>
      <c r="H11" s="1" t="s">
        <v>8</v>
      </c>
    </row>
    <row r="12" spans="1:8" ht="12.75">
      <c r="A12" s="1" t="s">
        <v>139</v>
      </c>
      <c r="B12" s="1" t="s">
        <v>140</v>
      </c>
      <c r="C12" t="s">
        <v>141</v>
      </c>
      <c r="D12" t="s">
        <v>142</v>
      </c>
      <c r="E12" s="11">
        <v>48135</v>
      </c>
      <c r="F12" t="s">
        <v>143</v>
      </c>
      <c r="G12" t="s">
        <v>144</v>
      </c>
      <c r="H12" s="1" t="s">
        <v>145</v>
      </c>
    </row>
    <row r="13" spans="1:7" ht="25.5">
      <c r="A13" s="1" t="s">
        <v>378</v>
      </c>
      <c r="B13" s="1" t="s">
        <v>402</v>
      </c>
      <c r="C13" t="s">
        <v>379</v>
      </c>
      <c r="D13" t="s">
        <v>142</v>
      </c>
      <c r="E13" s="11">
        <v>48034</v>
      </c>
      <c r="F13" t="s">
        <v>380</v>
      </c>
      <c r="G13" t="s">
        <v>403</v>
      </c>
    </row>
    <row r="14" spans="1:8" ht="25.5">
      <c r="A14" s="1" t="s">
        <v>99</v>
      </c>
      <c r="B14" s="1" t="s">
        <v>100</v>
      </c>
      <c r="C14" t="s">
        <v>101</v>
      </c>
      <c r="D14" t="s">
        <v>102</v>
      </c>
      <c r="E14" s="11">
        <v>30504</v>
      </c>
      <c r="F14" t="s">
        <v>103</v>
      </c>
      <c r="G14" t="s">
        <v>104</v>
      </c>
      <c r="H14" s="1" t="s">
        <v>105</v>
      </c>
    </row>
    <row r="15" spans="1:7" ht="12.75">
      <c r="A15" s="1" t="s">
        <v>415</v>
      </c>
      <c r="B15" s="1" t="s">
        <v>422</v>
      </c>
      <c r="C15" t="s">
        <v>423</v>
      </c>
      <c r="D15" t="s">
        <v>357</v>
      </c>
      <c r="E15" s="11">
        <v>45067</v>
      </c>
      <c r="F15" t="s">
        <v>424</v>
      </c>
      <c r="G15" t="s">
        <v>425</v>
      </c>
    </row>
    <row r="16" spans="1:5" ht="12.75">
      <c r="A16" s="1" t="s">
        <v>381</v>
      </c>
      <c r="B16" s="1" t="s">
        <v>404</v>
      </c>
      <c r="C16" t="s">
        <v>382</v>
      </c>
      <c r="D16" t="s">
        <v>70</v>
      </c>
      <c r="E16" s="11">
        <v>18045</v>
      </c>
    </row>
    <row r="17" spans="1:7" ht="25.5">
      <c r="A17" s="1" t="s">
        <v>416</v>
      </c>
      <c r="B17" s="1" t="s">
        <v>426</v>
      </c>
      <c r="C17" t="s">
        <v>417</v>
      </c>
      <c r="D17" t="s">
        <v>418</v>
      </c>
      <c r="E17" s="11" t="s">
        <v>419</v>
      </c>
      <c r="F17" t="s">
        <v>420</v>
      </c>
      <c r="G17" t="s">
        <v>421</v>
      </c>
    </row>
    <row r="18" spans="1:7" ht="12.75">
      <c r="A18" s="1" t="s">
        <v>383</v>
      </c>
      <c r="B18" s="1" t="s">
        <v>405</v>
      </c>
      <c r="C18" t="s">
        <v>384</v>
      </c>
      <c r="D18" t="s">
        <v>385</v>
      </c>
      <c r="E18" s="11">
        <v>3076</v>
      </c>
      <c r="F18" t="s">
        <v>386</v>
      </c>
      <c r="G18" t="s">
        <v>408</v>
      </c>
    </row>
    <row r="19" spans="1:8" ht="12.75">
      <c r="A19" s="1" t="s">
        <v>106</v>
      </c>
      <c r="B19" s="1" t="s">
        <v>107</v>
      </c>
      <c r="C19" t="s">
        <v>108</v>
      </c>
      <c r="D19" t="s">
        <v>83</v>
      </c>
      <c r="E19" s="11">
        <v>60106</v>
      </c>
      <c r="F19" t="s">
        <v>109</v>
      </c>
      <c r="G19" t="s">
        <v>110</v>
      </c>
      <c r="H19" s="1" t="s">
        <v>111</v>
      </c>
    </row>
    <row r="20" spans="1:7" ht="12.75">
      <c r="A20" s="1" t="s">
        <v>387</v>
      </c>
      <c r="B20" s="1" t="s">
        <v>406</v>
      </c>
      <c r="C20" t="s">
        <v>388</v>
      </c>
      <c r="D20" t="s">
        <v>389</v>
      </c>
      <c r="E20" s="11">
        <v>2780</v>
      </c>
      <c r="F20" t="s">
        <v>390</v>
      </c>
      <c r="G20" t="s">
        <v>407</v>
      </c>
    </row>
    <row r="21" spans="1:7" ht="12.75">
      <c r="A21" s="1" t="s">
        <v>93</v>
      </c>
      <c r="B21" s="1" t="s">
        <v>94</v>
      </c>
      <c r="C21" t="s">
        <v>95</v>
      </c>
      <c r="D21" t="s">
        <v>96</v>
      </c>
      <c r="E21" s="11">
        <v>97206</v>
      </c>
      <c r="F21" t="s">
        <v>97</v>
      </c>
      <c r="G21" t="s">
        <v>98</v>
      </c>
    </row>
    <row r="22" spans="1:7" ht="12.75">
      <c r="A22" s="1" t="s">
        <v>392</v>
      </c>
      <c r="B22" s="1" t="s">
        <v>410</v>
      </c>
      <c r="C22" t="s">
        <v>393</v>
      </c>
      <c r="D22" t="s">
        <v>394</v>
      </c>
      <c r="E22" s="11">
        <v>39501</v>
      </c>
      <c r="F22" t="s">
        <v>395</v>
      </c>
      <c r="G22" t="s">
        <v>409</v>
      </c>
    </row>
    <row r="23" spans="1:8" ht="25.5">
      <c r="A23" s="1" t="s">
        <v>391</v>
      </c>
      <c r="B23" s="1" t="s">
        <v>119</v>
      </c>
      <c r="C23" t="s">
        <v>120</v>
      </c>
      <c r="D23" t="s">
        <v>121</v>
      </c>
      <c r="E23" s="11" t="s">
        <v>122</v>
      </c>
      <c r="F23" t="s">
        <v>123</v>
      </c>
      <c r="G23" t="s">
        <v>124</v>
      </c>
      <c r="H23" s="1" t="s">
        <v>125</v>
      </c>
    </row>
    <row r="24" spans="1:8" ht="25.5">
      <c r="A24" s="1" t="s">
        <v>126</v>
      </c>
      <c r="B24" s="1" t="s">
        <v>127</v>
      </c>
      <c r="C24" t="s">
        <v>128</v>
      </c>
      <c r="D24" t="s">
        <v>89</v>
      </c>
      <c r="E24" s="11" t="s">
        <v>129</v>
      </c>
      <c r="F24" t="s">
        <v>130</v>
      </c>
      <c r="G24" t="s">
        <v>131</v>
      </c>
      <c r="H24" s="1" t="s">
        <v>132</v>
      </c>
    </row>
    <row r="25" spans="1:7" ht="25.5">
      <c r="A25" s="1" t="s">
        <v>396</v>
      </c>
      <c r="B25" s="1" t="s">
        <v>427</v>
      </c>
      <c r="C25" t="s">
        <v>397</v>
      </c>
      <c r="D25" t="s">
        <v>398</v>
      </c>
      <c r="E25" s="11" t="s">
        <v>411</v>
      </c>
      <c r="F25" t="s">
        <v>399</v>
      </c>
      <c r="G25" t="s">
        <v>412</v>
      </c>
    </row>
    <row r="26" spans="1:7" ht="12.75">
      <c r="A26" s="1" t="s">
        <v>133</v>
      </c>
      <c r="B26" s="1" t="s">
        <v>134</v>
      </c>
      <c r="C26" t="s">
        <v>135</v>
      </c>
      <c r="D26" t="s">
        <v>136</v>
      </c>
      <c r="E26" s="11">
        <v>12428</v>
      </c>
      <c r="F26" t="s">
        <v>137</v>
      </c>
      <c r="G26" t="s">
        <v>138</v>
      </c>
    </row>
    <row r="27" spans="1:8" ht="25.5">
      <c r="A27" s="1" t="s">
        <v>74</v>
      </c>
      <c r="B27" s="1" t="s">
        <v>75</v>
      </c>
      <c r="C27" t="s">
        <v>76</v>
      </c>
      <c r="D27" t="s">
        <v>70</v>
      </c>
      <c r="E27" s="11">
        <v>16125</v>
      </c>
      <c r="F27" t="s">
        <v>77</v>
      </c>
      <c r="G27" t="s">
        <v>78</v>
      </c>
      <c r="H27" s="1" t="s">
        <v>79</v>
      </c>
    </row>
  </sheetData>
  <printOptions gridLines="1"/>
  <pageMargins left="0.5" right="0.5" top="0.5" bottom="0.5" header="0.25" footer="0.25"/>
  <pageSetup fitToHeight="1" fitToWidth="1" horizontalDpi="600" verticalDpi="600" orientation="landscape" r:id="rId1"/>
  <headerFooter alignWithMargins="0">
    <oddHeader>&amp;C&amp;A&amp;R&amp;F</oddHeader>
    <oddFooter>&amp;LK. Kriesel&amp;CPage &amp;P of &amp;N&amp;R&amp;D &amp;T</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P51"/>
  <sheetViews>
    <sheetView workbookViewId="0" topLeftCell="A1">
      <selection activeCell="J30" sqref="J30:J31"/>
    </sheetView>
  </sheetViews>
  <sheetFormatPr defaultColWidth="9.140625" defaultRowHeight="12.75"/>
  <cols>
    <col min="1" max="1" width="23.8515625" style="0" customWidth="1"/>
    <col min="2" max="2" width="16.140625" style="0" customWidth="1"/>
    <col min="3" max="3" width="10.7109375" style="0" customWidth="1"/>
    <col min="4" max="4" width="10.28125" style="0" customWidth="1"/>
    <col min="9" max="9" width="9.8515625" style="0" customWidth="1"/>
    <col min="14" max="14" width="9.8515625" style="0" customWidth="1"/>
  </cols>
  <sheetData>
    <row r="1" ht="12.75">
      <c r="A1" t="s">
        <v>481</v>
      </c>
    </row>
    <row r="3" spans="1:5" ht="12.75">
      <c r="A3" t="s">
        <v>487</v>
      </c>
      <c r="E3" t="s">
        <v>482</v>
      </c>
    </row>
    <row r="4" spans="1:14" ht="12.75">
      <c r="A4" t="s">
        <v>464</v>
      </c>
      <c r="C4" t="s">
        <v>469</v>
      </c>
      <c r="D4" t="s">
        <v>470</v>
      </c>
      <c r="E4" t="s">
        <v>472</v>
      </c>
      <c r="F4" t="s">
        <v>471</v>
      </c>
      <c r="G4" t="s">
        <v>473</v>
      </c>
      <c r="H4" t="s">
        <v>476</v>
      </c>
      <c r="I4" t="s">
        <v>474</v>
      </c>
      <c r="J4" t="s">
        <v>477</v>
      </c>
      <c r="K4" t="s">
        <v>475</v>
      </c>
      <c r="L4" t="s">
        <v>478</v>
      </c>
      <c r="M4" t="s">
        <v>479</v>
      </c>
      <c r="N4" t="s">
        <v>486</v>
      </c>
    </row>
    <row r="5" spans="2:15" ht="12.75">
      <c r="B5" t="s">
        <v>467</v>
      </c>
      <c r="C5" t="s">
        <v>480</v>
      </c>
      <c r="D5">
        <v>24.72</v>
      </c>
      <c r="E5">
        <v>6</v>
      </c>
      <c r="F5">
        <v>10</v>
      </c>
      <c r="G5" t="s">
        <v>343</v>
      </c>
      <c r="H5" t="s">
        <v>343</v>
      </c>
      <c r="I5">
        <v>558</v>
      </c>
      <c r="K5">
        <f>I5</f>
        <v>558</v>
      </c>
      <c r="L5" s="4">
        <f>D5*I5</f>
        <v>13793.76</v>
      </c>
      <c r="M5" s="3">
        <f>L5/K5</f>
        <v>24.72</v>
      </c>
      <c r="N5">
        <v>975</v>
      </c>
      <c r="O5" t="s">
        <v>495</v>
      </c>
    </row>
    <row r="6" spans="2:13" ht="12.75">
      <c r="B6" t="s">
        <v>468</v>
      </c>
      <c r="C6">
        <v>31.6</v>
      </c>
      <c r="D6">
        <v>24.1</v>
      </c>
      <c r="E6">
        <v>8</v>
      </c>
      <c r="F6">
        <v>10</v>
      </c>
      <c r="G6">
        <v>50</v>
      </c>
      <c r="H6">
        <f>G6*C6</f>
        <v>1580</v>
      </c>
      <c r="I6">
        <f>K6-G6</f>
        <v>508</v>
      </c>
      <c r="J6">
        <f>I6*D6</f>
        <v>12242.800000000001</v>
      </c>
      <c r="K6">
        <v>558</v>
      </c>
      <c r="L6" s="4">
        <f>H6+J6</f>
        <v>13822.800000000001</v>
      </c>
      <c r="M6" s="3">
        <f>L6/K6</f>
        <v>24.77204301075269</v>
      </c>
    </row>
    <row r="9" spans="1:13" ht="12.75">
      <c r="A9" t="s">
        <v>465</v>
      </c>
      <c r="B9" t="s">
        <v>467</v>
      </c>
      <c r="D9">
        <v>15.02</v>
      </c>
      <c r="E9">
        <v>6</v>
      </c>
      <c r="F9">
        <v>10</v>
      </c>
      <c r="H9">
        <f>G9*C9</f>
        <v>0</v>
      </c>
      <c r="I9">
        <f>K9</f>
        <v>1403</v>
      </c>
      <c r="J9">
        <f>I9*D9</f>
        <v>21073.059999999998</v>
      </c>
      <c r="K9">
        <v>1403</v>
      </c>
      <c r="L9" s="4">
        <f>H9+J9</f>
        <v>21073.059999999998</v>
      </c>
      <c r="M9">
        <f>L9/K9</f>
        <v>15.019999999999998</v>
      </c>
    </row>
    <row r="10" spans="2:15" ht="12.75">
      <c r="B10" t="s">
        <v>468</v>
      </c>
      <c r="C10">
        <v>22.8</v>
      </c>
      <c r="D10">
        <v>14.46</v>
      </c>
      <c r="E10">
        <v>8</v>
      </c>
      <c r="F10" t="s">
        <v>343</v>
      </c>
      <c r="G10">
        <v>36</v>
      </c>
      <c r="H10">
        <f>G10*C10</f>
        <v>820.8000000000001</v>
      </c>
      <c r="I10">
        <f>K10-G10</f>
        <v>1367</v>
      </c>
      <c r="J10">
        <f>I10*D10</f>
        <v>19766.82</v>
      </c>
      <c r="K10">
        <f>K9</f>
        <v>1403</v>
      </c>
      <c r="L10" s="4">
        <f>H10+J10</f>
        <v>20587.62</v>
      </c>
      <c r="M10" s="4">
        <f>L10/K10</f>
        <v>14.67399857448325</v>
      </c>
      <c r="O10" t="s">
        <v>495</v>
      </c>
    </row>
    <row r="13" spans="1:15" ht="12.75">
      <c r="A13" t="s">
        <v>466</v>
      </c>
      <c r="B13" t="s">
        <v>467</v>
      </c>
      <c r="D13">
        <v>10.35</v>
      </c>
      <c r="E13">
        <v>6</v>
      </c>
      <c r="F13">
        <v>10</v>
      </c>
      <c r="H13">
        <f>G13*C13</f>
        <v>0</v>
      </c>
      <c r="I13">
        <f>K13</f>
        <v>542</v>
      </c>
      <c r="J13">
        <f>I13*D13</f>
        <v>5609.7</v>
      </c>
      <c r="K13">
        <v>542</v>
      </c>
      <c r="L13" s="4">
        <f>H13+J13</f>
        <v>5609.7</v>
      </c>
      <c r="M13">
        <f>L13/K13</f>
        <v>10.35</v>
      </c>
      <c r="O13" t="s">
        <v>495</v>
      </c>
    </row>
    <row r="14" spans="2:13" ht="12.75">
      <c r="B14" t="s">
        <v>468</v>
      </c>
      <c r="C14">
        <v>26.5</v>
      </c>
      <c r="D14">
        <v>9.83</v>
      </c>
      <c r="E14">
        <v>8</v>
      </c>
      <c r="F14" t="s">
        <v>343</v>
      </c>
      <c r="G14">
        <v>18</v>
      </c>
      <c r="H14">
        <f>G14*C14</f>
        <v>477</v>
      </c>
      <c r="I14">
        <f>K14-G14</f>
        <v>524</v>
      </c>
      <c r="J14">
        <f>I14*D14</f>
        <v>5150.92</v>
      </c>
      <c r="K14">
        <f>K13</f>
        <v>542</v>
      </c>
      <c r="L14" s="4">
        <f>H14+J14</f>
        <v>5627.92</v>
      </c>
      <c r="M14" s="4">
        <f>L14/K14</f>
        <v>10.383616236162363</v>
      </c>
    </row>
    <row r="16" spans="1:15" ht="12.75">
      <c r="A16" t="s">
        <v>483</v>
      </c>
      <c r="B16" t="s">
        <v>467</v>
      </c>
      <c r="D16">
        <v>22.47</v>
      </c>
      <c r="E16">
        <v>6</v>
      </c>
      <c r="F16">
        <v>10</v>
      </c>
      <c r="H16">
        <f>G16*C16</f>
        <v>0</v>
      </c>
      <c r="I16">
        <f>K16</f>
        <v>250</v>
      </c>
      <c r="J16">
        <f>I16*D16</f>
        <v>5617.5</v>
      </c>
      <c r="K16">
        <v>250</v>
      </c>
      <c r="L16" s="4">
        <f>H16+J16</f>
        <v>5617.5</v>
      </c>
      <c r="M16" s="4">
        <f>L16/K16</f>
        <v>22.47</v>
      </c>
      <c r="O16" t="s">
        <v>495</v>
      </c>
    </row>
    <row r="17" spans="2:14" ht="12.75">
      <c r="B17" t="s">
        <v>468</v>
      </c>
      <c r="C17">
        <v>30.71</v>
      </c>
      <c r="D17">
        <v>20.72</v>
      </c>
      <c r="E17">
        <v>8</v>
      </c>
      <c r="F17">
        <v>10</v>
      </c>
      <c r="G17">
        <v>30</v>
      </c>
      <c r="H17">
        <f>G17*C17</f>
        <v>921.3000000000001</v>
      </c>
      <c r="I17">
        <f>K17-G17</f>
        <v>220</v>
      </c>
      <c r="J17">
        <f>I17*D17</f>
        <v>4558.4</v>
      </c>
      <c r="K17">
        <f>K16</f>
        <v>250</v>
      </c>
      <c r="L17" s="4">
        <f>H17+J17+N17</f>
        <v>6454.7</v>
      </c>
      <c r="M17" s="4">
        <f>L17/K17</f>
        <v>25.8188</v>
      </c>
      <c r="N17">
        <v>975</v>
      </c>
    </row>
    <row r="18" spans="12:13" ht="12.75">
      <c r="L18" s="4"/>
      <c r="M18" s="4"/>
    </row>
    <row r="19" spans="1:3" ht="12.75">
      <c r="A19" t="s">
        <v>484</v>
      </c>
      <c r="B19" t="s">
        <v>467</v>
      </c>
      <c r="C19" t="s">
        <v>485</v>
      </c>
    </row>
    <row r="20" spans="2:15" ht="12.75">
      <c r="B20" t="s">
        <v>468</v>
      </c>
      <c r="C20">
        <v>2.8</v>
      </c>
      <c r="D20">
        <v>1.9</v>
      </c>
      <c r="E20">
        <v>8</v>
      </c>
      <c r="F20">
        <v>10</v>
      </c>
      <c r="G20">
        <v>340</v>
      </c>
      <c r="H20">
        <f>G20*C20</f>
        <v>951.9999999999999</v>
      </c>
      <c r="I20">
        <f>K20-G20</f>
        <v>4270</v>
      </c>
      <c r="J20">
        <f>I20*D20</f>
        <v>8113</v>
      </c>
      <c r="K20">
        <v>4610</v>
      </c>
      <c r="L20" s="4">
        <f>H20+J20+N20</f>
        <v>10040</v>
      </c>
      <c r="M20" s="4">
        <f>L20/K20</f>
        <v>2.177874186550976</v>
      </c>
      <c r="N20">
        <v>975</v>
      </c>
      <c r="O20" t="s">
        <v>495</v>
      </c>
    </row>
    <row r="23" spans="1:9" ht="12.75">
      <c r="A23" t="s">
        <v>488</v>
      </c>
      <c r="I23" t="s">
        <v>496</v>
      </c>
    </row>
    <row r="24" spans="1:15" ht="12.75">
      <c r="A24" t="s">
        <v>489</v>
      </c>
      <c r="B24" t="s">
        <v>467</v>
      </c>
      <c r="C24">
        <v>35244.75</v>
      </c>
      <c r="I24" t="s">
        <v>500</v>
      </c>
      <c r="J24" t="s">
        <v>501</v>
      </c>
      <c r="L24" t="s">
        <v>502</v>
      </c>
      <c r="M24" t="s">
        <v>503</v>
      </c>
      <c r="N24" t="s">
        <v>513</v>
      </c>
      <c r="O24" t="s">
        <v>514</v>
      </c>
    </row>
    <row r="25" spans="2:14" ht="12.75">
      <c r="B25" t="s">
        <v>468</v>
      </c>
      <c r="C25">
        <v>38864</v>
      </c>
      <c r="I25" t="s">
        <v>497</v>
      </c>
      <c r="J25" s="3">
        <f>M5</f>
        <v>24.72</v>
      </c>
      <c r="K25" t="s">
        <v>467</v>
      </c>
      <c r="L25">
        <f>K5</f>
        <v>558</v>
      </c>
      <c r="M25">
        <f>L25*J25</f>
        <v>13793.76</v>
      </c>
      <c r="N25">
        <f>(M6-M5)*L25</f>
        <v>29.040000000001342</v>
      </c>
    </row>
    <row r="26" spans="9:15" ht="12.75">
      <c r="I26" t="s">
        <v>498</v>
      </c>
      <c r="J26" s="4">
        <f>M10</f>
        <v>14.67399857448325</v>
      </c>
      <c r="K26" t="s">
        <v>468</v>
      </c>
      <c r="L26">
        <f>K9</f>
        <v>1403</v>
      </c>
      <c r="M26">
        <f>L26*J26</f>
        <v>20587.62</v>
      </c>
      <c r="O26">
        <f>(M9-M10)*L26</f>
        <v>485.43999999999784</v>
      </c>
    </row>
    <row r="27" spans="5:14" ht="12.75">
      <c r="E27" t="s">
        <v>492</v>
      </c>
      <c r="F27" t="s">
        <v>493</v>
      </c>
      <c r="I27" t="s">
        <v>499</v>
      </c>
      <c r="J27">
        <f>M13</f>
        <v>10.35</v>
      </c>
      <c r="K27" t="s">
        <v>467</v>
      </c>
      <c r="L27">
        <f>K13</f>
        <v>542</v>
      </c>
      <c r="M27">
        <f>L27*J27</f>
        <v>5609.7</v>
      </c>
      <c r="N27">
        <f>(M14-M13)*L27</f>
        <v>18.220000000000674</v>
      </c>
    </row>
    <row r="28" spans="1:6" ht="12.75">
      <c r="A28" t="s">
        <v>490</v>
      </c>
      <c r="B28" t="s">
        <v>491</v>
      </c>
      <c r="C28" t="s">
        <v>467</v>
      </c>
      <c r="D28">
        <v>35244.75</v>
      </c>
      <c r="F28" s="4">
        <f>D28+E28</f>
        <v>35244.75</v>
      </c>
    </row>
    <row r="29" spans="2:15" ht="12.75">
      <c r="B29" t="s">
        <v>317</v>
      </c>
      <c r="C29" t="s">
        <v>467</v>
      </c>
      <c r="D29" s="4">
        <f>L16</f>
        <v>5617.5</v>
      </c>
      <c r="F29" s="4">
        <f>D29+E29</f>
        <v>5617.5</v>
      </c>
      <c r="L29" s="29" t="s">
        <v>504</v>
      </c>
      <c r="M29">
        <f>SUM(M25:M27)</f>
        <v>39991.079999999994</v>
      </c>
      <c r="N29">
        <f>SUM(N25:N27)</f>
        <v>47.260000000002016</v>
      </c>
      <c r="O29">
        <f>SUM(O25:O27)</f>
        <v>485.43999999999784</v>
      </c>
    </row>
    <row r="30" spans="2:6" ht="12.75">
      <c r="B30" t="s">
        <v>484</v>
      </c>
      <c r="C30" t="s">
        <v>468</v>
      </c>
      <c r="D30" s="4">
        <f>L20</f>
        <v>10040</v>
      </c>
      <c r="E30">
        <f>N20</f>
        <v>975</v>
      </c>
      <c r="F30" s="4">
        <f>D30+E30</f>
        <v>11015</v>
      </c>
    </row>
    <row r="31" ht="12.75">
      <c r="I31" t="s">
        <v>515</v>
      </c>
    </row>
    <row r="32" spans="5:16" ht="12.75">
      <c r="E32" t="s">
        <v>494</v>
      </c>
      <c r="F32" s="4">
        <f>SUM(F28:F30)</f>
        <v>51877.25</v>
      </c>
      <c r="I32" t="s">
        <v>516</v>
      </c>
      <c r="J32" t="s">
        <v>500</v>
      </c>
      <c r="K32" t="s">
        <v>517</v>
      </c>
      <c r="L32" t="s">
        <v>518</v>
      </c>
      <c r="M32" t="s">
        <v>521</v>
      </c>
      <c r="N32" t="s">
        <v>519</v>
      </c>
      <c r="O32" t="s">
        <v>520</v>
      </c>
      <c r="P32" t="s">
        <v>522</v>
      </c>
    </row>
    <row r="33" spans="9:16" ht="12.75">
      <c r="I33" t="s">
        <v>299</v>
      </c>
      <c r="J33" t="s">
        <v>497</v>
      </c>
      <c r="K33">
        <v>24.26</v>
      </c>
      <c r="L33" s="3">
        <f>M6</f>
        <v>24.77204301075269</v>
      </c>
      <c r="M33" s="3">
        <f>L33-0.05*'extrusion requirements'!Q12</f>
        <v>24.23206910195487</v>
      </c>
      <c r="N33">
        <f>K33*$K5</f>
        <v>13537.080000000002</v>
      </c>
      <c r="O33">
        <f>L33*$K5</f>
        <v>13822.800000000001</v>
      </c>
      <c r="P33">
        <f>M33*$K5</f>
        <v>13521.494558890818</v>
      </c>
    </row>
    <row r="34" spans="10:16" ht="12.75">
      <c r="J34" t="s">
        <v>498</v>
      </c>
      <c r="K34">
        <v>14.56</v>
      </c>
      <c r="L34" s="4">
        <f>M10</f>
        <v>14.67399857448325</v>
      </c>
      <c r="M34" s="4">
        <f>L34-0.05*'extrusion requirements'!Q13</f>
        <v>14.35001422920456</v>
      </c>
      <c r="N34">
        <f>K34*$K9</f>
        <v>20427.68</v>
      </c>
      <c r="O34">
        <f>L34*$K9</f>
        <v>20587.62</v>
      </c>
      <c r="P34">
        <f>M34*$K9</f>
        <v>20133.069963573995</v>
      </c>
    </row>
    <row r="35" spans="10:16" ht="12.75">
      <c r="J35" t="s">
        <v>499</v>
      </c>
      <c r="K35">
        <v>9.89</v>
      </c>
      <c r="L35" s="4">
        <f>M14</f>
        <v>10.383616236162363</v>
      </c>
      <c r="M35" s="4">
        <f>L35-0.05*'extrusion requirements'!Q18</f>
        <v>10.163473027190944</v>
      </c>
      <c r="N35">
        <f>K35*$K13</f>
        <v>5360.38</v>
      </c>
      <c r="O35">
        <f>L35*$K13</f>
        <v>5627.92</v>
      </c>
      <c r="P35">
        <f>M35*$K13</f>
        <v>5508.602380737492</v>
      </c>
    </row>
    <row r="36" spans="1:16" ht="12.75">
      <c r="A36" t="s">
        <v>529</v>
      </c>
      <c r="C36" t="s">
        <v>526</v>
      </c>
      <c r="D36" t="s">
        <v>527</v>
      </c>
      <c r="E36" t="s">
        <v>528</v>
      </c>
      <c r="M36" t="s">
        <v>523</v>
      </c>
      <c r="N36">
        <f>SUM(N33:N35)</f>
        <v>39325.14</v>
      </c>
      <c r="O36">
        <f>SUM(O33:O35)</f>
        <v>40038.34</v>
      </c>
      <c r="P36">
        <f>SUM(P33:P35)</f>
        <v>39163.166903202306</v>
      </c>
    </row>
    <row r="37" spans="1:16" ht="12.75">
      <c r="A37" t="s">
        <v>524</v>
      </c>
      <c r="B37" t="s">
        <v>525</v>
      </c>
      <c r="C37" s="4">
        <f>L20</f>
        <v>10040</v>
      </c>
      <c r="D37">
        <v>2350</v>
      </c>
      <c r="E37" s="4">
        <f>SUM(C37:D37)</f>
        <v>12390</v>
      </c>
      <c r="F37" t="s">
        <v>533</v>
      </c>
      <c r="L37" t="s">
        <v>531</v>
      </c>
      <c r="O37" s="4">
        <v>975</v>
      </c>
      <c r="P37" s="4">
        <v>975</v>
      </c>
    </row>
    <row r="38" spans="1:16" ht="12.75">
      <c r="A38" t="s">
        <v>529</v>
      </c>
      <c r="B38" t="s">
        <v>530</v>
      </c>
      <c r="C38" s="4">
        <f>N36+L16</f>
        <v>44942.64</v>
      </c>
      <c r="D38">
        <v>2350</v>
      </c>
      <c r="E38" s="4">
        <f>SUM(C38:D38)</f>
        <v>47292.64</v>
      </c>
      <c r="M38" t="s">
        <v>532</v>
      </c>
      <c r="O38">
        <f>SUM(O36:O37)</f>
        <v>41013.34</v>
      </c>
      <c r="P38">
        <f>SUM(P36:P37)</f>
        <v>40138.166903202306</v>
      </c>
    </row>
    <row r="39" ht="12.75">
      <c r="E39" s="4">
        <f>E37+E38</f>
        <v>59682.64</v>
      </c>
    </row>
    <row r="41" spans="1:4" ht="12.75">
      <c r="A41" t="s">
        <v>534</v>
      </c>
      <c r="D41" s="29" t="s">
        <v>357</v>
      </c>
    </row>
    <row r="42" spans="1:6" ht="12.75">
      <c r="A42" t="s">
        <v>524</v>
      </c>
      <c r="B42" t="s">
        <v>525</v>
      </c>
      <c r="C42" s="4">
        <f>C37</f>
        <v>10040</v>
      </c>
      <c r="D42" s="4">
        <f>D37</f>
        <v>2350</v>
      </c>
      <c r="E42" s="4">
        <f>E37</f>
        <v>12390</v>
      </c>
      <c r="F42" s="4" t="str">
        <f>F37</f>
        <v>incl 975 die</v>
      </c>
    </row>
    <row r="43" spans="1:6" ht="12" customHeight="1">
      <c r="A43" t="s">
        <v>535</v>
      </c>
      <c r="C43">
        <f>O38</f>
        <v>41013.34</v>
      </c>
      <c r="E43">
        <f>C43</f>
        <v>41013.34</v>
      </c>
      <c r="F43" s="4" t="str">
        <f>F37</f>
        <v>incl 975 die</v>
      </c>
    </row>
    <row r="44" spans="1:6" ht="12" customHeight="1" thickBot="1">
      <c r="A44" t="s">
        <v>305</v>
      </c>
      <c r="C44" s="4">
        <f>L17</f>
        <v>6454.7</v>
      </c>
      <c r="E44" s="4">
        <f>C44</f>
        <v>6454.7</v>
      </c>
      <c r="F44" s="4" t="str">
        <f>F37</f>
        <v>incl 975 die</v>
      </c>
    </row>
    <row r="45" spans="5:6" ht="12" customHeight="1">
      <c r="E45" s="63">
        <f>SUM(E42:E44)</f>
        <v>59858.03999999999</v>
      </c>
      <c r="F45" t="s">
        <v>536</v>
      </c>
    </row>
    <row r="46" spans="5:6" ht="13.5" thickBot="1">
      <c r="E46" s="64">
        <f>E45-3*N20</f>
        <v>56933.03999999999</v>
      </c>
      <c r="F46" t="s">
        <v>537</v>
      </c>
    </row>
    <row r="48" ht="12.75">
      <c r="A48" t="s">
        <v>505</v>
      </c>
    </row>
    <row r="49" ht="12.75">
      <c r="A49" t="s">
        <v>506</v>
      </c>
    </row>
    <row r="50" ht="12.75">
      <c r="A50" t="s">
        <v>507</v>
      </c>
    </row>
    <row r="51" ht="12.75">
      <c r="B51" t="s">
        <v>508</v>
      </c>
    </row>
  </sheetData>
  <printOptions gridLines="1"/>
  <pageMargins left="0.75" right="0.75" top="1" bottom="1" header="0.5" footer="0.5"/>
  <pageSetup fitToHeight="1"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1:Y232"/>
  <sheetViews>
    <sheetView tabSelected="1" workbookViewId="0" topLeftCell="B2">
      <pane xSplit="3285" ySplit="1395" topLeftCell="M11" activePane="bottomRight" state="split"/>
      <selection pane="topLeft" activeCell="M7" sqref="M7"/>
      <selection pane="topRight" activeCell="E2" sqref="E1:Q16384"/>
      <selection pane="bottomLeft" activeCell="B48" sqref="B48"/>
      <selection pane="bottomRight" activeCell="P34" sqref="P34"/>
    </sheetView>
  </sheetViews>
  <sheetFormatPr defaultColWidth="9.140625" defaultRowHeight="12.75"/>
  <cols>
    <col min="1" max="1" width="8.140625" style="0" customWidth="1"/>
    <col min="2" max="2" width="40.7109375" style="0" customWidth="1"/>
    <col min="3" max="3" width="11.140625" style="0" customWidth="1"/>
    <col min="4" max="4" width="18.00390625" style="0" customWidth="1"/>
    <col min="5" max="5" width="9.140625" style="133" customWidth="1"/>
    <col min="6" max="15" width="6.8515625" style="133" customWidth="1"/>
    <col min="16" max="16" width="9.421875" style="133" customWidth="1"/>
    <col min="17" max="17" width="6.8515625" style="133" customWidth="1"/>
    <col min="18" max="18" width="9.28125" style="0" hidden="1" customWidth="1"/>
    <col min="19" max="19" width="11.421875" style="0" hidden="1" customWidth="1"/>
    <col min="20" max="20" width="26.8515625" style="1" customWidth="1"/>
  </cols>
  <sheetData>
    <row r="1" spans="1:9" ht="27.75">
      <c r="A1" t="s">
        <v>629</v>
      </c>
      <c r="B1" s="1" t="s">
        <v>931</v>
      </c>
      <c r="C1" s="14" t="s">
        <v>630</v>
      </c>
      <c r="D1" s="14"/>
      <c r="E1" s="133" t="s">
        <v>52</v>
      </c>
      <c r="I1" s="134" t="s">
        <v>949</v>
      </c>
    </row>
    <row r="2" spans="1:4" ht="12.75">
      <c r="A2" t="s">
        <v>756</v>
      </c>
      <c r="B2" s="1"/>
      <c r="C2" s="14"/>
      <c r="D2" s="14" t="s">
        <v>679</v>
      </c>
    </row>
    <row r="3" spans="1:25" ht="127.5">
      <c r="A3" s="131" t="s">
        <v>936</v>
      </c>
      <c r="B3" s="131" t="s">
        <v>2</v>
      </c>
      <c r="C3" s="132" t="s">
        <v>547</v>
      </c>
      <c r="D3" s="132" t="s">
        <v>558</v>
      </c>
      <c r="E3" s="135" t="s">
        <v>604</v>
      </c>
      <c r="F3" s="135" t="s">
        <v>627</v>
      </c>
      <c r="G3" s="135" t="s">
        <v>626</v>
      </c>
      <c r="H3" s="135" t="s">
        <v>631</v>
      </c>
      <c r="I3" s="135" t="s">
        <v>754</v>
      </c>
      <c r="J3" s="135" t="s">
        <v>755</v>
      </c>
      <c r="K3" s="135" t="s">
        <v>914</v>
      </c>
      <c r="L3" s="135" t="s">
        <v>748</v>
      </c>
      <c r="M3" s="135" t="s">
        <v>920</v>
      </c>
      <c r="N3" s="135" t="s">
        <v>921</v>
      </c>
      <c r="O3" s="135" t="s">
        <v>922</v>
      </c>
      <c r="P3" s="136" t="s">
        <v>956</v>
      </c>
      <c r="Q3" s="135" t="s">
        <v>923</v>
      </c>
      <c r="R3" s="131" t="s">
        <v>728</v>
      </c>
      <c r="S3" s="131" t="s">
        <v>727</v>
      </c>
      <c r="T3" s="131" t="s">
        <v>945</v>
      </c>
      <c r="U3" s="1"/>
      <c r="V3" s="1"/>
      <c r="W3" s="1"/>
      <c r="X3" s="1"/>
      <c r="Y3" s="1"/>
    </row>
    <row r="4" spans="1:19" ht="12.75">
      <c r="A4" s="23">
        <v>1</v>
      </c>
      <c r="B4" s="1" t="s">
        <v>5</v>
      </c>
      <c r="C4" s="14" t="s">
        <v>613</v>
      </c>
      <c r="D4" s="14" t="s">
        <v>552</v>
      </c>
      <c r="E4" s="133">
        <v>6</v>
      </c>
      <c r="F4" s="133">
        <f aca="true" t="shared" si="0" ref="F4:F49">E4*25</f>
        <v>150</v>
      </c>
      <c r="G4" s="133">
        <v>2</v>
      </c>
      <c r="H4" s="133">
        <f aca="true" t="shared" si="1" ref="H4:H49">SUM(F4:G4)</f>
        <v>152</v>
      </c>
      <c r="I4" s="133">
        <v>152</v>
      </c>
      <c r="J4" s="133">
        <v>0</v>
      </c>
      <c r="K4" s="133">
        <v>0</v>
      </c>
      <c r="L4" s="133">
        <v>0</v>
      </c>
      <c r="N4" s="133">
        <v>195</v>
      </c>
      <c r="O4" s="133">
        <f aca="true" t="shared" si="2" ref="O4:O26">SUM(M4:N4)</f>
        <v>195</v>
      </c>
      <c r="P4" s="133">
        <f>O4+I4+K4</f>
        <v>347</v>
      </c>
      <c r="R4">
        <v>3.79</v>
      </c>
      <c r="S4" s="116">
        <f>R4*O4</f>
        <v>739.05</v>
      </c>
    </row>
    <row r="5" spans="1:20" ht="25.5">
      <c r="A5" s="23">
        <v>2</v>
      </c>
      <c r="B5" s="1" t="s">
        <v>6</v>
      </c>
      <c r="C5" s="14" t="s">
        <v>612</v>
      </c>
      <c r="D5" s="14" t="s">
        <v>562</v>
      </c>
      <c r="E5" s="133">
        <v>6</v>
      </c>
      <c r="F5" s="133">
        <f t="shared" si="0"/>
        <v>150</v>
      </c>
      <c r="G5" s="133">
        <v>3</v>
      </c>
      <c r="H5" s="133">
        <f t="shared" si="1"/>
        <v>153</v>
      </c>
      <c r="I5" s="133">
        <v>153</v>
      </c>
      <c r="J5" s="133">
        <v>0</v>
      </c>
      <c r="K5" s="133">
        <v>0</v>
      </c>
      <c r="L5" s="133">
        <v>0</v>
      </c>
      <c r="N5" s="133">
        <v>23</v>
      </c>
      <c r="O5" s="133">
        <f t="shared" si="2"/>
        <v>23</v>
      </c>
      <c r="P5" s="133">
        <f aca="true" t="shared" si="3" ref="P5:P62">O5+I5+K5</f>
        <v>176</v>
      </c>
      <c r="R5">
        <v>2.88</v>
      </c>
      <c r="S5" s="116">
        <f aca="true" t="shared" si="4" ref="S5:S51">R5*O5</f>
        <v>66.24</v>
      </c>
      <c r="T5" s="1" t="s">
        <v>946</v>
      </c>
    </row>
    <row r="6" spans="1:19" ht="12.75">
      <c r="A6" s="23">
        <v>3</v>
      </c>
      <c r="B6" s="1" t="s">
        <v>7</v>
      </c>
      <c r="C6" s="14" t="s">
        <v>611</v>
      </c>
      <c r="D6" s="14" t="s">
        <v>563</v>
      </c>
      <c r="E6" s="133">
        <v>32</v>
      </c>
      <c r="F6" s="133">
        <f t="shared" si="0"/>
        <v>800</v>
      </c>
      <c r="G6" s="133">
        <v>3</v>
      </c>
      <c r="H6" s="133">
        <f t="shared" si="1"/>
        <v>803</v>
      </c>
      <c r="I6" s="133">
        <v>803</v>
      </c>
      <c r="J6" s="133">
        <v>0</v>
      </c>
      <c r="K6" s="133">
        <v>0</v>
      </c>
      <c r="L6" s="133">
        <v>0</v>
      </c>
      <c r="N6" s="133">
        <v>65</v>
      </c>
      <c r="O6" s="133">
        <f t="shared" si="2"/>
        <v>65</v>
      </c>
      <c r="P6" s="133">
        <f t="shared" si="3"/>
        <v>868</v>
      </c>
      <c r="R6">
        <v>2.97</v>
      </c>
      <c r="S6" s="116">
        <f t="shared" si="4"/>
        <v>193.05</v>
      </c>
    </row>
    <row r="7" spans="1:19" ht="12.75">
      <c r="A7" s="23">
        <v>4</v>
      </c>
      <c r="B7" s="1" t="s">
        <v>190</v>
      </c>
      <c r="C7" s="14" t="s">
        <v>549</v>
      </c>
      <c r="D7" s="14" t="s">
        <v>557</v>
      </c>
      <c r="E7" s="133">
        <v>94</v>
      </c>
      <c r="F7" s="133">
        <f t="shared" si="0"/>
        <v>2350</v>
      </c>
      <c r="G7" s="133">
        <v>10</v>
      </c>
      <c r="H7" s="133">
        <f t="shared" si="1"/>
        <v>2360</v>
      </c>
      <c r="I7" s="133">
        <v>2360</v>
      </c>
      <c r="J7" s="133">
        <v>0</v>
      </c>
      <c r="K7" s="133">
        <v>0</v>
      </c>
      <c r="L7" s="133">
        <v>0</v>
      </c>
      <c r="N7" s="133">
        <v>223</v>
      </c>
      <c r="O7" s="133">
        <f t="shared" si="2"/>
        <v>223</v>
      </c>
      <c r="P7" s="133">
        <f t="shared" si="3"/>
        <v>2583</v>
      </c>
      <c r="R7">
        <v>0.0492</v>
      </c>
      <c r="S7" s="116">
        <f t="shared" si="4"/>
        <v>10.9716</v>
      </c>
    </row>
    <row r="8" spans="1:19" ht="25.5">
      <c r="A8" s="23">
        <v>5</v>
      </c>
      <c r="B8" s="1" t="s">
        <v>597</v>
      </c>
      <c r="C8" s="14" t="s">
        <v>549</v>
      </c>
      <c r="D8" s="14" t="s">
        <v>548</v>
      </c>
      <c r="E8" s="133">
        <v>18</v>
      </c>
      <c r="F8" s="133">
        <f t="shared" si="0"/>
        <v>450</v>
      </c>
      <c r="G8" s="133">
        <v>5</v>
      </c>
      <c r="H8" s="133">
        <f t="shared" si="1"/>
        <v>455</v>
      </c>
      <c r="I8" s="133">
        <v>455</v>
      </c>
      <c r="J8" s="133">
        <v>0</v>
      </c>
      <c r="K8" s="133">
        <v>0</v>
      </c>
      <c r="L8" s="133">
        <v>0</v>
      </c>
      <c r="N8" s="133">
        <v>495</v>
      </c>
      <c r="O8" s="133">
        <f t="shared" si="2"/>
        <v>495</v>
      </c>
      <c r="P8" s="133">
        <f t="shared" si="3"/>
        <v>950</v>
      </c>
      <c r="R8">
        <v>0.0332</v>
      </c>
      <c r="S8" s="116">
        <f t="shared" si="4"/>
        <v>16.434</v>
      </c>
    </row>
    <row r="9" spans="1:19" ht="12" customHeight="1">
      <c r="A9" s="23">
        <v>6</v>
      </c>
      <c r="B9" s="1" t="s">
        <v>247</v>
      </c>
      <c r="C9" s="14" t="s">
        <v>549</v>
      </c>
      <c r="D9" s="14" t="s">
        <v>555</v>
      </c>
      <c r="E9" s="133">
        <v>6</v>
      </c>
      <c r="F9" s="133">
        <f t="shared" si="0"/>
        <v>150</v>
      </c>
      <c r="G9" s="133">
        <v>2</v>
      </c>
      <c r="H9" s="133">
        <f t="shared" si="1"/>
        <v>152</v>
      </c>
      <c r="I9" s="133">
        <v>152</v>
      </c>
      <c r="J9" s="133">
        <v>0</v>
      </c>
      <c r="K9" s="133">
        <v>0</v>
      </c>
      <c r="L9" s="133">
        <v>0</v>
      </c>
      <c r="N9" s="133">
        <v>98</v>
      </c>
      <c r="O9" s="133">
        <f t="shared" si="2"/>
        <v>98</v>
      </c>
      <c r="P9" s="133">
        <f t="shared" si="3"/>
        <v>250</v>
      </c>
      <c r="R9">
        <v>0.1317</v>
      </c>
      <c r="S9" s="116">
        <f t="shared" si="4"/>
        <v>12.906600000000001</v>
      </c>
    </row>
    <row r="10" spans="1:19" ht="12" customHeight="1">
      <c r="A10" s="23">
        <v>7</v>
      </c>
      <c r="B10" s="1" t="s">
        <v>181</v>
      </c>
      <c r="C10" s="14" t="s">
        <v>616</v>
      </c>
      <c r="D10" s="14" t="s">
        <v>559</v>
      </c>
      <c r="E10" s="133">
        <v>1</v>
      </c>
      <c r="F10" s="133">
        <f t="shared" si="0"/>
        <v>25</v>
      </c>
      <c r="G10" s="133">
        <v>0</v>
      </c>
      <c r="H10" s="133">
        <f t="shared" si="1"/>
        <v>25</v>
      </c>
      <c r="I10" s="133">
        <v>2</v>
      </c>
      <c r="J10" s="133">
        <v>23</v>
      </c>
      <c r="K10" s="133">
        <v>2</v>
      </c>
      <c r="L10" s="133">
        <f aca="true" t="shared" si="5" ref="L10:L15">J10-K10</f>
        <v>21</v>
      </c>
      <c r="M10" s="133">
        <v>17</v>
      </c>
      <c r="N10" s="133">
        <v>0</v>
      </c>
      <c r="O10" s="133">
        <f t="shared" si="2"/>
        <v>17</v>
      </c>
      <c r="P10" s="133">
        <f t="shared" si="3"/>
        <v>21</v>
      </c>
      <c r="Q10" s="133">
        <v>4</v>
      </c>
      <c r="R10">
        <v>8.85</v>
      </c>
      <c r="S10" s="116">
        <f t="shared" si="4"/>
        <v>150.45</v>
      </c>
    </row>
    <row r="11" spans="1:19" ht="11.25" customHeight="1">
      <c r="A11" s="23">
        <v>8</v>
      </c>
      <c r="B11" s="1" t="s">
        <v>151</v>
      </c>
      <c r="C11" s="14" t="s">
        <v>617</v>
      </c>
      <c r="D11" s="14" t="s">
        <v>565</v>
      </c>
      <c r="E11" s="133">
        <v>1</v>
      </c>
      <c r="F11" s="133">
        <f t="shared" si="0"/>
        <v>25</v>
      </c>
      <c r="G11" s="133">
        <v>0</v>
      </c>
      <c r="H11" s="133">
        <f t="shared" si="1"/>
        <v>25</v>
      </c>
      <c r="I11" s="133">
        <v>2</v>
      </c>
      <c r="J11" s="133">
        <v>23</v>
      </c>
      <c r="K11" s="133">
        <v>2</v>
      </c>
      <c r="L11" s="133">
        <f t="shared" si="5"/>
        <v>21</v>
      </c>
      <c r="M11" s="133">
        <v>17</v>
      </c>
      <c r="N11" s="133">
        <v>0</v>
      </c>
      <c r="O11" s="133">
        <f t="shared" si="2"/>
        <v>17</v>
      </c>
      <c r="P11" s="133">
        <f t="shared" si="3"/>
        <v>21</v>
      </c>
      <c r="Q11" s="133">
        <v>4</v>
      </c>
      <c r="R11">
        <v>9.75</v>
      </c>
      <c r="S11" s="116">
        <f t="shared" si="4"/>
        <v>165.75</v>
      </c>
    </row>
    <row r="12" spans="1:23" ht="11.25" customHeight="1">
      <c r="A12">
        <v>9</v>
      </c>
      <c r="B12" s="1" t="s">
        <v>152</v>
      </c>
      <c r="C12" s="14" t="s">
        <v>618</v>
      </c>
      <c r="D12" s="14" t="s">
        <v>560</v>
      </c>
      <c r="E12" s="133">
        <v>1</v>
      </c>
      <c r="F12" s="133">
        <f t="shared" si="0"/>
        <v>25</v>
      </c>
      <c r="G12" s="133">
        <v>0</v>
      </c>
      <c r="H12" s="133">
        <f t="shared" si="1"/>
        <v>25</v>
      </c>
      <c r="I12" s="133">
        <v>2</v>
      </c>
      <c r="J12" s="133">
        <v>23</v>
      </c>
      <c r="K12" s="133">
        <v>2</v>
      </c>
      <c r="L12" s="133">
        <f t="shared" si="5"/>
        <v>21</v>
      </c>
      <c r="M12" s="133">
        <v>17</v>
      </c>
      <c r="N12" s="133">
        <v>0</v>
      </c>
      <c r="O12" s="133">
        <f t="shared" si="2"/>
        <v>17</v>
      </c>
      <c r="P12" s="133">
        <f t="shared" si="3"/>
        <v>21</v>
      </c>
      <c r="Q12" s="133">
        <v>4</v>
      </c>
      <c r="R12">
        <v>8.75</v>
      </c>
      <c r="S12" s="116">
        <f t="shared" si="4"/>
        <v>148.75</v>
      </c>
      <c r="W12" s="76"/>
    </row>
    <row r="13" spans="1:23" ht="12.75">
      <c r="A13">
        <v>10</v>
      </c>
      <c r="B13" s="1" t="s">
        <v>153</v>
      </c>
      <c r="C13" s="14" t="s">
        <v>633</v>
      </c>
      <c r="D13" s="14" t="s">
        <v>566</v>
      </c>
      <c r="E13" s="133">
        <v>1</v>
      </c>
      <c r="F13" s="133">
        <f t="shared" si="0"/>
        <v>25</v>
      </c>
      <c r="G13" s="133">
        <v>0</v>
      </c>
      <c r="H13" s="133">
        <f t="shared" si="1"/>
        <v>25</v>
      </c>
      <c r="I13" s="133">
        <v>2</v>
      </c>
      <c r="J13" s="133">
        <v>23</v>
      </c>
      <c r="K13" s="133">
        <v>2</v>
      </c>
      <c r="L13" s="133">
        <f t="shared" si="5"/>
        <v>21</v>
      </c>
      <c r="M13" s="133">
        <v>17</v>
      </c>
      <c r="N13" s="133">
        <v>0</v>
      </c>
      <c r="O13" s="133">
        <f t="shared" si="2"/>
        <v>17</v>
      </c>
      <c r="P13" s="133">
        <f t="shared" si="3"/>
        <v>21</v>
      </c>
      <c r="Q13" s="133">
        <v>4</v>
      </c>
      <c r="R13">
        <v>9.5</v>
      </c>
      <c r="S13" s="116">
        <f t="shared" si="4"/>
        <v>161.5</v>
      </c>
      <c r="W13" s="76"/>
    </row>
    <row r="14" spans="1:23" ht="12.75">
      <c r="A14">
        <v>11</v>
      </c>
      <c r="B14" s="1" t="s">
        <v>154</v>
      </c>
      <c r="C14" s="14" t="s">
        <v>264</v>
      </c>
      <c r="D14" s="14" t="s">
        <v>561</v>
      </c>
      <c r="E14" s="133">
        <v>1</v>
      </c>
      <c r="F14" s="133">
        <f t="shared" si="0"/>
        <v>25</v>
      </c>
      <c r="G14" s="133">
        <v>0</v>
      </c>
      <c r="H14" s="133">
        <f t="shared" si="1"/>
        <v>25</v>
      </c>
      <c r="I14" s="133">
        <v>2</v>
      </c>
      <c r="J14" s="133">
        <v>23</v>
      </c>
      <c r="K14" s="133">
        <v>2</v>
      </c>
      <c r="L14" s="133">
        <f t="shared" si="5"/>
        <v>21</v>
      </c>
      <c r="M14" s="133">
        <v>17</v>
      </c>
      <c r="N14" s="133">
        <v>0</v>
      </c>
      <c r="O14" s="133">
        <f t="shared" si="2"/>
        <v>17</v>
      </c>
      <c r="P14" s="133">
        <f t="shared" si="3"/>
        <v>21</v>
      </c>
      <c r="Q14" s="133">
        <v>4</v>
      </c>
      <c r="R14">
        <v>8.95</v>
      </c>
      <c r="S14" s="116">
        <f t="shared" si="4"/>
        <v>152.14999999999998</v>
      </c>
      <c r="W14" s="76"/>
    </row>
    <row r="15" spans="1:19" ht="12.75">
      <c r="A15">
        <v>12</v>
      </c>
      <c r="B15" s="1" t="s">
        <v>155</v>
      </c>
      <c r="C15" s="14" t="s">
        <v>267</v>
      </c>
      <c r="D15" s="14" t="s">
        <v>567</v>
      </c>
      <c r="E15" s="133">
        <v>1</v>
      </c>
      <c r="F15" s="133">
        <f t="shared" si="0"/>
        <v>25</v>
      </c>
      <c r="G15" s="133">
        <v>0</v>
      </c>
      <c r="H15" s="133">
        <f t="shared" si="1"/>
        <v>25</v>
      </c>
      <c r="I15" s="133">
        <v>2</v>
      </c>
      <c r="J15" s="133">
        <v>23</v>
      </c>
      <c r="K15" s="133">
        <v>2</v>
      </c>
      <c r="L15" s="133">
        <f t="shared" si="5"/>
        <v>21</v>
      </c>
      <c r="M15" s="133">
        <v>17</v>
      </c>
      <c r="N15" s="133">
        <v>0</v>
      </c>
      <c r="O15" s="133">
        <f t="shared" si="2"/>
        <v>17</v>
      </c>
      <c r="P15" s="133">
        <f t="shared" si="3"/>
        <v>21</v>
      </c>
      <c r="Q15" s="133">
        <v>4</v>
      </c>
      <c r="R15">
        <v>9.85</v>
      </c>
      <c r="S15" s="116">
        <f t="shared" si="4"/>
        <v>167.45</v>
      </c>
    </row>
    <row r="16" spans="1:19" ht="12.75">
      <c r="A16" s="22">
        <v>13</v>
      </c>
      <c r="B16" s="1" t="s">
        <v>14</v>
      </c>
      <c r="C16" s="14" t="s">
        <v>272</v>
      </c>
      <c r="D16" s="14" t="s">
        <v>568</v>
      </c>
      <c r="E16" s="133">
        <v>1</v>
      </c>
      <c r="F16" s="133">
        <f t="shared" si="0"/>
        <v>25</v>
      </c>
      <c r="G16" s="133">
        <v>0</v>
      </c>
      <c r="H16" s="133">
        <f t="shared" si="1"/>
        <v>25</v>
      </c>
      <c r="I16" s="133">
        <v>2</v>
      </c>
      <c r="J16" s="133">
        <v>23</v>
      </c>
      <c r="K16" s="133">
        <v>23</v>
      </c>
      <c r="L16" s="133">
        <v>0</v>
      </c>
      <c r="M16" s="133">
        <v>0</v>
      </c>
      <c r="N16" s="133">
        <v>3</v>
      </c>
      <c r="O16" s="133">
        <f t="shared" si="2"/>
        <v>3</v>
      </c>
      <c r="P16" s="133">
        <f t="shared" si="3"/>
        <v>28</v>
      </c>
      <c r="R16">
        <v>19.3</v>
      </c>
      <c r="S16" s="116">
        <f t="shared" si="4"/>
        <v>57.900000000000006</v>
      </c>
    </row>
    <row r="17" spans="1:19" ht="12.75">
      <c r="A17">
        <v>14</v>
      </c>
      <c r="B17" s="1" t="s">
        <v>15</v>
      </c>
      <c r="C17" s="14" t="s">
        <v>273</v>
      </c>
      <c r="D17" s="14" t="s">
        <v>569</v>
      </c>
      <c r="E17" s="133">
        <v>1</v>
      </c>
      <c r="F17" s="133">
        <f t="shared" si="0"/>
        <v>25</v>
      </c>
      <c r="G17" s="133">
        <v>0</v>
      </c>
      <c r="H17" s="133">
        <f t="shared" si="1"/>
        <v>25</v>
      </c>
      <c r="I17" s="133">
        <v>2</v>
      </c>
      <c r="J17" s="133">
        <v>23</v>
      </c>
      <c r="K17" s="133">
        <v>23</v>
      </c>
      <c r="L17" s="133">
        <v>0</v>
      </c>
      <c r="M17" s="133">
        <v>0</v>
      </c>
      <c r="N17" s="133">
        <v>3</v>
      </c>
      <c r="O17" s="133">
        <f t="shared" si="2"/>
        <v>3</v>
      </c>
      <c r="P17" s="133">
        <f t="shared" si="3"/>
        <v>28</v>
      </c>
      <c r="R17">
        <v>18.3</v>
      </c>
      <c r="S17" s="116">
        <f t="shared" si="4"/>
        <v>54.900000000000006</v>
      </c>
    </row>
    <row r="18" spans="1:19" ht="38.25">
      <c r="A18">
        <v>15</v>
      </c>
      <c r="B18" s="1" t="s">
        <v>598</v>
      </c>
      <c r="C18" s="14" t="s">
        <v>750</v>
      </c>
      <c r="D18" s="14" t="s">
        <v>570</v>
      </c>
      <c r="E18" s="133">
        <v>1</v>
      </c>
      <c r="F18" s="133">
        <f t="shared" si="0"/>
        <v>25</v>
      </c>
      <c r="G18" s="133">
        <v>0</v>
      </c>
      <c r="H18" s="133">
        <f t="shared" si="1"/>
        <v>25</v>
      </c>
      <c r="I18" s="133">
        <v>2</v>
      </c>
      <c r="J18" s="133">
        <v>23</v>
      </c>
      <c r="K18" s="133">
        <v>2</v>
      </c>
      <c r="L18" s="133">
        <f aca="true" t="shared" si="6" ref="L18:L23">J18-K18</f>
        <v>21</v>
      </c>
      <c r="M18" s="133">
        <v>21</v>
      </c>
      <c r="N18" s="133">
        <v>0</v>
      </c>
      <c r="O18" s="133">
        <f t="shared" si="2"/>
        <v>21</v>
      </c>
      <c r="P18" s="133">
        <f t="shared" si="3"/>
        <v>25</v>
      </c>
      <c r="R18">
        <f>46.2+90+17.35</f>
        <v>153.54999999999998</v>
      </c>
      <c r="S18" s="116">
        <f t="shared" si="4"/>
        <v>3224.5499999999997</v>
      </c>
    </row>
    <row r="19" spans="1:19" ht="12.75">
      <c r="A19">
        <v>16</v>
      </c>
      <c r="B19" s="1" t="s">
        <v>251</v>
      </c>
      <c r="C19" s="14" t="s">
        <v>725</v>
      </c>
      <c r="D19" s="14" t="s">
        <v>571</v>
      </c>
      <c r="E19" s="133">
        <v>1</v>
      </c>
      <c r="F19" s="133">
        <f t="shared" si="0"/>
        <v>25</v>
      </c>
      <c r="G19" s="133">
        <v>0</v>
      </c>
      <c r="H19" s="133">
        <f t="shared" si="1"/>
        <v>25</v>
      </c>
      <c r="I19" s="133">
        <v>2</v>
      </c>
      <c r="J19" s="133">
        <v>23</v>
      </c>
      <c r="K19" s="133">
        <v>2</v>
      </c>
      <c r="L19" s="137">
        <f t="shared" si="6"/>
        <v>21</v>
      </c>
      <c r="M19" s="137">
        <v>21</v>
      </c>
      <c r="N19" s="137">
        <v>0</v>
      </c>
      <c r="O19" s="133">
        <f t="shared" si="2"/>
        <v>21</v>
      </c>
      <c r="P19" s="133">
        <f t="shared" si="3"/>
        <v>25</v>
      </c>
      <c r="Q19" s="137"/>
      <c r="R19">
        <v>23.98</v>
      </c>
      <c r="S19" s="116">
        <f t="shared" si="4"/>
        <v>503.58</v>
      </c>
    </row>
    <row r="20" spans="1:19" ht="25.5">
      <c r="A20">
        <v>17</v>
      </c>
      <c r="B20" s="1" t="s">
        <v>600</v>
      </c>
      <c r="C20" s="14" t="s">
        <v>753</v>
      </c>
      <c r="D20" s="14" t="s">
        <v>572</v>
      </c>
      <c r="E20" s="133">
        <v>1</v>
      </c>
      <c r="F20" s="133">
        <f t="shared" si="0"/>
        <v>25</v>
      </c>
      <c r="G20" s="133">
        <v>0</v>
      </c>
      <c r="H20" s="133">
        <f t="shared" si="1"/>
        <v>25</v>
      </c>
      <c r="I20" s="133">
        <v>2</v>
      </c>
      <c r="J20" s="133">
        <v>23</v>
      </c>
      <c r="K20" s="133">
        <v>2</v>
      </c>
      <c r="L20" s="133">
        <f t="shared" si="6"/>
        <v>21</v>
      </c>
      <c r="M20" s="133">
        <v>21</v>
      </c>
      <c r="N20" s="133">
        <v>0</v>
      </c>
      <c r="O20" s="133">
        <f t="shared" si="2"/>
        <v>21</v>
      </c>
      <c r="P20" s="133">
        <f t="shared" si="3"/>
        <v>25</v>
      </c>
      <c r="R20">
        <f>24.81+45+17.38</f>
        <v>87.19</v>
      </c>
      <c r="S20" s="116">
        <f t="shared" si="4"/>
        <v>1830.99</v>
      </c>
    </row>
    <row r="21" spans="1:19" ht="12.75">
      <c r="A21">
        <v>18</v>
      </c>
      <c r="B21" s="1" t="s">
        <v>253</v>
      </c>
      <c r="C21" s="14" t="s">
        <v>726</v>
      </c>
      <c r="D21" s="14" t="s">
        <v>573</v>
      </c>
      <c r="E21" s="133">
        <v>1</v>
      </c>
      <c r="F21" s="133">
        <f t="shared" si="0"/>
        <v>25</v>
      </c>
      <c r="G21" s="133">
        <v>0</v>
      </c>
      <c r="H21" s="133">
        <f t="shared" si="1"/>
        <v>25</v>
      </c>
      <c r="I21" s="133">
        <v>2</v>
      </c>
      <c r="J21" s="133">
        <v>23</v>
      </c>
      <c r="K21" s="133">
        <v>2</v>
      </c>
      <c r="L21" s="137">
        <f t="shared" si="6"/>
        <v>21</v>
      </c>
      <c r="M21" s="137">
        <v>21</v>
      </c>
      <c r="N21" s="137">
        <v>0</v>
      </c>
      <c r="O21" s="133">
        <f t="shared" si="2"/>
        <v>21</v>
      </c>
      <c r="P21" s="133">
        <f t="shared" si="3"/>
        <v>25</v>
      </c>
      <c r="Q21" s="137"/>
      <c r="R21">
        <v>23.98</v>
      </c>
      <c r="S21" s="116">
        <f t="shared" si="4"/>
        <v>503.58</v>
      </c>
    </row>
    <row r="22" spans="1:19" ht="12.75">
      <c r="A22">
        <v>19</v>
      </c>
      <c r="B22" s="1" t="s">
        <v>20</v>
      </c>
      <c r="C22" s="14" t="s">
        <v>751</v>
      </c>
      <c r="D22" s="14" t="s">
        <v>574</v>
      </c>
      <c r="E22" s="133">
        <v>1</v>
      </c>
      <c r="F22" s="133">
        <f t="shared" si="0"/>
        <v>25</v>
      </c>
      <c r="G22" s="133">
        <v>0</v>
      </c>
      <c r="H22" s="133">
        <f t="shared" si="1"/>
        <v>25</v>
      </c>
      <c r="I22" s="133">
        <v>2</v>
      </c>
      <c r="J22" s="133">
        <v>23</v>
      </c>
      <c r="K22" s="133">
        <v>2</v>
      </c>
      <c r="L22" s="133">
        <f t="shared" si="6"/>
        <v>21</v>
      </c>
      <c r="M22" s="133">
        <v>21</v>
      </c>
      <c r="N22" s="133">
        <v>1</v>
      </c>
      <c r="O22" s="133">
        <f t="shared" si="2"/>
        <v>22</v>
      </c>
      <c r="P22" s="133">
        <f t="shared" si="3"/>
        <v>26</v>
      </c>
      <c r="R22">
        <f>46.8+20+13.25+8.71</f>
        <v>88.75999999999999</v>
      </c>
      <c r="S22" s="116">
        <f t="shared" si="4"/>
        <v>1952.7199999999998</v>
      </c>
    </row>
    <row r="23" spans="1:19" ht="12.75">
      <c r="A23">
        <v>20</v>
      </c>
      <c r="B23" s="1" t="s">
        <v>21</v>
      </c>
      <c r="C23" s="14" t="s">
        <v>294</v>
      </c>
      <c r="D23" s="14" t="s">
        <v>575</v>
      </c>
      <c r="E23" s="133">
        <v>1</v>
      </c>
      <c r="F23" s="133">
        <f t="shared" si="0"/>
        <v>25</v>
      </c>
      <c r="G23" s="133">
        <v>0</v>
      </c>
      <c r="H23" s="133">
        <f t="shared" si="1"/>
        <v>25</v>
      </c>
      <c r="I23" s="133">
        <v>2</v>
      </c>
      <c r="J23" s="133">
        <v>23</v>
      </c>
      <c r="K23" s="133">
        <v>23</v>
      </c>
      <c r="L23" s="133">
        <f t="shared" si="6"/>
        <v>0</v>
      </c>
      <c r="N23" s="133">
        <v>1</v>
      </c>
      <c r="O23" s="133">
        <f t="shared" si="2"/>
        <v>1</v>
      </c>
      <c r="P23" s="133">
        <f t="shared" si="3"/>
        <v>26</v>
      </c>
      <c r="R23">
        <v>17.95</v>
      </c>
      <c r="S23" s="116">
        <f t="shared" si="4"/>
        <v>17.95</v>
      </c>
    </row>
    <row r="24" spans="1:19" ht="12.75">
      <c r="A24">
        <v>21</v>
      </c>
      <c r="B24" s="1" t="s">
        <v>191</v>
      </c>
      <c r="C24" s="14" t="s">
        <v>549</v>
      </c>
      <c r="D24" s="14" t="s">
        <v>576</v>
      </c>
      <c r="E24" s="133">
        <v>96</v>
      </c>
      <c r="F24" s="133">
        <f t="shared" si="0"/>
        <v>2400</v>
      </c>
      <c r="G24" s="133">
        <v>20</v>
      </c>
      <c r="H24" s="133">
        <f t="shared" si="1"/>
        <v>2420</v>
      </c>
      <c r="I24" s="133">
        <v>2420</v>
      </c>
      <c r="J24" s="133">
        <v>0</v>
      </c>
      <c r="K24" s="133">
        <v>0</v>
      </c>
      <c r="L24" s="133">
        <f>J24-K24</f>
        <v>0</v>
      </c>
      <c r="N24" s="133">
        <v>1375</v>
      </c>
      <c r="O24" s="133">
        <f t="shared" si="2"/>
        <v>1375</v>
      </c>
      <c r="P24" s="133">
        <f t="shared" si="3"/>
        <v>3795</v>
      </c>
      <c r="R24">
        <v>0.1375</v>
      </c>
      <c r="S24" s="116">
        <f t="shared" si="4"/>
        <v>189.06250000000003</v>
      </c>
    </row>
    <row r="25" spans="1:19" ht="12.75">
      <c r="A25">
        <v>22</v>
      </c>
      <c r="B25" s="1" t="s">
        <v>228</v>
      </c>
      <c r="C25" s="14" t="s">
        <v>549</v>
      </c>
      <c r="D25" s="14" t="s">
        <v>577</v>
      </c>
      <c r="E25" s="133">
        <v>96</v>
      </c>
      <c r="F25" s="133">
        <f t="shared" si="0"/>
        <v>2400</v>
      </c>
      <c r="G25" s="133">
        <v>20</v>
      </c>
      <c r="H25" s="133">
        <f t="shared" si="1"/>
        <v>2420</v>
      </c>
      <c r="I25" s="133">
        <v>2420</v>
      </c>
      <c r="J25" s="133">
        <v>0</v>
      </c>
      <c r="K25" s="133">
        <v>0</v>
      </c>
      <c r="L25" s="133">
        <f>J25-K25</f>
        <v>0</v>
      </c>
      <c r="N25" s="133">
        <v>310</v>
      </c>
      <c r="O25" s="133">
        <f t="shared" si="2"/>
        <v>310</v>
      </c>
      <c r="P25" s="133">
        <f t="shared" si="3"/>
        <v>2730</v>
      </c>
      <c r="R25">
        <v>0.0186</v>
      </c>
      <c r="S25" s="116">
        <f t="shared" si="4"/>
        <v>5.765999999999999</v>
      </c>
    </row>
    <row r="26" spans="1:19" ht="12.75">
      <c r="A26">
        <v>23</v>
      </c>
      <c r="B26" s="1" t="s">
        <v>23</v>
      </c>
      <c r="C26" s="14" t="s">
        <v>622</v>
      </c>
      <c r="D26" s="14" t="s">
        <v>578</v>
      </c>
      <c r="E26" s="133">
        <v>2</v>
      </c>
      <c r="F26" s="133">
        <f t="shared" si="0"/>
        <v>50</v>
      </c>
      <c r="G26" s="133">
        <v>0</v>
      </c>
      <c r="H26" s="133">
        <f t="shared" si="1"/>
        <v>50</v>
      </c>
      <c r="I26" s="133">
        <v>4</v>
      </c>
      <c r="J26" s="133">
        <v>46</v>
      </c>
      <c r="K26" s="133">
        <v>46</v>
      </c>
      <c r="L26" s="133">
        <f>J26-K26</f>
        <v>0</v>
      </c>
      <c r="N26" s="133">
        <v>1</v>
      </c>
      <c r="O26" s="133">
        <f t="shared" si="2"/>
        <v>1</v>
      </c>
      <c r="P26" s="133">
        <f t="shared" si="3"/>
        <v>51</v>
      </c>
      <c r="R26">
        <v>6.32</v>
      </c>
      <c r="S26" s="116">
        <f t="shared" si="4"/>
        <v>6.32</v>
      </c>
    </row>
    <row r="27" spans="1:20" ht="12.75">
      <c r="A27">
        <v>24</v>
      </c>
      <c r="B27" s="1" t="s">
        <v>438</v>
      </c>
      <c r="C27" s="14" t="s">
        <v>276</v>
      </c>
      <c r="D27" s="14" t="s">
        <v>579</v>
      </c>
      <c r="E27" s="133">
        <v>1</v>
      </c>
      <c r="F27" s="133">
        <f t="shared" si="0"/>
        <v>25</v>
      </c>
      <c r="G27" s="133">
        <v>0</v>
      </c>
      <c r="H27" s="133">
        <f t="shared" si="1"/>
        <v>25</v>
      </c>
      <c r="I27" s="133">
        <v>2</v>
      </c>
      <c r="J27" s="133">
        <v>23</v>
      </c>
      <c r="K27" s="133">
        <v>2</v>
      </c>
      <c r="L27" s="133">
        <f aca="true" t="shared" si="7" ref="L27:L49">J27-K27</f>
        <v>21</v>
      </c>
      <c r="M27" s="133">
        <v>21</v>
      </c>
      <c r="N27" s="133">
        <v>37</v>
      </c>
      <c r="O27" s="133">
        <f>SUM(M27:N27)</f>
        <v>58</v>
      </c>
      <c r="P27" s="133">
        <f t="shared" si="3"/>
        <v>62</v>
      </c>
      <c r="R27" s="4">
        <f>(50*74.62+8*92)/58</f>
        <v>77.01724137931035</v>
      </c>
      <c r="S27" s="116">
        <f t="shared" si="4"/>
        <v>4467</v>
      </c>
      <c r="T27" s="1" t="s">
        <v>947</v>
      </c>
    </row>
    <row r="28" spans="1:20" ht="12.75">
      <c r="A28">
        <v>25</v>
      </c>
      <c r="B28" s="1" t="s">
        <v>25</v>
      </c>
      <c r="C28" s="14" t="s">
        <v>277</v>
      </c>
      <c r="D28" s="14" t="s">
        <v>580</v>
      </c>
      <c r="E28" s="133">
        <v>1</v>
      </c>
      <c r="F28" s="133">
        <f t="shared" si="0"/>
        <v>25</v>
      </c>
      <c r="G28" s="133">
        <v>0</v>
      </c>
      <c r="H28" s="133">
        <f t="shared" si="1"/>
        <v>25</v>
      </c>
      <c r="I28" s="133">
        <v>2</v>
      </c>
      <c r="J28" s="133">
        <v>23</v>
      </c>
      <c r="K28" s="133">
        <v>2</v>
      </c>
      <c r="L28" s="133">
        <f t="shared" si="7"/>
        <v>21</v>
      </c>
      <c r="M28" s="133">
        <v>21</v>
      </c>
      <c r="N28" s="133">
        <v>130</v>
      </c>
      <c r="O28" s="133">
        <f aca="true" t="shared" si="8" ref="O28:O51">SUM(M28:N28)</f>
        <v>151</v>
      </c>
      <c r="P28" s="133">
        <f t="shared" si="3"/>
        <v>155</v>
      </c>
      <c r="R28">
        <v>22.56</v>
      </c>
      <c r="S28" s="116">
        <f t="shared" si="4"/>
        <v>3406.56</v>
      </c>
      <c r="T28" s="1" t="s">
        <v>927</v>
      </c>
    </row>
    <row r="29" spans="1:19" ht="12.75">
      <c r="A29">
        <v>26</v>
      </c>
      <c r="B29" s="1" t="s">
        <v>26</v>
      </c>
      <c r="C29" s="14" t="s">
        <v>615</v>
      </c>
      <c r="D29" s="13" t="s">
        <v>554</v>
      </c>
      <c r="E29" s="133">
        <v>2</v>
      </c>
      <c r="F29" s="133">
        <f t="shared" si="0"/>
        <v>50</v>
      </c>
      <c r="G29" s="133">
        <v>0</v>
      </c>
      <c r="H29" s="133">
        <f t="shared" si="1"/>
        <v>50</v>
      </c>
      <c r="I29" s="133">
        <v>4</v>
      </c>
      <c r="J29" s="133">
        <v>46</v>
      </c>
      <c r="K29" s="133">
        <v>4</v>
      </c>
      <c r="L29" s="133">
        <f t="shared" si="7"/>
        <v>42</v>
      </c>
      <c r="M29" s="133">
        <v>42</v>
      </c>
      <c r="N29" s="133">
        <v>52</v>
      </c>
      <c r="O29" s="133">
        <f t="shared" si="8"/>
        <v>94</v>
      </c>
      <c r="P29" s="133">
        <f t="shared" si="3"/>
        <v>102</v>
      </c>
      <c r="R29">
        <v>9.8</v>
      </c>
      <c r="S29" s="116">
        <f t="shared" si="4"/>
        <v>921.2</v>
      </c>
    </row>
    <row r="30" spans="1:19" ht="12.75">
      <c r="A30">
        <v>27</v>
      </c>
      <c r="B30" s="1" t="s">
        <v>27</v>
      </c>
      <c r="C30" s="14" t="s">
        <v>614</v>
      </c>
      <c r="D30" s="14" t="s">
        <v>553</v>
      </c>
      <c r="E30" s="133">
        <v>2</v>
      </c>
      <c r="F30" s="133">
        <f t="shared" si="0"/>
        <v>50</v>
      </c>
      <c r="G30" s="133">
        <v>0</v>
      </c>
      <c r="H30" s="133">
        <f t="shared" si="1"/>
        <v>50</v>
      </c>
      <c r="I30" s="133">
        <v>4</v>
      </c>
      <c r="J30" s="133">
        <v>46</v>
      </c>
      <c r="K30" s="133">
        <v>4</v>
      </c>
      <c r="L30" s="133">
        <f t="shared" si="7"/>
        <v>42</v>
      </c>
      <c r="M30" s="133">
        <v>42</v>
      </c>
      <c r="N30" s="133">
        <v>42</v>
      </c>
      <c r="O30" s="133">
        <f t="shared" si="8"/>
        <v>84</v>
      </c>
      <c r="P30" s="133">
        <f t="shared" si="3"/>
        <v>92</v>
      </c>
      <c r="R30">
        <v>9.12</v>
      </c>
      <c r="S30" s="116">
        <f t="shared" si="4"/>
        <v>766.0799999999999</v>
      </c>
    </row>
    <row r="31" spans="1:19" ht="12.75">
      <c r="A31">
        <v>28</v>
      </c>
      <c r="B31" s="1" t="s">
        <v>229</v>
      </c>
      <c r="C31" s="14" t="s">
        <v>549</v>
      </c>
      <c r="D31" s="14" t="s">
        <v>581</v>
      </c>
      <c r="E31" s="133">
        <v>28</v>
      </c>
      <c r="F31" s="133">
        <f t="shared" si="0"/>
        <v>700</v>
      </c>
      <c r="G31" s="133">
        <v>10</v>
      </c>
      <c r="H31" s="133">
        <f t="shared" si="1"/>
        <v>710</v>
      </c>
      <c r="I31" s="133">
        <v>710</v>
      </c>
      <c r="J31" s="133">
        <v>0</v>
      </c>
      <c r="K31" s="133">
        <v>0</v>
      </c>
      <c r="L31" s="133">
        <f t="shared" si="7"/>
        <v>0</v>
      </c>
      <c r="N31" s="133">
        <v>296</v>
      </c>
      <c r="O31" s="133">
        <f t="shared" si="8"/>
        <v>296</v>
      </c>
      <c r="P31" s="133">
        <f t="shared" si="3"/>
        <v>1006</v>
      </c>
      <c r="R31">
        <v>0.165</v>
      </c>
      <c r="S31" s="116">
        <f t="shared" si="4"/>
        <v>48.84</v>
      </c>
    </row>
    <row r="32" spans="1:19" ht="12.75">
      <c r="A32">
        <v>29</v>
      </c>
      <c r="B32" s="1" t="s">
        <v>551</v>
      </c>
      <c r="C32" s="14" t="s">
        <v>549</v>
      </c>
      <c r="D32" s="13" t="s">
        <v>601</v>
      </c>
      <c r="E32" s="133">
        <v>24</v>
      </c>
      <c r="F32" s="133">
        <f t="shared" si="0"/>
        <v>600</v>
      </c>
      <c r="G32" s="133">
        <v>10</v>
      </c>
      <c r="H32" s="133">
        <f t="shared" si="1"/>
        <v>610</v>
      </c>
      <c r="I32" s="133">
        <v>610</v>
      </c>
      <c r="J32" s="133">
        <v>0</v>
      </c>
      <c r="K32" s="133">
        <v>0</v>
      </c>
      <c r="L32" s="133">
        <f t="shared" si="7"/>
        <v>0</v>
      </c>
      <c r="N32" s="133">
        <v>495</v>
      </c>
      <c r="O32" s="133">
        <f t="shared" si="8"/>
        <v>495</v>
      </c>
      <c r="P32" s="133">
        <f t="shared" si="3"/>
        <v>1105</v>
      </c>
      <c r="R32">
        <v>0.0152</v>
      </c>
      <c r="S32" s="116">
        <f t="shared" si="4"/>
        <v>7.524</v>
      </c>
    </row>
    <row r="33" spans="1:19" ht="12.75">
      <c r="A33">
        <v>30</v>
      </c>
      <c r="B33" s="1" t="s">
        <v>249</v>
      </c>
      <c r="C33" s="14" t="s">
        <v>549</v>
      </c>
      <c r="D33" s="14" t="s">
        <v>582</v>
      </c>
      <c r="E33" s="133">
        <v>6</v>
      </c>
      <c r="F33" s="133">
        <f t="shared" si="0"/>
        <v>150</v>
      </c>
      <c r="G33" s="133">
        <v>4</v>
      </c>
      <c r="H33" s="133">
        <f t="shared" si="1"/>
        <v>154</v>
      </c>
      <c r="I33" s="133">
        <v>154</v>
      </c>
      <c r="J33" s="133">
        <v>0</v>
      </c>
      <c r="K33" s="133">
        <v>0</v>
      </c>
      <c r="L33" s="133">
        <f t="shared" si="7"/>
        <v>0</v>
      </c>
      <c r="N33" s="133">
        <v>96</v>
      </c>
      <c r="O33" s="133">
        <f t="shared" si="8"/>
        <v>96</v>
      </c>
      <c r="P33" s="133">
        <f t="shared" si="3"/>
        <v>250</v>
      </c>
      <c r="R33">
        <v>0.0645</v>
      </c>
      <c r="S33" s="116">
        <f t="shared" si="4"/>
        <v>6.192</v>
      </c>
    </row>
    <row r="34" spans="1:19" ht="12.75">
      <c r="A34">
        <v>31</v>
      </c>
      <c r="B34" s="1" t="s">
        <v>602</v>
      </c>
      <c r="C34" s="14" t="s">
        <v>623</v>
      </c>
      <c r="D34" s="14" t="s">
        <v>583</v>
      </c>
      <c r="E34" s="133">
        <v>4</v>
      </c>
      <c r="F34" s="133">
        <f t="shared" si="0"/>
        <v>100</v>
      </c>
      <c r="G34" s="133">
        <v>0</v>
      </c>
      <c r="H34" s="133">
        <f t="shared" si="1"/>
        <v>100</v>
      </c>
      <c r="I34" s="133">
        <v>8</v>
      </c>
      <c r="J34" s="133">
        <v>92</v>
      </c>
      <c r="K34" s="133">
        <v>92</v>
      </c>
      <c r="L34" s="133">
        <f t="shared" si="7"/>
        <v>0</v>
      </c>
      <c r="N34" s="133">
        <v>2</v>
      </c>
      <c r="O34" s="133">
        <f t="shared" si="8"/>
        <v>2</v>
      </c>
      <c r="P34" s="133">
        <f t="shared" si="3"/>
        <v>102</v>
      </c>
      <c r="R34">
        <f>3.7+0.5</f>
        <v>4.2</v>
      </c>
      <c r="S34" s="116">
        <f t="shared" si="4"/>
        <v>8.4</v>
      </c>
    </row>
    <row r="35" spans="1:19" ht="12.75">
      <c r="A35">
        <v>32</v>
      </c>
      <c r="B35" s="1" t="s">
        <v>157</v>
      </c>
      <c r="C35" s="14" t="s">
        <v>624</v>
      </c>
      <c r="D35" s="14" t="s">
        <v>556</v>
      </c>
      <c r="E35" s="133">
        <v>2</v>
      </c>
      <c r="F35" s="133">
        <f t="shared" si="0"/>
        <v>50</v>
      </c>
      <c r="G35" s="133">
        <v>0</v>
      </c>
      <c r="H35" s="133">
        <f t="shared" si="1"/>
        <v>50</v>
      </c>
      <c r="I35" s="133">
        <v>4</v>
      </c>
      <c r="J35" s="133">
        <v>46</v>
      </c>
      <c r="K35" s="133">
        <v>4</v>
      </c>
      <c r="L35" s="133">
        <f t="shared" si="7"/>
        <v>42</v>
      </c>
      <c r="M35" s="133">
        <v>42</v>
      </c>
      <c r="N35" s="133">
        <v>56</v>
      </c>
      <c r="O35" s="133">
        <f t="shared" si="8"/>
        <v>98</v>
      </c>
      <c r="P35" s="133">
        <f t="shared" si="3"/>
        <v>106</v>
      </c>
      <c r="R35">
        <v>16</v>
      </c>
      <c r="S35" s="116">
        <f t="shared" si="4"/>
        <v>1568</v>
      </c>
    </row>
    <row r="36" spans="1:19" ht="12.75">
      <c r="A36">
        <v>33</v>
      </c>
      <c r="B36" s="1" t="s">
        <v>219</v>
      </c>
      <c r="C36" s="14" t="s">
        <v>549</v>
      </c>
      <c r="D36" s="14" t="s">
        <v>564</v>
      </c>
      <c r="E36" s="133">
        <v>2</v>
      </c>
      <c r="F36" s="133">
        <f t="shared" si="0"/>
        <v>50</v>
      </c>
      <c r="G36" s="133">
        <v>2</v>
      </c>
      <c r="H36" s="133">
        <f t="shared" si="1"/>
        <v>52</v>
      </c>
      <c r="I36" s="133">
        <v>52</v>
      </c>
      <c r="J36" s="133">
        <v>0</v>
      </c>
      <c r="K36" s="133">
        <v>0</v>
      </c>
      <c r="L36" s="133">
        <f t="shared" si="7"/>
        <v>0</v>
      </c>
      <c r="N36" s="133">
        <v>35</v>
      </c>
      <c r="O36" s="133">
        <f t="shared" si="8"/>
        <v>35</v>
      </c>
      <c r="P36" s="133">
        <f t="shared" si="3"/>
        <v>87</v>
      </c>
      <c r="R36">
        <v>0.0289</v>
      </c>
      <c r="S36" s="116">
        <f t="shared" si="4"/>
        <v>1.0114999999999998</v>
      </c>
    </row>
    <row r="37" spans="1:19" ht="12.75">
      <c r="A37">
        <v>34</v>
      </c>
      <c r="B37" s="1" t="s">
        <v>924</v>
      </c>
      <c r="C37" s="14" t="s">
        <v>549</v>
      </c>
      <c r="D37" s="14" t="s">
        <v>550</v>
      </c>
      <c r="E37" s="133">
        <v>2</v>
      </c>
      <c r="F37" s="133">
        <f t="shared" si="0"/>
        <v>50</v>
      </c>
      <c r="G37" s="133">
        <v>2</v>
      </c>
      <c r="H37" s="133">
        <f t="shared" si="1"/>
        <v>52</v>
      </c>
      <c r="I37" s="133">
        <v>52</v>
      </c>
      <c r="J37" s="133">
        <v>0</v>
      </c>
      <c r="K37" s="133">
        <v>0</v>
      </c>
      <c r="L37" s="133">
        <f t="shared" si="7"/>
        <v>0</v>
      </c>
      <c r="N37" s="133">
        <v>122</v>
      </c>
      <c r="O37" s="133">
        <f t="shared" si="8"/>
        <v>122</v>
      </c>
      <c r="P37" s="133">
        <f t="shared" si="3"/>
        <v>174</v>
      </c>
      <c r="R37">
        <v>0.0548</v>
      </c>
      <c r="S37" s="116">
        <f t="shared" si="4"/>
        <v>6.6856</v>
      </c>
    </row>
    <row r="38" spans="1:25" s="15" customFormat="1" ht="12" customHeight="1">
      <c r="A38" s="15">
        <v>35</v>
      </c>
      <c r="B38" s="16" t="s">
        <v>195</v>
      </c>
      <c r="C38" s="18" t="s">
        <v>215</v>
      </c>
      <c r="D38" s="18" t="s">
        <v>625</v>
      </c>
      <c r="E38" s="138">
        <f>7*0</f>
        <v>0</v>
      </c>
      <c r="F38" s="138">
        <f t="shared" si="0"/>
        <v>0</v>
      </c>
      <c r="G38" s="138">
        <v>0</v>
      </c>
      <c r="H38" s="138">
        <f t="shared" si="1"/>
        <v>0</v>
      </c>
      <c r="I38" s="138">
        <v>0</v>
      </c>
      <c r="J38" s="138">
        <v>0</v>
      </c>
      <c r="K38" s="138">
        <v>0</v>
      </c>
      <c r="L38" s="138">
        <f t="shared" si="7"/>
        <v>0</v>
      </c>
      <c r="M38" s="138"/>
      <c r="N38" s="138"/>
      <c r="O38" s="138"/>
      <c r="P38" s="133">
        <f t="shared" si="3"/>
        <v>0</v>
      </c>
      <c r="Q38" s="138"/>
      <c r="S38" s="117"/>
      <c r="T38" s="16"/>
      <c r="U38"/>
      <c r="V38"/>
      <c r="W38"/>
      <c r="X38"/>
      <c r="Y38"/>
    </row>
    <row r="39" spans="1:19" ht="12.75">
      <c r="A39">
        <v>36</v>
      </c>
      <c r="B39" s="1" t="s">
        <v>650</v>
      </c>
      <c r="C39" s="14" t="s">
        <v>610</v>
      </c>
      <c r="D39" s="14" t="s">
        <v>584</v>
      </c>
      <c r="E39" s="133">
        <v>2</v>
      </c>
      <c r="F39" s="133">
        <f t="shared" si="0"/>
        <v>50</v>
      </c>
      <c r="G39" s="133">
        <v>0</v>
      </c>
      <c r="H39" s="133">
        <f t="shared" si="1"/>
        <v>50</v>
      </c>
      <c r="I39" s="133">
        <v>50</v>
      </c>
      <c r="J39" s="133">
        <v>0</v>
      </c>
      <c r="K39" s="133">
        <v>0</v>
      </c>
      <c r="L39" s="133">
        <f t="shared" si="7"/>
        <v>0</v>
      </c>
      <c r="N39" s="133">
        <v>1144</v>
      </c>
      <c r="O39" s="133">
        <f t="shared" si="8"/>
        <v>1144</v>
      </c>
      <c r="P39" s="133">
        <f t="shared" si="3"/>
        <v>1194</v>
      </c>
      <c r="R39">
        <v>0.76</v>
      </c>
      <c r="S39" s="116">
        <f t="shared" si="4"/>
        <v>869.44</v>
      </c>
    </row>
    <row r="40" spans="1:25" ht="12.75">
      <c r="A40" s="1">
        <v>37</v>
      </c>
      <c r="B40" s="1" t="s">
        <v>653</v>
      </c>
      <c r="C40" s="13" t="s">
        <v>610</v>
      </c>
      <c r="D40" s="13" t="s">
        <v>585</v>
      </c>
      <c r="E40" s="139">
        <v>2</v>
      </c>
      <c r="F40" s="139">
        <f t="shared" si="0"/>
        <v>50</v>
      </c>
      <c r="G40" s="139">
        <v>0</v>
      </c>
      <c r="H40" s="139">
        <f t="shared" si="1"/>
        <v>50</v>
      </c>
      <c r="I40" s="139">
        <v>50</v>
      </c>
      <c r="J40" s="139">
        <v>0</v>
      </c>
      <c r="K40" s="139">
        <v>0</v>
      </c>
      <c r="L40" s="133">
        <f t="shared" si="7"/>
        <v>0</v>
      </c>
      <c r="N40" s="133">
        <v>1145</v>
      </c>
      <c r="O40" s="133">
        <f t="shared" si="8"/>
        <v>1145</v>
      </c>
      <c r="P40" s="133">
        <f t="shared" si="3"/>
        <v>1195</v>
      </c>
      <c r="R40" s="1">
        <v>0.79</v>
      </c>
      <c r="S40" s="116">
        <f t="shared" si="4"/>
        <v>904.5500000000001</v>
      </c>
      <c r="U40" s="1"/>
      <c r="V40" s="1"/>
      <c r="W40" s="1"/>
      <c r="X40" s="1"/>
      <c r="Y40" s="1"/>
    </row>
    <row r="41" spans="1:19" ht="12.75">
      <c r="A41">
        <v>38</v>
      </c>
      <c r="B41" s="1" t="s">
        <v>656</v>
      </c>
      <c r="C41" s="14" t="s">
        <v>610</v>
      </c>
      <c r="D41" s="14" t="s">
        <v>586</v>
      </c>
      <c r="E41" s="133">
        <v>4</v>
      </c>
      <c r="F41" s="133">
        <f t="shared" si="0"/>
        <v>100</v>
      </c>
      <c r="G41" s="133">
        <v>0</v>
      </c>
      <c r="H41" s="133">
        <f t="shared" si="1"/>
        <v>100</v>
      </c>
      <c r="I41" s="133">
        <v>100</v>
      </c>
      <c r="J41" s="133">
        <v>0</v>
      </c>
      <c r="K41" s="133">
        <v>0</v>
      </c>
      <c r="L41" s="133">
        <f t="shared" si="7"/>
        <v>0</v>
      </c>
      <c r="N41" s="133">
        <v>2290</v>
      </c>
      <c r="O41" s="133">
        <f t="shared" si="8"/>
        <v>2290</v>
      </c>
      <c r="P41" s="133">
        <f t="shared" si="3"/>
        <v>2390</v>
      </c>
      <c r="R41">
        <v>0.64</v>
      </c>
      <c r="S41" s="116">
        <f t="shared" si="4"/>
        <v>1465.6000000000001</v>
      </c>
    </row>
    <row r="42" spans="1:19" ht="12.75">
      <c r="A42" s="22">
        <v>39</v>
      </c>
      <c r="B42" s="1" t="s">
        <v>651</v>
      </c>
      <c r="C42" s="14" t="s">
        <v>278</v>
      </c>
      <c r="D42" s="14" t="s">
        <v>587</v>
      </c>
      <c r="E42" s="133">
        <v>1</v>
      </c>
      <c r="F42" s="133">
        <f t="shared" si="0"/>
        <v>25</v>
      </c>
      <c r="G42" s="133">
        <v>0</v>
      </c>
      <c r="H42" s="133">
        <f t="shared" si="1"/>
        <v>25</v>
      </c>
      <c r="I42" s="133">
        <v>25</v>
      </c>
      <c r="J42" s="133">
        <v>0</v>
      </c>
      <c r="K42" s="133">
        <v>0</v>
      </c>
      <c r="L42" s="133">
        <f t="shared" si="7"/>
        <v>0</v>
      </c>
      <c r="N42" s="133">
        <v>240</v>
      </c>
      <c r="O42" s="133">
        <f t="shared" si="8"/>
        <v>240</v>
      </c>
      <c r="P42" s="133">
        <f t="shared" si="3"/>
        <v>265</v>
      </c>
      <c r="R42">
        <v>1.71</v>
      </c>
      <c r="S42" s="116">
        <f t="shared" si="4"/>
        <v>410.4</v>
      </c>
    </row>
    <row r="43" spans="1:19" ht="12.75">
      <c r="A43">
        <v>40</v>
      </c>
      <c r="B43" s="1" t="s">
        <v>654</v>
      </c>
      <c r="C43" s="14" t="s">
        <v>278</v>
      </c>
      <c r="D43" s="14" t="s">
        <v>588</v>
      </c>
      <c r="E43" s="133">
        <v>1</v>
      </c>
      <c r="F43" s="133">
        <f t="shared" si="0"/>
        <v>25</v>
      </c>
      <c r="G43" s="133">
        <v>0</v>
      </c>
      <c r="H43" s="133">
        <f t="shared" si="1"/>
        <v>25</v>
      </c>
      <c r="I43" s="133">
        <v>25</v>
      </c>
      <c r="J43" s="133">
        <v>0</v>
      </c>
      <c r="K43" s="133">
        <v>0</v>
      </c>
      <c r="L43" s="133">
        <f t="shared" si="7"/>
        <v>0</v>
      </c>
      <c r="N43" s="133">
        <v>240</v>
      </c>
      <c r="O43" s="133">
        <f t="shared" si="8"/>
        <v>240</v>
      </c>
      <c r="P43" s="133">
        <f t="shared" si="3"/>
        <v>265</v>
      </c>
      <c r="R43">
        <v>1.77</v>
      </c>
      <c r="S43" s="116">
        <f t="shared" si="4"/>
        <v>424.8</v>
      </c>
    </row>
    <row r="44" spans="1:19" ht="12.75">
      <c r="A44">
        <v>41</v>
      </c>
      <c r="B44" s="1" t="s">
        <v>657</v>
      </c>
      <c r="C44" s="14" t="s">
        <v>278</v>
      </c>
      <c r="D44" s="14" t="s">
        <v>589</v>
      </c>
      <c r="E44" s="133">
        <v>2</v>
      </c>
      <c r="F44" s="133">
        <f t="shared" si="0"/>
        <v>50</v>
      </c>
      <c r="G44" s="133">
        <v>0</v>
      </c>
      <c r="H44" s="133">
        <f t="shared" si="1"/>
        <v>50</v>
      </c>
      <c r="I44" s="133">
        <v>50</v>
      </c>
      <c r="J44" s="133">
        <v>0</v>
      </c>
      <c r="K44" s="133">
        <v>0</v>
      </c>
      <c r="L44" s="133">
        <f t="shared" si="7"/>
        <v>0</v>
      </c>
      <c r="N44" s="133">
        <v>478</v>
      </c>
      <c r="O44" s="133">
        <f t="shared" si="8"/>
        <v>478</v>
      </c>
      <c r="P44" s="133">
        <f t="shared" si="3"/>
        <v>528</v>
      </c>
      <c r="R44">
        <v>1.59</v>
      </c>
      <c r="S44" s="116">
        <f t="shared" si="4"/>
        <v>760.02</v>
      </c>
    </row>
    <row r="45" spans="1:19" ht="12.75">
      <c r="A45">
        <v>42</v>
      </c>
      <c r="B45" s="1" t="s">
        <v>652</v>
      </c>
      <c r="C45" t="s">
        <v>285</v>
      </c>
      <c r="D45" t="s">
        <v>593</v>
      </c>
      <c r="E45" s="133">
        <v>2</v>
      </c>
      <c r="F45" s="133">
        <f t="shared" si="0"/>
        <v>50</v>
      </c>
      <c r="G45" s="133">
        <v>0</v>
      </c>
      <c r="H45" s="133">
        <f t="shared" si="1"/>
        <v>50</v>
      </c>
      <c r="I45" s="133">
        <v>51</v>
      </c>
      <c r="J45" s="133">
        <v>0</v>
      </c>
      <c r="K45" s="133">
        <v>0</v>
      </c>
      <c r="L45" s="133">
        <f t="shared" si="7"/>
        <v>0</v>
      </c>
      <c r="N45" s="133">
        <v>471</v>
      </c>
      <c r="O45" s="133">
        <f t="shared" si="8"/>
        <v>471</v>
      </c>
      <c r="P45" s="133">
        <f t="shared" si="3"/>
        <v>522</v>
      </c>
      <c r="R45">
        <v>0.57</v>
      </c>
      <c r="S45" s="116">
        <f t="shared" si="4"/>
        <v>268.46999999999997</v>
      </c>
    </row>
    <row r="46" spans="1:19" ht="12.75">
      <c r="A46">
        <v>43</v>
      </c>
      <c r="B46" s="1" t="s">
        <v>655</v>
      </c>
      <c r="C46" t="s">
        <v>285</v>
      </c>
      <c r="D46" t="s">
        <v>594</v>
      </c>
      <c r="E46" s="133">
        <v>2</v>
      </c>
      <c r="F46" s="133">
        <f t="shared" si="0"/>
        <v>50</v>
      </c>
      <c r="G46" s="133">
        <v>0</v>
      </c>
      <c r="H46" s="133">
        <f t="shared" si="1"/>
        <v>50</v>
      </c>
      <c r="I46" s="133">
        <v>50</v>
      </c>
      <c r="J46" s="133">
        <v>0</v>
      </c>
      <c r="K46" s="133">
        <v>0</v>
      </c>
      <c r="L46" s="133">
        <f t="shared" si="7"/>
        <v>0</v>
      </c>
      <c r="N46" s="133">
        <v>477</v>
      </c>
      <c r="O46" s="133">
        <f t="shared" si="8"/>
        <v>477</v>
      </c>
      <c r="P46" s="133">
        <f t="shared" si="3"/>
        <v>527</v>
      </c>
      <c r="R46">
        <v>0.58</v>
      </c>
      <c r="S46" s="116">
        <f t="shared" si="4"/>
        <v>276.65999999999997</v>
      </c>
    </row>
    <row r="47" spans="1:19" ht="12.75">
      <c r="A47" s="22">
        <v>44</v>
      </c>
      <c r="B47" s="1" t="s">
        <v>658</v>
      </c>
      <c r="C47" t="s">
        <v>285</v>
      </c>
      <c r="D47" t="s">
        <v>595</v>
      </c>
      <c r="E47" s="133">
        <v>6</v>
      </c>
      <c r="F47" s="133">
        <f t="shared" si="0"/>
        <v>150</v>
      </c>
      <c r="G47" s="133">
        <v>0</v>
      </c>
      <c r="H47" s="133">
        <f t="shared" si="1"/>
        <v>150</v>
      </c>
      <c r="I47" s="133">
        <v>150</v>
      </c>
      <c r="J47" s="133">
        <v>0</v>
      </c>
      <c r="K47" s="133">
        <v>0</v>
      </c>
      <c r="L47" s="133">
        <f t="shared" si="7"/>
        <v>0</v>
      </c>
      <c r="N47" s="133">
        <v>1428</v>
      </c>
      <c r="O47" s="133">
        <f t="shared" si="8"/>
        <v>1428</v>
      </c>
      <c r="P47" s="133">
        <f t="shared" si="3"/>
        <v>1578</v>
      </c>
      <c r="R47">
        <v>0.48</v>
      </c>
      <c r="S47" s="116">
        <f t="shared" si="4"/>
        <v>685.4399999999999</v>
      </c>
    </row>
    <row r="48" spans="1:19" ht="12.75">
      <c r="A48">
        <v>45</v>
      </c>
      <c r="B48" s="1" t="s">
        <v>234</v>
      </c>
      <c r="C48" s="14" t="s">
        <v>549</v>
      </c>
      <c r="D48" s="14" t="s">
        <v>592</v>
      </c>
      <c r="E48" s="133">
        <v>6</v>
      </c>
      <c r="F48" s="133">
        <f t="shared" si="0"/>
        <v>150</v>
      </c>
      <c r="G48" s="133">
        <v>7</v>
      </c>
      <c r="H48" s="133">
        <f t="shared" si="1"/>
        <v>157</v>
      </c>
      <c r="I48" s="133">
        <v>157</v>
      </c>
      <c r="J48" s="133">
        <v>0</v>
      </c>
      <c r="K48" s="133">
        <v>0</v>
      </c>
      <c r="L48" s="133">
        <f t="shared" si="7"/>
        <v>0</v>
      </c>
      <c r="N48" s="133">
        <v>681</v>
      </c>
      <c r="O48" s="133">
        <f t="shared" si="8"/>
        <v>681</v>
      </c>
      <c r="P48" s="133">
        <f t="shared" si="3"/>
        <v>838</v>
      </c>
      <c r="R48">
        <v>0.0548</v>
      </c>
      <c r="S48" s="116">
        <f t="shared" si="4"/>
        <v>37.3188</v>
      </c>
    </row>
    <row r="49" spans="1:19" ht="12.75">
      <c r="A49">
        <v>46</v>
      </c>
      <c r="B49" s="1" t="s">
        <v>590</v>
      </c>
      <c r="C49" s="14" t="s">
        <v>603</v>
      </c>
      <c r="D49" s="14" t="s">
        <v>591</v>
      </c>
      <c r="E49" s="133">
        <v>1</v>
      </c>
      <c r="F49" s="133">
        <f t="shared" si="0"/>
        <v>25</v>
      </c>
      <c r="G49" s="133">
        <v>0</v>
      </c>
      <c r="H49" s="133">
        <f t="shared" si="1"/>
        <v>25</v>
      </c>
      <c r="I49" s="133">
        <v>0</v>
      </c>
      <c r="J49" s="133">
        <v>25</v>
      </c>
      <c r="K49" s="133">
        <v>2</v>
      </c>
      <c r="L49" s="133">
        <f t="shared" si="7"/>
        <v>23</v>
      </c>
      <c r="M49" s="133">
        <v>23</v>
      </c>
      <c r="N49" s="133">
        <v>1</v>
      </c>
      <c r="O49" s="133">
        <f t="shared" si="8"/>
        <v>24</v>
      </c>
      <c r="P49" s="133">
        <f t="shared" si="3"/>
        <v>26</v>
      </c>
      <c r="R49">
        <v>76.71</v>
      </c>
      <c r="S49" s="116">
        <f t="shared" si="4"/>
        <v>1841.04</v>
      </c>
    </row>
    <row r="50" spans="1:19" ht="12.75">
      <c r="A50" t="s">
        <v>909</v>
      </c>
      <c r="B50" t="s">
        <v>926</v>
      </c>
      <c r="C50" s="14" t="s">
        <v>636</v>
      </c>
      <c r="D50" t="s">
        <v>688</v>
      </c>
      <c r="N50" s="133">
        <v>2</v>
      </c>
      <c r="O50" s="133">
        <f t="shared" si="8"/>
        <v>2</v>
      </c>
      <c r="P50" s="133">
        <f t="shared" si="3"/>
        <v>2</v>
      </c>
      <c r="R50">
        <v>41.96</v>
      </c>
      <c r="S50" s="116">
        <f>R50*O50</f>
        <v>83.92</v>
      </c>
    </row>
    <row r="51" spans="1:19" ht="12.75">
      <c r="A51" t="s">
        <v>909</v>
      </c>
      <c r="B51" s="1" t="s">
        <v>925</v>
      </c>
      <c r="C51" s="14" t="s">
        <v>639</v>
      </c>
      <c r="D51" t="s">
        <v>693</v>
      </c>
      <c r="N51" s="133">
        <v>98</v>
      </c>
      <c r="O51" s="133">
        <f t="shared" si="8"/>
        <v>98</v>
      </c>
      <c r="P51" s="133">
        <f t="shared" si="3"/>
        <v>98</v>
      </c>
      <c r="R51">
        <v>3.54</v>
      </c>
      <c r="S51" s="116">
        <f t="shared" si="4"/>
        <v>346.92</v>
      </c>
    </row>
    <row r="52" spans="1:19" ht="12.75">
      <c r="A52" t="s">
        <v>909</v>
      </c>
      <c r="B52" t="s">
        <v>774</v>
      </c>
      <c r="C52" s="14" t="s">
        <v>734</v>
      </c>
      <c r="D52" t="s">
        <v>549</v>
      </c>
      <c r="N52" s="133">
        <v>2</v>
      </c>
      <c r="O52" s="133">
        <f>SUM(M52:N52)</f>
        <v>2</v>
      </c>
      <c r="P52" s="133">
        <f t="shared" si="3"/>
        <v>2</v>
      </c>
      <c r="R52">
        <v>71.19</v>
      </c>
      <c r="S52" s="116">
        <f>R52*O52</f>
        <v>142.38</v>
      </c>
    </row>
    <row r="53" spans="1:19" ht="12.75">
      <c r="A53" t="s">
        <v>909</v>
      </c>
      <c r="B53" t="s">
        <v>928</v>
      </c>
      <c r="C53" s="14" t="s">
        <v>484</v>
      </c>
      <c r="D53" t="s">
        <v>343</v>
      </c>
      <c r="N53" s="133">
        <v>42</v>
      </c>
      <c r="O53" s="133">
        <f aca="true" t="shared" si="9" ref="O53:O62">SUM(M53:N53)</f>
        <v>42</v>
      </c>
      <c r="P53" s="133">
        <f t="shared" si="3"/>
        <v>42</v>
      </c>
      <c r="R53">
        <v>9.94</v>
      </c>
      <c r="S53" s="116">
        <f>R53*O53</f>
        <v>417.47999999999996</v>
      </c>
    </row>
    <row r="54" spans="1:19" ht="12.75">
      <c r="A54" t="s">
        <v>909</v>
      </c>
      <c r="B54" t="s">
        <v>929</v>
      </c>
      <c r="C54" s="14" t="s">
        <v>316</v>
      </c>
      <c r="D54" t="s">
        <v>343</v>
      </c>
      <c r="N54" s="133">
        <v>2</v>
      </c>
      <c r="O54" s="133">
        <f t="shared" si="9"/>
        <v>2</v>
      </c>
      <c r="P54" s="133">
        <f t="shared" si="3"/>
        <v>2</v>
      </c>
      <c r="R54">
        <v>24.26</v>
      </c>
      <c r="S54" s="116">
        <f>R54*O54</f>
        <v>48.52</v>
      </c>
    </row>
    <row r="55" spans="1:20" ht="12.75">
      <c r="A55" t="s">
        <v>909</v>
      </c>
      <c r="B55" t="s">
        <v>930</v>
      </c>
      <c r="C55" s="14" t="s">
        <v>909</v>
      </c>
      <c r="D55" t="s">
        <v>909</v>
      </c>
      <c r="N55" s="133">
        <v>1</v>
      </c>
      <c r="O55" s="133">
        <f t="shared" si="9"/>
        <v>1</v>
      </c>
      <c r="P55" s="133">
        <f t="shared" si="3"/>
        <v>1</v>
      </c>
      <c r="R55">
        <v>975</v>
      </c>
      <c r="S55" s="116">
        <f>R55*O55</f>
        <v>975</v>
      </c>
      <c r="T55" s="1" t="s">
        <v>948</v>
      </c>
    </row>
    <row r="56" spans="1:19" ht="12.75">
      <c r="A56" t="s">
        <v>909</v>
      </c>
      <c r="B56" t="s">
        <v>933</v>
      </c>
      <c r="C56" s="14" t="s">
        <v>316</v>
      </c>
      <c r="D56" t="s">
        <v>343</v>
      </c>
      <c r="N56" s="133">
        <v>2</v>
      </c>
      <c r="O56" s="133">
        <f t="shared" si="9"/>
        <v>2</v>
      </c>
      <c r="P56" s="133">
        <f t="shared" si="3"/>
        <v>2</v>
      </c>
      <c r="R56" s="4">
        <f>58.5/53*R59</f>
        <v>10.916320754716983</v>
      </c>
      <c r="S56" s="116">
        <f aca="true" t="shared" si="10" ref="S56:S62">R56*O56</f>
        <v>21.832641509433966</v>
      </c>
    </row>
    <row r="57" spans="1:19" ht="12.75">
      <c r="A57" t="s">
        <v>909</v>
      </c>
      <c r="B57" t="s">
        <v>934</v>
      </c>
      <c r="C57" s="14" t="s">
        <v>316</v>
      </c>
      <c r="D57" t="s">
        <v>343</v>
      </c>
      <c r="N57" s="133">
        <v>4</v>
      </c>
      <c r="O57" s="133">
        <f t="shared" si="9"/>
        <v>4</v>
      </c>
      <c r="P57" s="133">
        <f t="shared" si="3"/>
        <v>4</v>
      </c>
      <c r="R57" s="4">
        <f>63/53*R59</f>
        <v>11.756037735849057</v>
      </c>
      <c r="S57" s="116">
        <f t="shared" si="10"/>
        <v>47.02415094339623</v>
      </c>
    </row>
    <row r="58" spans="1:19" ht="12.75">
      <c r="A58" t="s">
        <v>909</v>
      </c>
      <c r="B58" t="s">
        <v>935</v>
      </c>
      <c r="C58" s="14" t="s">
        <v>317</v>
      </c>
      <c r="D58" t="s">
        <v>343</v>
      </c>
      <c r="N58" s="133">
        <v>1</v>
      </c>
      <c r="O58" s="133">
        <f t="shared" si="9"/>
        <v>1</v>
      </c>
      <c r="P58" s="133">
        <f t="shared" si="3"/>
        <v>1</v>
      </c>
      <c r="R58" s="4">
        <f>R62*78/112.5</f>
        <v>14.44213333333333</v>
      </c>
      <c r="S58" s="116">
        <f t="shared" si="10"/>
        <v>14.44213333333333</v>
      </c>
    </row>
    <row r="59" spans="1:20" ht="12.75">
      <c r="A59" t="s">
        <v>909</v>
      </c>
      <c r="B59" s="1" t="s">
        <v>937</v>
      </c>
      <c r="C59" s="14" t="s">
        <v>316</v>
      </c>
      <c r="D59" t="s">
        <v>343</v>
      </c>
      <c r="N59" s="133">
        <v>10</v>
      </c>
      <c r="O59" s="133">
        <f t="shared" si="9"/>
        <v>10</v>
      </c>
      <c r="P59" s="133">
        <f t="shared" si="3"/>
        <v>10</v>
      </c>
      <c r="R59">
        <v>9.89</v>
      </c>
      <c r="S59" s="116">
        <f t="shared" si="10"/>
        <v>98.9</v>
      </c>
      <c r="T59" s="1" t="s">
        <v>942</v>
      </c>
    </row>
    <row r="60" spans="1:20" ht="12.75">
      <c r="A60" t="s">
        <v>909</v>
      </c>
      <c r="B60" s="1" t="s">
        <v>938</v>
      </c>
      <c r="C60" s="14" t="s">
        <v>316</v>
      </c>
      <c r="D60" t="s">
        <v>343</v>
      </c>
      <c r="N60" s="133">
        <v>20</v>
      </c>
      <c r="O60" s="133">
        <f t="shared" si="9"/>
        <v>20</v>
      </c>
      <c r="P60" s="133">
        <f t="shared" si="3"/>
        <v>20</v>
      </c>
      <c r="R60">
        <v>14.56</v>
      </c>
      <c r="S60" s="116">
        <f t="shared" si="10"/>
        <v>291.2</v>
      </c>
      <c r="T60" s="1" t="s">
        <v>941</v>
      </c>
    </row>
    <row r="61" spans="1:20" ht="12.75">
      <c r="A61" t="s">
        <v>909</v>
      </c>
      <c r="B61" s="1" t="s">
        <v>939</v>
      </c>
      <c r="C61" s="14" t="s">
        <v>316</v>
      </c>
      <c r="D61" t="s">
        <v>343</v>
      </c>
      <c r="N61" s="133">
        <v>50</v>
      </c>
      <c r="O61" s="133">
        <f t="shared" si="9"/>
        <v>50</v>
      </c>
      <c r="P61" s="133">
        <f t="shared" si="3"/>
        <v>50</v>
      </c>
      <c r="R61">
        <v>24.26</v>
      </c>
      <c r="S61" s="116">
        <f t="shared" si="10"/>
        <v>1213</v>
      </c>
      <c r="T61" s="1" t="s">
        <v>940</v>
      </c>
    </row>
    <row r="62" spans="1:20" ht="12.75">
      <c r="A62" t="s">
        <v>909</v>
      </c>
      <c r="B62" t="s">
        <v>944</v>
      </c>
      <c r="C62" s="14" t="s">
        <v>317</v>
      </c>
      <c r="D62" t="s">
        <v>343</v>
      </c>
      <c r="N62" s="133">
        <v>25</v>
      </c>
      <c r="O62" s="133">
        <f t="shared" si="9"/>
        <v>25</v>
      </c>
      <c r="P62" s="133">
        <f t="shared" si="3"/>
        <v>25</v>
      </c>
      <c r="R62">
        <v>20.83</v>
      </c>
      <c r="S62" s="116">
        <f t="shared" si="10"/>
        <v>520.75</v>
      </c>
      <c r="T62" s="1" t="s">
        <v>943</v>
      </c>
    </row>
    <row r="63" spans="1:19" ht="25.5" hidden="1">
      <c r="A63" t="s">
        <v>909</v>
      </c>
      <c r="B63" s="1" t="s">
        <v>932</v>
      </c>
      <c r="D63" s="14"/>
      <c r="S63" s="116">
        <v>4000</v>
      </c>
    </row>
    <row r="64" spans="2:19" ht="12.75" hidden="1">
      <c r="B64" s="1" t="s">
        <v>730</v>
      </c>
      <c r="C64" s="14"/>
      <c r="D64" s="14"/>
      <c r="I64" s="133">
        <v>1</v>
      </c>
      <c r="R64">
        <f>0.15*SUM(S4:S63)</f>
        <v>5655.6932288679245</v>
      </c>
      <c r="S64" s="116">
        <f>R64*I64</f>
        <v>5655.6932288679245</v>
      </c>
    </row>
    <row r="65" spans="2:19" ht="12.75" hidden="1">
      <c r="B65" s="1" t="s">
        <v>731</v>
      </c>
      <c r="C65" s="14"/>
      <c r="D65" s="14"/>
      <c r="I65" s="133">
        <v>1</v>
      </c>
      <c r="R65">
        <f>0.2*SUM(S4:S63)</f>
        <v>7540.924305157233</v>
      </c>
      <c r="S65" s="116">
        <f>R65*I65</f>
        <v>7540.924305157233</v>
      </c>
    </row>
    <row r="66" spans="2:19" ht="25.5" hidden="1">
      <c r="B66" s="1" t="s">
        <v>915</v>
      </c>
      <c r="C66" s="14"/>
      <c r="D66" s="14"/>
      <c r="O66" s="133">
        <f>SUM(O4:O62)</f>
        <v>13408</v>
      </c>
      <c r="S66" s="116">
        <f>SUM(S4:S65)</f>
        <v>50901.23905981132</v>
      </c>
    </row>
    <row r="67" ht="12.75">
      <c r="B67" s="1"/>
    </row>
    <row r="68" spans="2:15" ht="12.75">
      <c r="B68" s="1" t="s">
        <v>607</v>
      </c>
      <c r="O68" s="133">
        <v>1</v>
      </c>
    </row>
    <row r="69" ht="12.75">
      <c r="B69" s="1"/>
    </row>
    <row r="70" ht="12.75">
      <c r="B70" s="1"/>
    </row>
    <row r="71" ht="12.75">
      <c r="B71" s="1"/>
    </row>
    <row r="72" ht="12.75">
      <c r="B72" s="14"/>
    </row>
    <row r="73" ht="12.75">
      <c r="B73" s="14"/>
    </row>
    <row r="74" ht="12.75">
      <c r="B74" s="14"/>
    </row>
    <row r="75" ht="12.75">
      <c r="B75" s="14"/>
    </row>
    <row r="76" ht="12.75">
      <c r="B76" s="14"/>
    </row>
    <row r="77" ht="12.75">
      <c r="B77" s="14"/>
    </row>
    <row r="78" ht="12.75">
      <c r="B78" s="1"/>
    </row>
    <row r="79" ht="12.75">
      <c r="B79" s="1"/>
    </row>
    <row r="80" ht="12.75">
      <c r="B80" s="1"/>
    </row>
    <row r="81" ht="12.75">
      <c r="B81" s="1"/>
    </row>
    <row r="82" ht="12.75">
      <c r="B82" s="1"/>
    </row>
    <row r="83" ht="12.75">
      <c r="B83" s="1"/>
    </row>
    <row r="84" ht="12.75">
      <c r="B84" s="1"/>
    </row>
    <row r="85" ht="12.75">
      <c r="B85" s="14"/>
    </row>
    <row r="86" ht="12.75">
      <c r="B86" s="14"/>
    </row>
    <row r="87" ht="12.75">
      <c r="B87" s="14"/>
    </row>
    <row r="88" ht="12.75">
      <c r="B88" s="14"/>
    </row>
    <row r="89" ht="12.75">
      <c r="B89" s="14"/>
    </row>
    <row r="90" ht="12.75">
      <c r="B90" s="14"/>
    </row>
    <row r="91" ht="12.75">
      <c r="B91" s="14"/>
    </row>
    <row r="92" ht="12.75">
      <c r="B92" s="14"/>
    </row>
    <row r="93" ht="12.75">
      <c r="B93" s="14"/>
    </row>
    <row r="94" ht="12.75">
      <c r="B94" s="14"/>
    </row>
    <row r="95" ht="12.75">
      <c r="B95" s="14"/>
    </row>
    <row r="96" ht="12.75">
      <c r="B96" s="14"/>
    </row>
    <row r="97" ht="12.75">
      <c r="B97" s="14"/>
    </row>
    <row r="98" ht="12.75">
      <c r="B98" s="14"/>
    </row>
    <row r="99" ht="12.75">
      <c r="B99" s="14"/>
    </row>
    <row r="101" ht="12.75">
      <c r="B101" s="14"/>
    </row>
    <row r="102" ht="12.75">
      <c r="B102" s="14"/>
    </row>
    <row r="103" ht="12.75">
      <c r="B103" s="14"/>
    </row>
    <row r="104" ht="12.75">
      <c r="B104" s="14"/>
    </row>
    <row r="232" ht="12.75">
      <c r="A232" s="22"/>
    </row>
  </sheetData>
  <printOptions gridLines="1"/>
  <pageMargins left="0.375" right="0.375" top="0.5" bottom="0.5" header="0.25" footer="0.25"/>
  <pageSetup fitToHeight="2" fitToWidth="1" horizontalDpi="600" verticalDpi="600" orientation="landscape" paperSize="17" scale="93" r:id="rId1"/>
  <headerFooter alignWithMargins="0">
    <oddHeader>&amp;C&amp;A&amp;R&amp;F</oddHeader>
    <oddFooter>&amp;LK. Kriesel&amp;CPage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219"/>
  <sheetViews>
    <sheetView workbookViewId="0" topLeftCell="A1">
      <pane ySplit="3060" topLeftCell="BM29" activePane="bottomLeft" state="split"/>
      <selection pane="topLeft" activeCell="M4" sqref="M4"/>
      <selection pane="bottomLeft" activeCell="N59" sqref="N59"/>
    </sheetView>
  </sheetViews>
  <sheetFormatPr defaultColWidth="9.140625" defaultRowHeight="12.75"/>
  <cols>
    <col min="1" max="1" width="8.140625" style="0" customWidth="1"/>
    <col min="2" max="2" width="40.7109375" style="0" customWidth="1"/>
    <col min="3" max="3" width="11.140625" style="0" customWidth="1"/>
    <col min="4" max="4" width="18.00390625" style="0" customWidth="1"/>
    <col min="7" max="8" width="10.7109375" style="0" customWidth="1"/>
    <col min="10" max="10" width="10.7109375" style="0" customWidth="1"/>
    <col min="11" max="11" width="10.7109375" style="0" hidden="1" customWidth="1"/>
    <col min="12" max="12" width="10.00390625" style="0" hidden="1" customWidth="1"/>
    <col min="14" max="14" width="30.28125" style="0" customWidth="1"/>
  </cols>
  <sheetData>
    <row r="1" spans="1:5" ht="25.5">
      <c r="A1" t="s">
        <v>629</v>
      </c>
      <c r="B1" s="1" t="s">
        <v>901</v>
      </c>
      <c r="C1" s="14" t="s">
        <v>900</v>
      </c>
      <c r="D1" s="14"/>
      <c r="E1" t="s">
        <v>52</v>
      </c>
    </row>
    <row r="2" spans="1:4" ht="12.75">
      <c r="A2" t="s">
        <v>906</v>
      </c>
      <c r="B2" s="1"/>
      <c r="C2" s="14"/>
      <c r="D2" s="14" t="s">
        <v>902</v>
      </c>
    </row>
    <row r="3" spans="1:14" ht="102">
      <c r="A3" s="1" t="s">
        <v>692</v>
      </c>
      <c r="B3" s="1" t="s">
        <v>2</v>
      </c>
      <c r="C3" s="13" t="s">
        <v>547</v>
      </c>
      <c r="D3" s="13" t="s">
        <v>558</v>
      </c>
      <c r="E3" s="1" t="s">
        <v>604</v>
      </c>
      <c r="F3" s="1" t="s">
        <v>737</v>
      </c>
      <c r="G3" s="1" t="s">
        <v>626</v>
      </c>
      <c r="H3" s="1" t="s">
        <v>631</v>
      </c>
      <c r="I3" s="1" t="s">
        <v>606</v>
      </c>
      <c r="J3" s="1" t="s">
        <v>605</v>
      </c>
      <c r="K3" s="1" t="s">
        <v>728</v>
      </c>
      <c r="L3" s="1" t="s">
        <v>727</v>
      </c>
      <c r="M3" s="1" t="s">
        <v>911</v>
      </c>
      <c r="N3" t="s">
        <v>887</v>
      </c>
    </row>
    <row r="4" spans="1:12" ht="12.75">
      <c r="A4">
        <v>1</v>
      </c>
      <c r="B4" t="s">
        <v>5</v>
      </c>
      <c r="C4" s="14" t="s">
        <v>613</v>
      </c>
      <c r="D4" s="14" t="s">
        <v>552</v>
      </c>
      <c r="E4">
        <v>6</v>
      </c>
      <c r="F4">
        <f aca="true" t="shared" si="0" ref="F4:F49">E4*2</f>
        <v>12</v>
      </c>
      <c r="G4" s="24">
        <v>1</v>
      </c>
      <c r="H4" s="24">
        <f aca="true" t="shared" si="1" ref="H4:H48">SUM(F4:G4)</f>
        <v>13</v>
      </c>
      <c r="I4" s="24">
        <v>13</v>
      </c>
      <c r="J4" s="24">
        <f aca="true" t="shared" si="2" ref="J4:J49">H4-I4</f>
        <v>0</v>
      </c>
      <c r="K4" s="4">
        <v>3.79</v>
      </c>
      <c r="L4">
        <f aca="true" t="shared" si="3" ref="L4:L49">K4*I4</f>
        <v>49.27</v>
      </c>
    </row>
    <row r="5" spans="1:12" ht="12.75">
      <c r="A5" s="22">
        <v>2</v>
      </c>
      <c r="B5" t="s">
        <v>6</v>
      </c>
      <c r="C5" t="s">
        <v>612</v>
      </c>
      <c r="D5" s="14" t="s">
        <v>562</v>
      </c>
      <c r="E5">
        <v>6</v>
      </c>
      <c r="F5">
        <f t="shared" si="0"/>
        <v>12</v>
      </c>
      <c r="G5" s="24">
        <v>1</v>
      </c>
      <c r="H5" s="24">
        <f t="shared" si="1"/>
        <v>13</v>
      </c>
      <c r="I5" s="24">
        <v>13</v>
      </c>
      <c r="J5" s="24">
        <f t="shared" si="2"/>
        <v>0</v>
      </c>
      <c r="K5" s="4">
        <v>2.88</v>
      </c>
      <c r="L5">
        <f t="shared" si="3"/>
        <v>37.44</v>
      </c>
    </row>
    <row r="6" spans="1:12" ht="12.75">
      <c r="A6" s="22">
        <v>3</v>
      </c>
      <c r="B6" t="s">
        <v>7</v>
      </c>
      <c r="C6" t="s">
        <v>611</v>
      </c>
      <c r="D6" s="14" t="s">
        <v>563</v>
      </c>
      <c r="E6">
        <v>18</v>
      </c>
      <c r="F6">
        <f t="shared" si="0"/>
        <v>36</v>
      </c>
      <c r="G6" s="24">
        <v>2</v>
      </c>
      <c r="H6" s="24">
        <f t="shared" si="1"/>
        <v>38</v>
      </c>
      <c r="I6" s="24">
        <v>38</v>
      </c>
      <c r="J6" s="24">
        <f t="shared" si="2"/>
        <v>0</v>
      </c>
      <c r="K6" s="4">
        <v>2.97</v>
      </c>
      <c r="L6">
        <f t="shared" si="3"/>
        <v>112.86000000000001</v>
      </c>
    </row>
    <row r="7" spans="1:12" ht="12.75">
      <c r="A7" s="22">
        <v>4</v>
      </c>
      <c r="B7" t="s">
        <v>210</v>
      </c>
      <c r="C7" t="s">
        <v>549</v>
      </c>
      <c r="D7" s="14" t="s">
        <v>557</v>
      </c>
      <c r="E7">
        <v>66</v>
      </c>
      <c r="F7">
        <f t="shared" si="0"/>
        <v>132</v>
      </c>
      <c r="G7" s="24">
        <v>6</v>
      </c>
      <c r="H7" s="24">
        <f t="shared" si="1"/>
        <v>138</v>
      </c>
      <c r="I7" s="24">
        <v>138</v>
      </c>
      <c r="J7" s="24">
        <f t="shared" si="2"/>
        <v>0</v>
      </c>
      <c r="K7" s="4">
        <v>0.0492</v>
      </c>
      <c r="L7">
        <f t="shared" si="3"/>
        <v>6.7896</v>
      </c>
    </row>
    <row r="8" spans="1:12" ht="25.5">
      <c r="A8" s="22">
        <v>5</v>
      </c>
      <c r="B8" s="1" t="s">
        <v>597</v>
      </c>
      <c r="C8" t="s">
        <v>549</v>
      </c>
      <c r="D8" s="14" t="s">
        <v>548</v>
      </c>
      <c r="E8">
        <v>18</v>
      </c>
      <c r="F8">
        <f t="shared" si="0"/>
        <v>36</v>
      </c>
      <c r="G8" s="24">
        <v>2</v>
      </c>
      <c r="H8" s="24">
        <f t="shared" si="1"/>
        <v>38</v>
      </c>
      <c r="I8" s="24">
        <v>38</v>
      </c>
      <c r="J8" s="24">
        <f t="shared" si="2"/>
        <v>0</v>
      </c>
      <c r="K8" s="4">
        <v>0.0332</v>
      </c>
      <c r="L8">
        <f t="shared" si="3"/>
        <v>1.2616</v>
      </c>
    </row>
    <row r="9" spans="1:12" ht="12" customHeight="1">
      <c r="A9" s="22">
        <v>6</v>
      </c>
      <c r="B9" t="s">
        <v>247</v>
      </c>
      <c r="C9" t="s">
        <v>549</v>
      </c>
      <c r="D9" s="14" t="s">
        <v>555</v>
      </c>
      <c r="E9">
        <v>6</v>
      </c>
      <c r="F9">
        <f t="shared" si="0"/>
        <v>12</v>
      </c>
      <c r="G9" s="24">
        <v>1</v>
      </c>
      <c r="H9" s="24">
        <f t="shared" si="1"/>
        <v>13</v>
      </c>
      <c r="I9" s="24">
        <v>13</v>
      </c>
      <c r="J9" s="24">
        <f t="shared" si="2"/>
        <v>0</v>
      </c>
      <c r="K9" s="4">
        <v>0.1317</v>
      </c>
      <c r="L9">
        <f t="shared" si="3"/>
        <v>1.7121000000000002</v>
      </c>
    </row>
    <row r="10" spans="1:12" ht="12" customHeight="1">
      <c r="A10" s="22">
        <v>7</v>
      </c>
      <c r="B10" t="s">
        <v>150</v>
      </c>
      <c r="C10" t="s">
        <v>616</v>
      </c>
      <c r="D10" s="14" t="s">
        <v>559</v>
      </c>
      <c r="E10">
        <v>1</v>
      </c>
      <c r="F10">
        <f t="shared" si="0"/>
        <v>2</v>
      </c>
      <c r="G10" s="24">
        <v>0</v>
      </c>
      <c r="H10" s="24">
        <f t="shared" si="1"/>
        <v>2</v>
      </c>
      <c r="I10" s="24">
        <v>2</v>
      </c>
      <c r="J10" s="24">
        <f t="shared" si="2"/>
        <v>0</v>
      </c>
      <c r="K10" s="4">
        <v>8.85</v>
      </c>
      <c r="L10">
        <f t="shared" si="3"/>
        <v>17.7</v>
      </c>
    </row>
    <row r="11" spans="1:12" ht="11.25" customHeight="1">
      <c r="A11" s="22">
        <v>8</v>
      </c>
      <c r="B11" t="s">
        <v>151</v>
      </c>
      <c r="C11" t="s">
        <v>617</v>
      </c>
      <c r="D11" s="14" t="s">
        <v>565</v>
      </c>
      <c r="E11">
        <v>1</v>
      </c>
      <c r="F11">
        <f t="shared" si="0"/>
        <v>2</v>
      </c>
      <c r="G11" s="24">
        <v>0</v>
      </c>
      <c r="H11" s="24">
        <f t="shared" si="1"/>
        <v>2</v>
      </c>
      <c r="I11" s="24">
        <v>2</v>
      </c>
      <c r="J11" s="24">
        <f t="shared" si="2"/>
        <v>0</v>
      </c>
      <c r="K11" s="4">
        <v>9.75</v>
      </c>
      <c r="L11">
        <f t="shared" si="3"/>
        <v>19.5</v>
      </c>
    </row>
    <row r="12" spans="1:12" ht="11.25" customHeight="1">
      <c r="A12">
        <v>9</v>
      </c>
      <c r="B12" t="s">
        <v>152</v>
      </c>
      <c r="C12" t="s">
        <v>618</v>
      </c>
      <c r="D12" s="14" t="s">
        <v>560</v>
      </c>
      <c r="E12">
        <v>1</v>
      </c>
      <c r="F12">
        <f t="shared" si="0"/>
        <v>2</v>
      </c>
      <c r="G12" s="24">
        <v>0</v>
      </c>
      <c r="H12" s="24">
        <f t="shared" si="1"/>
        <v>2</v>
      </c>
      <c r="I12" s="24">
        <v>2</v>
      </c>
      <c r="J12" s="24">
        <f t="shared" si="2"/>
        <v>0</v>
      </c>
      <c r="K12" s="4">
        <v>8.75</v>
      </c>
      <c r="L12">
        <f t="shared" si="3"/>
        <v>17.5</v>
      </c>
    </row>
    <row r="13" spans="1:12" ht="12.75">
      <c r="A13">
        <v>10</v>
      </c>
      <c r="B13" t="s">
        <v>153</v>
      </c>
      <c r="C13" t="s">
        <v>633</v>
      </c>
      <c r="D13" s="14" t="s">
        <v>566</v>
      </c>
      <c r="E13">
        <v>1</v>
      </c>
      <c r="F13">
        <f t="shared" si="0"/>
        <v>2</v>
      </c>
      <c r="G13" s="24">
        <v>0</v>
      </c>
      <c r="H13" s="24">
        <f t="shared" si="1"/>
        <v>2</v>
      </c>
      <c r="I13" s="24">
        <v>2</v>
      </c>
      <c r="J13" s="24">
        <f t="shared" si="2"/>
        <v>0</v>
      </c>
      <c r="K13" s="4">
        <v>9.5</v>
      </c>
      <c r="L13">
        <f t="shared" si="3"/>
        <v>19</v>
      </c>
    </row>
    <row r="14" spans="1:12" ht="12.75">
      <c r="A14">
        <v>11</v>
      </c>
      <c r="B14" t="s">
        <v>154</v>
      </c>
      <c r="C14" t="s">
        <v>264</v>
      </c>
      <c r="D14" s="14" t="s">
        <v>561</v>
      </c>
      <c r="E14">
        <v>1</v>
      </c>
      <c r="F14">
        <f t="shared" si="0"/>
        <v>2</v>
      </c>
      <c r="G14" s="24">
        <v>0</v>
      </c>
      <c r="H14" s="24">
        <f t="shared" si="1"/>
        <v>2</v>
      </c>
      <c r="I14" s="24">
        <v>2</v>
      </c>
      <c r="J14" s="24">
        <f t="shared" si="2"/>
        <v>0</v>
      </c>
      <c r="K14" s="4">
        <v>8.95</v>
      </c>
      <c r="L14">
        <f t="shared" si="3"/>
        <v>17.9</v>
      </c>
    </row>
    <row r="15" spans="1:12" ht="12.75">
      <c r="A15">
        <v>12</v>
      </c>
      <c r="B15" t="s">
        <v>155</v>
      </c>
      <c r="C15" t="s">
        <v>267</v>
      </c>
      <c r="D15" s="14" t="s">
        <v>567</v>
      </c>
      <c r="E15">
        <v>1</v>
      </c>
      <c r="F15">
        <f t="shared" si="0"/>
        <v>2</v>
      </c>
      <c r="G15" s="24">
        <v>0</v>
      </c>
      <c r="H15" s="24">
        <f t="shared" si="1"/>
        <v>2</v>
      </c>
      <c r="I15" s="24">
        <v>2</v>
      </c>
      <c r="J15" s="24">
        <f t="shared" si="2"/>
        <v>0</v>
      </c>
      <c r="K15" s="4">
        <v>9.85</v>
      </c>
      <c r="L15">
        <f t="shared" si="3"/>
        <v>19.7</v>
      </c>
    </row>
    <row r="16" spans="1:12" ht="12.75">
      <c r="A16">
        <v>13</v>
      </c>
      <c r="B16" t="s">
        <v>14</v>
      </c>
      <c r="C16" t="s">
        <v>708</v>
      </c>
      <c r="E16">
        <v>1</v>
      </c>
      <c r="F16">
        <f t="shared" si="0"/>
        <v>2</v>
      </c>
      <c r="G16" s="24">
        <v>0</v>
      </c>
      <c r="H16" s="24">
        <f t="shared" si="1"/>
        <v>2</v>
      </c>
      <c r="I16" s="24">
        <v>2</v>
      </c>
      <c r="J16" s="24">
        <f t="shared" si="2"/>
        <v>0</v>
      </c>
      <c r="K16" s="4">
        <v>74.95</v>
      </c>
      <c r="L16">
        <f t="shared" si="3"/>
        <v>149.9</v>
      </c>
    </row>
    <row r="17" spans="1:12" ht="12.75">
      <c r="A17">
        <v>14</v>
      </c>
      <c r="B17" t="s">
        <v>15</v>
      </c>
      <c r="C17" t="s">
        <v>709</v>
      </c>
      <c r="E17">
        <v>1</v>
      </c>
      <c r="F17">
        <f t="shared" si="0"/>
        <v>2</v>
      </c>
      <c r="G17" s="24">
        <v>0</v>
      </c>
      <c r="H17" s="24">
        <f t="shared" si="1"/>
        <v>2</v>
      </c>
      <c r="I17" s="24">
        <v>2</v>
      </c>
      <c r="J17" s="24">
        <f t="shared" si="2"/>
        <v>0</v>
      </c>
      <c r="K17" s="4">
        <v>74.95</v>
      </c>
      <c r="L17">
        <f t="shared" si="3"/>
        <v>149.9</v>
      </c>
    </row>
    <row r="18" spans="1:12" ht="12.75">
      <c r="A18">
        <v>15</v>
      </c>
      <c r="B18" t="s">
        <v>250</v>
      </c>
      <c r="C18" s="14" t="s">
        <v>710</v>
      </c>
      <c r="D18" s="14"/>
      <c r="E18">
        <v>1</v>
      </c>
      <c r="F18">
        <f t="shared" si="0"/>
        <v>2</v>
      </c>
      <c r="G18" s="24">
        <v>0</v>
      </c>
      <c r="H18" s="24">
        <f t="shared" si="1"/>
        <v>2</v>
      </c>
      <c r="I18" s="24">
        <v>2</v>
      </c>
      <c r="J18" s="24">
        <f t="shared" si="2"/>
        <v>0</v>
      </c>
      <c r="K18" s="4">
        <v>123</v>
      </c>
      <c r="L18">
        <f t="shared" si="3"/>
        <v>246</v>
      </c>
    </row>
    <row r="19" spans="1:12" ht="12.75">
      <c r="A19">
        <v>16</v>
      </c>
      <c r="B19" t="s">
        <v>251</v>
      </c>
      <c r="C19" s="14" t="s">
        <v>711</v>
      </c>
      <c r="D19" s="14"/>
      <c r="E19">
        <v>1</v>
      </c>
      <c r="F19">
        <f t="shared" si="0"/>
        <v>2</v>
      </c>
      <c r="G19" s="24">
        <v>0</v>
      </c>
      <c r="H19" s="24">
        <f t="shared" si="1"/>
        <v>2</v>
      </c>
      <c r="I19" s="24">
        <v>2</v>
      </c>
      <c r="J19" s="24">
        <f t="shared" si="2"/>
        <v>0</v>
      </c>
      <c r="K19" s="4">
        <v>109.5</v>
      </c>
      <c r="L19">
        <f t="shared" si="3"/>
        <v>219</v>
      </c>
    </row>
    <row r="20" spans="1:12" ht="12.75">
      <c r="A20">
        <v>17</v>
      </c>
      <c r="B20" t="s">
        <v>252</v>
      </c>
      <c r="C20" s="14" t="s">
        <v>713</v>
      </c>
      <c r="D20" s="14"/>
      <c r="E20">
        <v>1</v>
      </c>
      <c r="F20">
        <f t="shared" si="0"/>
        <v>2</v>
      </c>
      <c r="G20" s="24">
        <v>0</v>
      </c>
      <c r="H20" s="24">
        <f t="shared" si="1"/>
        <v>2</v>
      </c>
      <c r="I20" s="24">
        <v>2</v>
      </c>
      <c r="J20" s="24">
        <f t="shared" si="2"/>
        <v>0</v>
      </c>
      <c r="K20" s="4">
        <v>121.6</v>
      </c>
      <c r="L20">
        <f t="shared" si="3"/>
        <v>243.2</v>
      </c>
    </row>
    <row r="21" spans="1:12" ht="12.75">
      <c r="A21">
        <v>18</v>
      </c>
      <c r="B21" t="s">
        <v>253</v>
      </c>
      <c r="C21" s="14" t="s">
        <v>715</v>
      </c>
      <c r="D21" s="14"/>
      <c r="E21">
        <v>1</v>
      </c>
      <c r="F21">
        <f t="shared" si="0"/>
        <v>2</v>
      </c>
      <c r="G21" s="24">
        <v>0</v>
      </c>
      <c r="H21" s="24">
        <f t="shared" si="1"/>
        <v>2</v>
      </c>
      <c r="I21" s="24">
        <v>2</v>
      </c>
      <c r="J21" s="24">
        <f t="shared" si="2"/>
        <v>0</v>
      </c>
      <c r="K21" s="4">
        <v>110.04</v>
      </c>
      <c r="L21">
        <f t="shared" si="3"/>
        <v>220.08</v>
      </c>
    </row>
    <row r="22" spans="1:12" ht="12.75">
      <c r="A22">
        <v>19</v>
      </c>
      <c r="B22" t="s">
        <v>20</v>
      </c>
      <c r="C22" s="14" t="s">
        <v>716</v>
      </c>
      <c r="D22" s="14" t="s">
        <v>685</v>
      </c>
      <c r="E22">
        <v>1</v>
      </c>
      <c r="F22">
        <f t="shared" si="0"/>
        <v>2</v>
      </c>
      <c r="G22" s="24">
        <v>0</v>
      </c>
      <c r="H22" s="24">
        <f t="shared" si="1"/>
        <v>2</v>
      </c>
      <c r="I22" s="24">
        <v>2</v>
      </c>
      <c r="J22" s="24">
        <f t="shared" si="2"/>
        <v>0</v>
      </c>
      <c r="K22" s="4">
        <v>53.75</v>
      </c>
      <c r="L22">
        <f t="shared" si="3"/>
        <v>107.5</v>
      </c>
    </row>
    <row r="23" spans="1:12" ht="12.75">
      <c r="A23">
        <v>20</v>
      </c>
      <c r="B23" t="s">
        <v>21</v>
      </c>
      <c r="C23" t="s">
        <v>717</v>
      </c>
      <c r="D23" t="s">
        <v>686</v>
      </c>
      <c r="E23">
        <v>1</v>
      </c>
      <c r="F23">
        <f t="shared" si="0"/>
        <v>2</v>
      </c>
      <c r="G23" s="24">
        <v>0</v>
      </c>
      <c r="H23" s="24">
        <f t="shared" si="1"/>
        <v>2</v>
      </c>
      <c r="I23" s="24">
        <v>2</v>
      </c>
      <c r="J23" s="24">
        <f t="shared" si="2"/>
        <v>0</v>
      </c>
      <c r="K23" s="4">
        <v>24</v>
      </c>
      <c r="L23">
        <f t="shared" si="3"/>
        <v>48</v>
      </c>
    </row>
    <row r="24" spans="1:12" ht="12.75">
      <c r="A24">
        <v>21</v>
      </c>
      <c r="B24" t="s">
        <v>209</v>
      </c>
      <c r="C24" t="s">
        <v>549</v>
      </c>
      <c r="D24" s="14" t="s">
        <v>576</v>
      </c>
      <c r="E24">
        <v>52</v>
      </c>
      <c r="F24">
        <f t="shared" si="0"/>
        <v>104</v>
      </c>
      <c r="G24" s="24">
        <v>5</v>
      </c>
      <c r="H24" s="24">
        <f t="shared" si="1"/>
        <v>109</v>
      </c>
      <c r="I24" s="24">
        <v>109</v>
      </c>
      <c r="J24" s="24">
        <f t="shared" si="2"/>
        <v>0</v>
      </c>
      <c r="K24">
        <v>0.1375</v>
      </c>
      <c r="L24">
        <f t="shared" si="3"/>
        <v>14.9875</v>
      </c>
    </row>
    <row r="25" spans="1:12" ht="12.75">
      <c r="A25">
        <v>22</v>
      </c>
      <c r="B25" t="s">
        <v>228</v>
      </c>
      <c r="C25" t="s">
        <v>549</v>
      </c>
      <c r="D25" s="14" t="s">
        <v>577</v>
      </c>
      <c r="E25">
        <v>52</v>
      </c>
      <c r="F25">
        <f t="shared" si="0"/>
        <v>104</v>
      </c>
      <c r="G25" s="24">
        <v>5</v>
      </c>
      <c r="H25" s="24">
        <f t="shared" si="1"/>
        <v>109</v>
      </c>
      <c r="I25" s="24">
        <v>109</v>
      </c>
      <c r="J25" s="24">
        <f t="shared" si="2"/>
        <v>0</v>
      </c>
      <c r="K25">
        <v>0.0186</v>
      </c>
      <c r="L25">
        <f t="shared" si="3"/>
        <v>2.0273999999999996</v>
      </c>
    </row>
    <row r="26" spans="1:12" ht="12.75">
      <c r="A26">
        <v>23</v>
      </c>
      <c r="B26" t="s">
        <v>23</v>
      </c>
      <c r="C26" t="s">
        <v>718</v>
      </c>
      <c r="E26">
        <v>2</v>
      </c>
      <c r="F26">
        <f t="shared" si="0"/>
        <v>4</v>
      </c>
      <c r="G26" s="24">
        <v>0</v>
      </c>
      <c r="H26" s="24">
        <f t="shared" si="1"/>
        <v>4</v>
      </c>
      <c r="I26" s="24">
        <v>4</v>
      </c>
      <c r="J26" s="24">
        <f t="shared" si="2"/>
        <v>0</v>
      </c>
      <c r="K26" s="4">
        <v>13.23</v>
      </c>
      <c r="L26">
        <f t="shared" si="3"/>
        <v>52.92</v>
      </c>
    </row>
    <row r="27" spans="1:14" ht="38.25">
      <c r="A27">
        <v>24</v>
      </c>
      <c r="B27" t="s">
        <v>438</v>
      </c>
      <c r="C27" t="s">
        <v>719</v>
      </c>
      <c r="E27">
        <v>1</v>
      </c>
      <c r="F27">
        <f t="shared" si="0"/>
        <v>2</v>
      </c>
      <c r="G27" s="24">
        <v>0</v>
      </c>
      <c r="H27" s="24">
        <v>4</v>
      </c>
      <c r="I27" s="24">
        <v>4</v>
      </c>
      <c r="J27" s="24">
        <f t="shared" si="2"/>
        <v>0</v>
      </c>
      <c r="K27" s="4">
        <v>31.61</v>
      </c>
      <c r="L27">
        <f t="shared" si="3"/>
        <v>126.44</v>
      </c>
      <c r="N27" s="1" t="s">
        <v>903</v>
      </c>
    </row>
    <row r="28" spans="1:12" ht="12.75">
      <c r="A28">
        <v>25</v>
      </c>
      <c r="B28" t="s">
        <v>25</v>
      </c>
      <c r="C28" t="s">
        <v>740</v>
      </c>
      <c r="D28" t="s">
        <v>689</v>
      </c>
      <c r="E28">
        <v>1</v>
      </c>
      <c r="F28">
        <f t="shared" si="0"/>
        <v>2</v>
      </c>
      <c r="G28" s="24">
        <v>0</v>
      </c>
      <c r="H28" s="24">
        <f t="shared" si="1"/>
        <v>2</v>
      </c>
      <c r="I28" s="24">
        <v>2</v>
      </c>
      <c r="J28" s="24">
        <f t="shared" si="2"/>
        <v>0</v>
      </c>
      <c r="K28" s="4">
        <v>28.37</v>
      </c>
      <c r="L28">
        <f t="shared" si="3"/>
        <v>56.74</v>
      </c>
    </row>
    <row r="29" spans="1:12" ht="12.75">
      <c r="A29">
        <v>26</v>
      </c>
      <c r="B29" t="s">
        <v>248</v>
      </c>
      <c r="C29" t="s">
        <v>615</v>
      </c>
      <c r="D29" t="s">
        <v>690</v>
      </c>
      <c r="E29">
        <v>2</v>
      </c>
      <c r="F29">
        <f t="shared" si="0"/>
        <v>4</v>
      </c>
      <c r="G29" s="24">
        <v>0</v>
      </c>
      <c r="H29" s="24">
        <f t="shared" si="1"/>
        <v>4</v>
      </c>
      <c r="I29" s="24">
        <v>4</v>
      </c>
      <c r="J29" s="24">
        <f t="shared" si="2"/>
        <v>0</v>
      </c>
      <c r="K29" s="4">
        <v>9.12</v>
      </c>
      <c r="L29">
        <f t="shared" si="3"/>
        <v>36.48</v>
      </c>
    </row>
    <row r="30" spans="1:12" ht="12.75">
      <c r="A30">
        <v>27</v>
      </c>
      <c r="B30" t="s">
        <v>27</v>
      </c>
      <c r="C30" t="s">
        <v>638</v>
      </c>
      <c r="D30" t="s">
        <v>691</v>
      </c>
      <c r="E30">
        <v>2</v>
      </c>
      <c r="F30">
        <f t="shared" si="0"/>
        <v>4</v>
      </c>
      <c r="G30" s="24">
        <v>0</v>
      </c>
      <c r="H30" s="24">
        <f t="shared" si="1"/>
        <v>4</v>
      </c>
      <c r="I30" s="24">
        <v>4</v>
      </c>
      <c r="J30" s="24">
        <f t="shared" si="2"/>
        <v>0</v>
      </c>
      <c r="K30" s="4">
        <v>9.8</v>
      </c>
      <c r="L30">
        <f t="shared" si="3"/>
        <v>39.2</v>
      </c>
    </row>
    <row r="31" spans="1:12" ht="12.75">
      <c r="A31">
        <v>28</v>
      </c>
      <c r="B31" t="s">
        <v>208</v>
      </c>
      <c r="C31" t="s">
        <v>549</v>
      </c>
      <c r="D31" s="14" t="s">
        <v>581</v>
      </c>
      <c r="E31">
        <v>26</v>
      </c>
      <c r="F31">
        <f t="shared" si="0"/>
        <v>52</v>
      </c>
      <c r="G31" s="24">
        <v>3</v>
      </c>
      <c r="H31" s="24">
        <f t="shared" si="1"/>
        <v>55</v>
      </c>
      <c r="I31" s="24">
        <v>55</v>
      </c>
      <c r="J31" s="24">
        <f t="shared" si="2"/>
        <v>0</v>
      </c>
      <c r="K31" s="4">
        <v>0.165</v>
      </c>
      <c r="L31">
        <f t="shared" si="3"/>
        <v>9.075000000000001</v>
      </c>
    </row>
    <row r="32" spans="1:12" ht="12.75">
      <c r="A32">
        <v>29</v>
      </c>
      <c r="B32" t="s">
        <v>721</v>
      </c>
      <c r="C32" t="s">
        <v>549</v>
      </c>
      <c r="D32" s="13" t="s">
        <v>601</v>
      </c>
      <c r="E32">
        <v>24</v>
      </c>
      <c r="F32">
        <f t="shared" si="0"/>
        <v>48</v>
      </c>
      <c r="G32" s="24">
        <v>3</v>
      </c>
      <c r="H32" s="24">
        <f t="shared" si="1"/>
        <v>51</v>
      </c>
      <c r="I32" s="24">
        <v>51</v>
      </c>
      <c r="J32" s="24">
        <f t="shared" si="2"/>
        <v>0</v>
      </c>
      <c r="K32" s="4">
        <v>0.0152</v>
      </c>
      <c r="L32">
        <f t="shared" si="3"/>
        <v>0.7752</v>
      </c>
    </row>
    <row r="33" spans="1:12" ht="12.75">
      <c r="A33" s="22">
        <v>30</v>
      </c>
      <c r="B33" t="s">
        <v>249</v>
      </c>
      <c r="C33" t="s">
        <v>549</v>
      </c>
      <c r="D33" s="14" t="s">
        <v>582</v>
      </c>
      <c r="E33">
        <v>6</v>
      </c>
      <c r="F33">
        <f t="shared" si="0"/>
        <v>12</v>
      </c>
      <c r="G33" s="24">
        <v>1</v>
      </c>
      <c r="H33" s="24">
        <f t="shared" si="1"/>
        <v>13</v>
      </c>
      <c r="I33" s="24">
        <v>13</v>
      </c>
      <c r="J33" s="24">
        <f t="shared" si="2"/>
        <v>0</v>
      </c>
      <c r="K33" s="4">
        <v>0.0645</v>
      </c>
      <c r="L33">
        <f t="shared" si="3"/>
        <v>0.8385</v>
      </c>
    </row>
    <row r="34" spans="1:12" ht="12.75">
      <c r="A34">
        <v>31</v>
      </c>
      <c r="B34" t="s">
        <v>156</v>
      </c>
      <c r="C34" t="s">
        <v>639</v>
      </c>
      <c r="D34" t="s">
        <v>693</v>
      </c>
      <c r="E34">
        <v>4</v>
      </c>
      <c r="F34">
        <f t="shared" si="0"/>
        <v>8</v>
      </c>
      <c r="G34" s="24">
        <v>0</v>
      </c>
      <c r="H34" s="24">
        <f t="shared" si="1"/>
        <v>8</v>
      </c>
      <c r="I34" s="24">
        <v>8</v>
      </c>
      <c r="J34" s="24">
        <f t="shared" si="2"/>
        <v>0</v>
      </c>
      <c r="K34" s="4">
        <v>3.54</v>
      </c>
      <c r="L34">
        <f t="shared" si="3"/>
        <v>28.32</v>
      </c>
    </row>
    <row r="35" spans="1:12" ht="12.75">
      <c r="A35" s="22">
        <v>32</v>
      </c>
      <c r="B35" t="s">
        <v>157</v>
      </c>
      <c r="C35" t="s">
        <v>624</v>
      </c>
      <c r="D35" s="14" t="s">
        <v>556</v>
      </c>
      <c r="E35">
        <v>2</v>
      </c>
      <c r="F35">
        <f t="shared" si="0"/>
        <v>4</v>
      </c>
      <c r="G35" s="24">
        <v>0</v>
      </c>
      <c r="H35" s="24">
        <f t="shared" si="1"/>
        <v>4</v>
      </c>
      <c r="I35" s="24">
        <v>4</v>
      </c>
      <c r="J35" s="24">
        <f t="shared" si="2"/>
        <v>0</v>
      </c>
      <c r="K35" s="4">
        <v>16</v>
      </c>
      <c r="L35">
        <f t="shared" si="3"/>
        <v>64</v>
      </c>
    </row>
    <row r="36" spans="1:12" ht="12.75">
      <c r="A36">
        <v>33</v>
      </c>
      <c r="B36" t="s">
        <v>219</v>
      </c>
      <c r="C36" s="14" t="s">
        <v>549</v>
      </c>
      <c r="D36" s="14" t="s">
        <v>564</v>
      </c>
      <c r="E36">
        <v>2</v>
      </c>
      <c r="F36">
        <f t="shared" si="0"/>
        <v>4</v>
      </c>
      <c r="G36" s="24">
        <v>1</v>
      </c>
      <c r="H36" s="24">
        <f t="shared" si="1"/>
        <v>5</v>
      </c>
      <c r="I36" s="24">
        <v>5</v>
      </c>
      <c r="J36" s="24">
        <f t="shared" si="2"/>
        <v>0</v>
      </c>
      <c r="K36" s="4">
        <v>0.0289</v>
      </c>
      <c r="L36">
        <f t="shared" si="3"/>
        <v>0.1445</v>
      </c>
    </row>
    <row r="37" spans="1:12" ht="12.75">
      <c r="A37">
        <v>34</v>
      </c>
      <c r="B37" t="s">
        <v>894</v>
      </c>
      <c r="C37" s="14" t="s">
        <v>549</v>
      </c>
      <c r="D37" s="14" t="s">
        <v>550</v>
      </c>
      <c r="E37">
        <v>2</v>
      </c>
      <c r="F37">
        <f t="shared" si="0"/>
        <v>4</v>
      </c>
      <c r="G37" s="24">
        <v>1</v>
      </c>
      <c r="H37" s="24">
        <f t="shared" si="1"/>
        <v>5</v>
      </c>
      <c r="I37" s="24">
        <v>5</v>
      </c>
      <c r="J37" s="24">
        <f t="shared" si="2"/>
        <v>0</v>
      </c>
      <c r="K37" s="4">
        <v>0.0548</v>
      </c>
      <c r="L37">
        <f t="shared" si="3"/>
        <v>0.274</v>
      </c>
    </row>
    <row r="38" spans="1:12" s="15" customFormat="1" ht="12" customHeight="1">
      <c r="A38" s="15">
        <v>35</v>
      </c>
      <c r="B38" s="15" t="s">
        <v>158</v>
      </c>
      <c r="C38" s="18" t="s">
        <v>215</v>
      </c>
      <c r="D38" s="18"/>
      <c r="E38" s="15">
        <f>0*7</f>
        <v>0</v>
      </c>
      <c r="F38" s="15">
        <f t="shared" si="0"/>
        <v>0</v>
      </c>
      <c r="G38" s="67">
        <f>E38-F38</f>
        <v>0</v>
      </c>
      <c r="H38" s="67">
        <f t="shared" si="1"/>
        <v>0</v>
      </c>
      <c r="I38" s="67">
        <f>G38-H38</f>
        <v>0</v>
      </c>
      <c r="J38" s="67">
        <f t="shared" si="2"/>
        <v>0</v>
      </c>
      <c r="K38" s="68"/>
      <c r="L38" s="15">
        <f t="shared" si="3"/>
        <v>0</v>
      </c>
    </row>
    <row r="39" spans="1:12" ht="12.75">
      <c r="A39">
        <v>36</v>
      </c>
      <c r="B39" s="1" t="s">
        <v>650</v>
      </c>
      <c r="C39" s="14" t="s">
        <v>610</v>
      </c>
      <c r="D39" s="14" t="s">
        <v>584</v>
      </c>
      <c r="E39">
        <v>2</v>
      </c>
      <c r="F39">
        <f t="shared" si="0"/>
        <v>4</v>
      </c>
      <c r="G39" s="24">
        <v>0</v>
      </c>
      <c r="H39" s="24">
        <f t="shared" si="1"/>
        <v>4</v>
      </c>
      <c r="I39" s="24">
        <v>4</v>
      </c>
      <c r="J39" s="24">
        <f t="shared" si="2"/>
        <v>0</v>
      </c>
      <c r="K39" s="4">
        <v>2.14</v>
      </c>
      <c r="L39">
        <f t="shared" si="3"/>
        <v>8.56</v>
      </c>
    </row>
    <row r="40" spans="1:12" ht="12.75">
      <c r="A40">
        <v>37</v>
      </c>
      <c r="B40" s="1" t="s">
        <v>653</v>
      </c>
      <c r="C40" s="14" t="s">
        <v>610</v>
      </c>
      <c r="D40" s="14" t="s">
        <v>585</v>
      </c>
      <c r="E40">
        <v>2</v>
      </c>
      <c r="F40">
        <f t="shared" si="0"/>
        <v>4</v>
      </c>
      <c r="G40" s="24">
        <v>0</v>
      </c>
      <c r="H40" s="24">
        <f t="shared" si="1"/>
        <v>4</v>
      </c>
      <c r="I40" s="24">
        <v>4</v>
      </c>
      <c r="J40" s="24">
        <f t="shared" si="2"/>
        <v>0</v>
      </c>
      <c r="K40" s="69">
        <v>2.18</v>
      </c>
      <c r="L40">
        <f t="shared" si="3"/>
        <v>8.72</v>
      </c>
    </row>
    <row r="41" spans="1:12" ht="12.75">
      <c r="A41">
        <v>38</v>
      </c>
      <c r="B41" s="1" t="s">
        <v>656</v>
      </c>
      <c r="C41" s="14" t="s">
        <v>610</v>
      </c>
      <c r="D41" s="14" t="s">
        <v>586</v>
      </c>
      <c r="E41">
        <v>4</v>
      </c>
      <c r="F41">
        <f t="shared" si="0"/>
        <v>8</v>
      </c>
      <c r="G41" s="24">
        <v>0</v>
      </c>
      <c r="H41" s="24">
        <f t="shared" si="1"/>
        <v>8</v>
      </c>
      <c r="I41" s="24">
        <v>8</v>
      </c>
      <c r="J41" s="24">
        <f t="shared" si="2"/>
        <v>0</v>
      </c>
      <c r="K41" s="4">
        <v>1.88</v>
      </c>
      <c r="L41">
        <f t="shared" si="3"/>
        <v>15.04</v>
      </c>
    </row>
    <row r="42" spans="1:12" ht="12.75">
      <c r="A42">
        <v>39</v>
      </c>
      <c r="B42" s="1" t="s">
        <v>651</v>
      </c>
      <c r="C42" s="14" t="s">
        <v>278</v>
      </c>
      <c r="D42" s="14" t="s">
        <v>587</v>
      </c>
      <c r="E42">
        <v>1</v>
      </c>
      <c r="F42">
        <f t="shared" si="0"/>
        <v>2</v>
      </c>
      <c r="G42" s="24">
        <v>0</v>
      </c>
      <c r="H42" s="24">
        <f t="shared" si="1"/>
        <v>2</v>
      </c>
      <c r="I42" s="24">
        <v>2</v>
      </c>
      <c r="J42" s="24">
        <f t="shared" si="2"/>
        <v>0</v>
      </c>
      <c r="K42" s="4">
        <v>3.3</v>
      </c>
      <c r="L42">
        <f t="shared" si="3"/>
        <v>6.6</v>
      </c>
    </row>
    <row r="43" spans="1:12" ht="12.75">
      <c r="A43">
        <v>40</v>
      </c>
      <c r="B43" s="1" t="s">
        <v>654</v>
      </c>
      <c r="C43" s="14" t="s">
        <v>278</v>
      </c>
      <c r="D43" s="14" t="s">
        <v>588</v>
      </c>
      <c r="E43">
        <v>1</v>
      </c>
      <c r="F43">
        <f t="shared" si="0"/>
        <v>2</v>
      </c>
      <c r="G43" s="24">
        <v>0</v>
      </c>
      <c r="H43" s="24">
        <f t="shared" si="1"/>
        <v>2</v>
      </c>
      <c r="I43" s="24">
        <v>2</v>
      </c>
      <c r="J43" s="24">
        <f t="shared" si="2"/>
        <v>0</v>
      </c>
      <c r="K43" s="4">
        <v>3.39</v>
      </c>
      <c r="L43">
        <f t="shared" si="3"/>
        <v>6.78</v>
      </c>
    </row>
    <row r="44" spans="1:12" ht="12.75">
      <c r="A44">
        <v>41</v>
      </c>
      <c r="B44" s="1" t="s">
        <v>657</v>
      </c>
      <c r="C44" s="14" t="s">
        <v>278</v>
      </c>
      <c r="D44" s="14" t="s">
        <v>589</v>
      </c>
      <c r="E44">
        <v>2</v>
      </c>
      <c r="F44">
        <f t="shared" si="0"/>
        <v>4</v>
      </c>
      <c r="G44" s="24">
        <v>0</v>
      </c>
      <c r="H44" s="24">
        <f t="shared" si="1"/>
        <v>4</v>
      </c>
      <c r="I44" s="24">
        <v>4</v>
      </c>
      <c r="J44" s="24">
        <f t="shared" si="2"/>
        <v>0</v>
      </c>
      <c r="K44" s="4">
        <v>2.79</v>
      </c>
      <c r="L44">
        <f t="shared" si="3"/>
        <v>11.16</v>
      </c>
    </row>
    <row r="45" spans="1:12" ht="12.75">
      <c r="A45">
        <v>42</v>
      </c>
      <c r="B45" s="1" t="s">
        <v>652</v>
      </c>
      <c r="C45" t="s">
        <v>285</v>
      </c>
      <c r="D45" t="s">
        <v>593</v>
      </c>
      <c r="E45">
        <v>2</v>
      </c>
      <c r="F45">
        <f t="shared" si="0"/>
        <v>4</v>
      </c>
      <c r="G45" s="24">
        <v>0</v>
      </c>
      <c r="H45" s="24">
        <f t="shared" si="1"/>
        <v>4</v>
      </c>
      <c r="I45" s="24">
        <v>4</v>
      </c>
      <c r="J45" s="24">
        <f t="shared" si="2"/>
        <v>0</v>
      </c>
      <c r="K45" s="4">
        <v>1.64</v>
      </c>
      <c r="L45">
        <f t="shared" si="3"/>
        <v>6.56</v>
      </c>
    </row>
    <row r="46" spans="1:12" ht="12.75">
      <c r="A46">
        <v>43</v>
      </c>
      <c r="B46" s="1" t="s">
        <v>655</v>
      </c>
      <c r="C46" t="s">
        <v>285</v>
      </c>
      <c r="D46" t="s">
        <v>594</v>
      </c>
      <c r="E46">
        <v>2</v>
      </c>
      <c r="F46">
        <f t="shared" si="0"/>
        <v>4</v>
      </c>
      <c r="G46" s="24">
        <v>0</v>
      </c>
      <c r="H46" s="24">
        <f t="shared" si="1"/>
        <v>4</v>
      </c>
      <c r="I46" s="24">
        <v>4</v>
      </c>
      <c r="J46" s="24">
        <f t="shared" si="2"/>
        <v>0</v>
      </c>
      <c r="K46" s="4">
        <v>1.65</v>
      </c>
      <c r="L46">
        <f t="shared" si="3"/>
        <v>6.6</v>
      </c>
    </row>
    <row r="47" spans="1:12" ht="12.75">
      <c r="A47">
        <v>44</v>
      </c>
      <c r="B47" s="1" t="s">
        <v>658</v>
      </c>
      <c r="C47" t="s">
        <v>285</v>
      </c>
      <c r="D47" t="s">
        <v>595</v>
      </c>
      <c r="E47">
        <v>6</v>
      </c>
      <c r="F47">
        <f t="shared" si="0"/>
        <v>12</v>
      </c>
      <c r="G47" s="24">
        <v>0</v>
      </c>
      <c r="H47" s="24">
        <f t="shared" si="1"/>
        <v>12</v>
      </c>
      <c r="I47" s="24">
        <v>12</v>
      </c>
      <c r="J47" s="24">
        <f t="shared" si="2"/>
        <v>0</v>
      </c>
      <c r="K47" s="4">
        <v>1.18</v>
      </c>
      <c r="L47">
        <f t="shared" si="3"/>
        <v>14.16</v>
      </c>
    </row>
    <row r="48" spans="1:12" ht="12.75">
      <c r="A48">
        <v>45</v>
      </c>
      <c r="B48" t="s">
        <v>234</v>
      </c>
      <c r="C48" t="s">
        <v>549</v>
      </c>
      <c r="D48" s="14" t="s">
        <v>592</v>
      </c>
      <c r="E48">
        <v>6</v>
      </c>
      <c r="F48">
        <f t="shared" si="0"/>
        <v>12</v>
      </c>
      <c r="G48" s="24">
        <v>1</v>
      </c>
      <c r="H48" s="24">
        <f t="shared" si="1"/>
        <v>13</v>
      </c>
      <c r="I48" s="24">
        <v>13</v>
      </c>
      <c r="J48" s="24">
        <f t="shared" si="2"/>
        <v>0</v>
      </c>
      <c r="K48" s="4">
        <v>0.0548</v>
      </c>
      <c r="L48">
        <f t="shared" si="3"/>
        <v>0.7124</v>
      </c>
    </row>
    <row r="49" spans="1:14" ht="12.75">
      <c r="A49">
        <v>46</v>
      </c>
      <c r="B49" t="s">
        <v>904</v>
      </c>
      <c r="C49" t="s">
        <v>723</v>
      </c>
      <c r="D49" t="s">
        <v>549</v>
      </c>
      <c r="E49">
        <v>1</v>
      </c>
      <c r="F49">
        <f t="shared" si="0"/>
        <v>2</v>
      </c>
      <c r="G49" s="24">
        <v>0</v>
      </c>
      <c r="H49" s="24">
        <v>0</v>
      </c>
      <c r="I49" s="24">
        <v>0</v>
      </c>
      <c r="J49" s="53">
        <f t="shared" si="2"/>
        <v>0</v>
      </c>
      <c r="K49" s="4">
        <v>71.19</v>
      </c>
      <c r="L49">
        <f t="shared" si="3"/>
        <v>0</v>
      </c>
      <c r="M49" s="5">
        <f>F49</f>
        <v>2</v>
      </c>
      <c r="N49" t="s">
        <v>905</v>
      </c>
    </row>
    <row r="50" ht="12.75">
      <c r="E50" s="22"/>
    </row>
    <row r="51" spans="2:12" ht="12.75" hidden="1">
      <c r="B51" t="s">
        <v>908</v>
      </c>
      <c r="E51" s="22"/>
      <c r="I51">
        <v>24</v>
      </c>
      <c r="K51">
        <f>20.83/3</f>
        <v>6.9433333333333325</v>
      </c>
      <c r="L51">
        <f>K51*I51</f>
        <v>166.64</v>
      </c>
    </row>
    <row r="52" spans="2:12" ht="25.5" hidden="1">
      <c r="B52" s="1" t="s">
        <v>907</v>
      </c>
      <c r="C52" s="14"/>
      <c r="D52" s="14"/>
      <c r="I52">
        <v>2</v>
      </c>
      <c r="K52">
        <f>5000/25</f>
        <v>200</v>
      </c>
      <c r="L52">
        <f>K52*I52</f>
        <v>400</v>
      </c>
    </row>
    <row r="53" spans="2:12" ht="12.75" hidden="1">
      <c r="B53" s="1" t="s">
        <v>730</v>
      </c>
      <c r="C53" s="14"/>
      <c r="D53" s="14"/>
      <c r="I53">
        <v>1</v>
      </c>
      <c r="K53">
        <f>0.15*SUM(L5:L52)</f>
        <v>410.8046699999998</v>
      </c>
      <c r="L53">
        <f>K53*I53</f>
        <v>410.8046699999998</v>
      </c>
    </row>
    <row r="54" spans="2:12" ht="12.75" hidden="1">
      <c r="B54" s="1" t="s">
        <v>731</v>
      </c>
      <c r="C54" s="14"/>
      <c r="D54" s="14"/>
      <c r="I54">
        <v>1</v>
      </c>
      <c r="K54">
        <f>0.1*SUM(L5:L52)</f>
        <v>273.86977999999993</v>
      </c>
      <c r="L54">
        <f>K54*I54</f>
        <v>273.86977999999993</v>
      </c>
    </row>
    <row r="55" spans="2:12" ht="12.75" hidden="1">
      <c r="B55" s="1" t="s">
        <v>732</v>
      </c>
      <c r="C55" s="14"/>
      <c r="D55" s="14"/>
      <c r="L55" s="70">
        <f>SUM(L4:L54)</f>
        <v>3472.642249999999</v>
      </c>
    </row>
    <row r="56" spans="1:10" ht="12.75">
      <c r="A56" t="s">
        <v>909</v>
      </c>
      <c r="B56" t="s">
        <v>910</v>
      </c>
      <c r="H56">
        <v>24</v>
      </c>
      <c r="I56">
        <v>24</v>
      </c>
      <c r="J56">
        <v>0</v>
      </c>
    </row>
    <row r="58" spans="2:10" ht="12.75">
      <c r="B58" s="1" t="s">
        <v>607</v>
      </c>
      <c r="I58">
        <v>1</v>
      </c>
      <c r="J58">
        <v>0</v>
      </c>
    </row>
    <row r="59" ht="12.75">
      <c r="B59" s="1"/>
    </row>
    <row r="60" ht="12.75">
      <c r="B60" s="1"/>
    </row>
    <row r="61" ht="12.75">
      <c r="B61" s="1"/>
    </row>
    <row r="62" ht="12.75">
      <c r="B62" s="14"/>
    </row>
    <row r="63" ht="12.75">
      <c r="B63" s="14"/>
    </row>
    <row r="64" ht="12.75">
      <c r="B64" s="14"/>
    </row>
    <row r="65" ht="12.75">
      <c r="B65" s="14"/>
    </row>
    <row r="66" ht="12.75">
      <c r="B66" s="14"/>
    </row>
    <row r="67" ht="12.75">
      <c r="B67" s="14"/>
    </row>
    <row r="68" ht="12.75">
      <c r="B68" s="14"/>
    </row>
    <row r="69" ht="12.75">
      <c r="B69" s="14"/>
    </row>
    <row r="70" ht="12.75">
      <c r="B70" s="14"/>
    </row>
    <row r="71" ht="12.75">
      <c r="B71" s="14"/>
    </row>
    <row r="72" ht="12.75">
      <c r="B72" s="14"/>
    </row>
    <row r="73" ht="12.75">
      <c r="B73" s="14"/>
    </row>
    <row r="74" ht="12.75">
      <c r="B74" s="14"/>
    </row>
    <row r="75" ht="12.75">
      <c r="B75" s="14"/>
    </row>
    <row r="76" ht="12.75">
      <c r="B76" s="14"/>
    </row>
    <row r="77" ht="12.75">
      <c r="B77" s="14"/>
    </row>
    <row r="78" ht="12.75">
      <c r="B78" s="14"/>
    </row>
    <row r="79" ht="12.75">
      <c r="B79" s="14"/>
    </row>
    <row r="80" ht="12.75">
      <c r="B80" s="14"/>
    </row>
    <row r="81" ht="12.75">
      <c r="B81" s="14"/>
    </row>
    <row r="82" ht="12.75">
      <c r="B82" s="14"/>
    </row>
    <row r="83" ht="12.75">
      <c r="B83" s="14"/>
    </row>
    <row r="84" ht="12.75">
      <c r="B84" s="14"/>
    </row>
    <row r="85" ht="12.75">
      <c r="B85" s="14"/>
    </row>
    <row r="86" ht="12.75">
      <c r="B86" s="14"/>
    </row>
    <row r="88" ht="12.75">
      <c r="B88" s="14"/>
    </row>
    <row r="89" ht="12.75">
      <c r="B89" s="14"/>
    </row>
    <row r="90" ht="12.75">
      <c r="B90" s="14"/>
    </row>
    <row r="91" ht="12.75">
      <c r="B91" s="14"/>
    </row>
    <row r="219" ht="12.75">
      <c r="A219" s="22"/>
    </row>
  </sheetData>
  <printOptions gridLines="1"/>
  <pageMargins left="0.375" right="0.375" top="0.5" bottom="0.5" header="0.25" footer="0.25"/>
  <pageSetup fitToHeight="1" fitToWidth="1" horizontalDpi="600" verticalDpi="600" orientation="landscape" paperSize="17" scale="88" r:id="rId1"/>
  <headerFooter alignWithMargins="0">
    <oddHeader>&amp;C&amp;A&amp;R&amp;F</oddHeader>
    <oddFooter>&amp;LK. Kriesel&amp;CPage &amp;P of &amp;N&amp;R&amp;D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69"/>
  <sheetViews>
    <sheetView workbookViewId="0" topLeftCell="A1">
      <pane ySplit="1530" topLeftCell="BM44" activePane="bottomLeft" state="split"/>
      <selection pane="topLeft" activeCell="N2" sqref="N2"/>
      <selection pane="bottomLeft" activeCell="O56" sqref="O56"/>
    </sheetView>
  </sheetViews>
  <sheetFormatPr defaultColWidth="9.140625" defaultRowHeight="12.75"/>
  <cols>
    <col min="1" max="1" width="39.7109375" style="0" customWidth="1"/>
    <col min="2" max="2" width="10.7109375" style="14" customWidth="1"/>
    <col min="3" max="3" width="8.7109375" style="24" customWidth="1"/>
    <col min="4" max="4" width="10.7109375" style="24" hidden="1" customWidth="1"/>
    <col min="5" max="5" width="9.140625" style="24" hidden="1" customWidth="1"/>
    <col min="6" max="6" width="10.7109375" style="24" hidden="1" customWidth="1"/>
    <col min="7" max="7" width="10.7109375" style="0" hidden="1" customWidth="1"/>
    <col min="8" max="8" width="9.00390625" style="24" hidden="1" customWidth="1"/>
    <col min="9" max="11" width="8.8515625" style="24" hidden="1" customWidth="1"/>
    <col min="12" max="12" width="6.7109375" style="0" customWidth="1"/>
    <col min="13" max="13" width="7.7109375" style="0" customWidth="1"/>
    <col min="15" max="15" width="35.28125" style="0" customWidth="1"/>
    <col min="16" max="16" width="9.8515625" style="0" bestFit="1" customWidth="1"/>
  </cols>
  <sheetData>
    <row r="1" spans="1:16" s="1" customFormat="1" ht="63.75">
      <c r="A1" s="1" t="s">
        <v>2</v>
      </c>
      <c r="B1" s="13" t="s">
        <v>3</v>
      </c>
      <c r="C1" s="25" t="s">
        <v>4</v>
      </c>
      <c r="D1" s="25" t="s">
        <v>281</v>
      </c>
      <c r="E1" s="25" t="s">
        <v>281</v>
      </c>
      <c r="F1" s="25" t="s">
        <v>281</v>
      </c>
      <c r="G1" s="1" t="s">
        <v>281</v>
      </c>
      <c r="H1" s="25"/>
      <c r="I1" s="25"/>
      <c r="J1" s="25"/>
      <c r="K1" s="25"/>
      <c r="L1" s="1" t="s">
        <v>340</v>
      </c>
      <c r="M1" s="1" t="s">
        <v>435</v>
      </c>
      <c r="N1" s="1" t="s">
        <v>442</v>
      </c>
      <c r="P1" s="1" t="s">
        <v>448</v>
      </c>
    </row>
    <row r="2" spans="1:16" ht="12.75">
      <c r="A2" t="s">
        <v>210</v>
      </c>
      <c r="B2" s="14" t="s">
        <v>8</v>
      </c>
      <c r="C2" s="24">
        <v>94</v>
      </c>
      <c r="G2" s="2"/>
      <c r="L2">
        <f aca="true" t="shared" si="0" ref="L2:L30">C2*25</f>
        <v>2350</v>
      </c>
      <c r="M2">
        <v>2360</v>
      </c>
      <c r="N2">
        <v>0.0492</v>
      </c>
      <c r="O2" t="s">
        <v>454</v>
      </c>
      <c r="P2" s="4">
        <f>N2*M2</f>
        <v>116.112</v>
      </c>
    </row>
    <row r="3" spans="1:16" ht="12.75">
      <c r="A3" t="s">
        <v>246</v>
      </c>
      <c r="B3" s="14" t="s">
        <v>8</v>
      </c>
      <c r="C3" s="24">
        <v>18</v>
      </c>
      <c r="G3" s="2"/>
      <c r="L3">
        <f t="shared" si="0"/>
        <v>450</v>
      </c>
      <c r="M3">
        <v>455</v>
      </c>
      <c r="N3">
        <v>0.0332</v>
      </c>
      <c r="P3" s="4">
        <f aca="true" t="shared" si="1" ref="P3:P58">N3*M3</f>
        <v>15.106</v>
      </c>
    </row>
    <row r="4" spans="1:16" ht="12.75">
      <c r="A4" t="s">
        <v>247</v>
      </c>
      <c r="B4" s="14" t="s">
        <v>8</v>
      </c>
      <c r="C4" s="24">
        <v>6</v>
      </c>
      <c r="G4" s="2"/>
      <c r="L4">
        <f t="shared" si="0"/>
        <v>150</v>
      </c>
      <c r="M4">
        <v>152</v>
      </c>
      <c r="N4">
        <v>0.1317</v>
      </c>
      <c r="P4" s="4">
        <f t="shared" si="1"/>
        <v>20.018400000000003</v>
      </c>
    </row>
    <row r="5" spans="1:16" ht="12.75">
      <c r="A5" t="s">
        <v>209</v>
      </c>
      <c r="B5" s="14" t="s">
        <v>8</v>
      </c>
      <c r="C5" s="24">
        <v>96</v>
      </c>
      <c r="G5" s="2"/>
      <c r="L5">
        <f t="shared" si="0"/>
        <v>2400</v>
      </c>
      <c r="M5">
        <v>2420</v>
      </c>
      <c r="N5">
        <v>0.1375</v>
      </c>
      <c r="O5" t="s">
        <v>451</v>
      </c>
      <c r="P5" s="4">
        <f t="shared" si="1"/>
        <v>332.75</v>
      </c>
    </row>
    <row r="6" spans="1:16" ht="12.75">
      <c r="A6" t="s">
        <v>228</v>
      </c>
      <c r="B6" s="14" t="s">
        <v>8</v>
      </c>
      <c r="C6" s="24">
        <v>96</v>
      </c>
      <c r="G6" s="2"/>
      <c r="L6">
        <f t="shared" si="0"/>
        <v>2400</v>
      </c>
      <c r="M6">
        <v>2420</v>
      </c>
      <c r="N6">
        <v>0.0186</v>
      </c>
      <c r="O6" t="s">
        <v>453</v>
      </c>
      <c r="P6" s="4">
        <f t="shared" si="1"/>
        <v>45.01199999999999</v>
      </c>
    </row>
    <row r="7" spans="1:16" ht="12.75">
      <c r="A7" t="s">
        <v>208</v>
      </c>
      <c r="B7" s="14" t="s">
        <v>8</v>
      </c>
      <c r="C7" s="24">
        <v>30</v>
      </c>
      <c r="L7">
        <f t="shared" si="0"/>
        <v>750</v>
      </c>
      <c r="M7">
        <v>760</v>
      </c>
      <c r="N7">
        <v>0.165</v>
      </c>
      <c r="O7" t="s">
        <v>452</v>
      </c>
      <c r="P7" s="4">
        <f t="shared" si="1"/>
        <v>125.4</v>
      </c>
    </row>
    <row r="8" spans="1:16" ht="12.75">
      <c r="A8" t="s">
        <v>260</v>
      </c>
      <c r="B8" s="14" t="s">
        <v>8</v>
      </c>
      <c r="C8" s="24">
        <v>24</v>
      </c>
      <c r="G8" s="2"/>
      <c r="L8">
        <f t="shared" si="0"/>
        <v>600</v>
      </c>
      <c r="M8">
        <v>610</v>
      </c>
      <c r="N8">
        <v>0.0152</v>
      </c>
      <c r="P8" s="4">
        <f t="shared" si="1"/>
        <v>9.272</v>
      </c>
    </row>
    <row r="9" spans="1:16" ht="12.75">
      <c r="A9" t="s">
        <v>249</v>
      </c>
      <c r="B9" s="14" t="s">
        <v>8</v>
      </c>
      <c r="C9" s="24">
        <v>6</v>
      </c>
      <c r="G9" s="2"/>
      <c r="L9">
        <f t="shared" si="0"/>
        <v>150</v>
      </c>
      <c r="M9">
        <v>154</v>
      </c>
      <c r="N9">
        <v>0.0645</v>
      </c>
      <c r="P9" s="4">
        <f t="shared" si="1"/>
        <v>9.933</v>
      </c>
    </row>
    <row r="10" spans="1:16" ht="12.75">
      <c r="A10" t="s">
        <v>219</v>
      </c>
      <c r="B10" s="14" t="s">
        <v>8</v>
      </c>
      <c r="C10" s="24">
        <v>2</v>
      </c>
      <c r="L10">
        <f t="shared" si="0"/>
        <v>50</v>
      </c>
      <c r="M10">
        <v>52</v>
      </c>
      <c r="N10">
        <v>0.0289</v>
      </c>
      <c r="P10" s="4">
        <f t="shared" si="1"/>
        <v>1.5028</v>
      </c>
    </row>
    <row r="11" spans="1:16" ht="12.75">
      <c r="A11" t="s">
        <v>338</v>
      </c>
      <c r="B11" s="14" t="s">
        <v>8</v>
      </c>
      <c r="C11" s="24">
        <v>2</v>
      </c>
      <c r="G11" s="2"/>
      <c r="L11">
        <f t="shared" si="0"/>
        <v>50</v>
      </c>
      <c r="M11" s="34">
        <v>52</v>
      </c>
      <c r="N11">
        <v>0.0548</v>
      </c>
      <c r="P11" s="4">
        <f t="shared" si="1"/>
        <v>2.8496</v>
      </c>
    </row>
    <row r="12" spans="1:16" ht="12.75">
      <c r="A12" t="s">
        <v>339</v>
      </c>
      <c r="B12" s="14" t="s">
        <v>8</v>
      </c>
      <c r="C12" s="24">
        <v>6</v>
      </c>
      <c r="G12" s="2"/>
      <c r="K12" s="26"/>
      <c r="L12">
        <f t="shared" si="0"/>
        <v>150</v>
      </c>
      <c r="M12" s="34">
        <v>154</v>
      </c>
      <c r="N12">
        <v>0.0548</v>
      </c>
      <c r="O12" s="5" t="s">
        <v>455</v>
      </c>
      <c r="P12" s="4">
        <f t="shared" si="1"/>
        <v>8.4392</v>
      </c>
    </row>
    <row r="13" spans="3:16" ht="25.5">
      <c r="C13" s="24">
        <v>6</v>
      </c>
      <c r="G13" s="2"/>
      <c r="K13" s="27"/>
      <c r="L13">
        <v>150</v>
      </c>
      <c r="M13" s="34">
        <v>150</v>
      </c>
      <c r="N13">
        <v>2</v>
      </c>
      <c r="O13" s="59" t="s">
        <v>459</v>
      </c>
      <c r="P13" s="4">
        <f t="shared" si="1"/>
        <v>300</v>
      </c>
    </row>
    <row r="14" spans="1:16" ht="12.75">
      <c r="A14" t="s">
        <v>254</v>
      </c>
      <c r="B14" s="14" t="s">
        <v>233</v>
      </c>
      <c r="C14" s="24">
        <v>2</v>
      </c>
      <c r="G14" s="2"/>
      <c r="L14">
        <f t="shared" si="0"/>
        <v>50</v>
      </c>
      <c r="M14">
        <v>50</v>
      </c>
      <c r="N14">
        <v>2.14</v>
      </c>
      <c r="P14" s="4">
        <f t="shared" si="1"/>
        <v>107</v>
      </c>
    </row>
    <row r="15" spans="1:16" ht="12.75">
      <c r="A15" t="s">
        <v>255</v>
      </c>
      <c r="B15" s="14" t="s">
        <v>233</v>
      </c>
      <c r="C15" s="24">
        <v>2</v>
      </c>
      <c r="L15">
        <f t="shared" si="0"/>
        <v>50</v>
      </c>
      <c r="M15">
        <v>50</v>
      </c>
      <c r="N15">
        <v>2.18</v>
      </c>
      <c r="P15" s="4">
        <f t="shared" si="1"/>
        <v>109.00000000000001</v>
      </c>
    </row>
    <row r="16" spans="1:16" ht="12.75">
      <c r="A16" t="s">
        <v>256</v>
      </c>
      <c r="B16" s="14" t="s">
        <v>233</v>
      </c>
      <c r="C16" s="24">
        <v>4</v>
      </c>
      <c r="G16" s="2"/>
      <c r="L16">
        <f t="shared" si="0"/>
        <v>100</v>
      </c>
      <c r="M16">
        <v>100</v>
      </c>
      <c r="N16">
        <v>1.88</v>
      </c>
      <c r="P16" s="4">
        <f t="shared" si="1"/>
        <v>188</v>
      </c>
    </row>
    <row r="17" spans="1:16" ht="12.75">
      <c r="A17" t="s">
        <v>257</v>
      </c>
      <c r="B17" s="14" t="s">
        <v>278</v>
      </c>
      <c r="C17" s="24">
        <v>1</v>
      </c>
      <c r="G17" s="2"/>
      <c r="L17">
        <f t="shared" si="0"/>
        <v>25</v>
      </c>
      <c r="M17">
        <v>25</v>
      </c>
      <c r="N17">
        <v>3.3</v>
      </c>
      <c r="P17" s="4">
        <f t="shared" si="1"/>
        <v>82.5</v>
      </c>
    </row>
    <row r="18" spans="1:16" ht="12.75">
      <c r="A18" t="s">
        <v>258</v>
      </c>
      <c r="B18" s="14" t="s">
        <v>278</v>
      </c>
      <c r="C18" s="24">
        <v>1</v>
      </c>
      <c r="G18" s="2"/>
      <c r="L18">
        <f t="shared" si="0"/>
        <v>25</v>
      </c>
      <c r="M18">
        <v>25</v>
      </c>
      <c r="N18">
        <v>3.39</v>
      </c>
      <c r="P18" s="4">
        <f t="shared" si="1"/>
        <v>84.75</v>
      </c>
    </row>
    <row r="19" spans="1:16" ht="12.75">
      <c r="A19" t="s">
        <v>259</v>
      </c>
      <c r="B19" s="14" t="s">
        <v>278</v>
      </c>
      <c r="C19" s="24">
        <v>2</v>
      </c>
      <c r="G19" s="2"/>
      <c r="L19">
        <f t="shared" si="0"/>
        <v>50</v>
      </c>
      <c r="M19">
        <v>50</v>
      </c>
      <c r="N19">
        <v>2.79</v>
      </c>
      <c r="P19" s="4">
        <f t="shared" si="1"/>
        <v>139.5</v>
      </c>
    </row>
    <row r="20" spans="1:16" ht="12.75">
      <c r="A20" t="s">
        <v>7</v>
      </c>
      <c r="B20" s="14" t="s">
        <v>177</v>
      </c>
      <c r="C20" s="24">
        <v>32</v>
      </c>
      <c r="G20" s="2"/>
      <c r="L20">
        <f t="shared" si="0"/>
        <v>800</v>
      </c>
      <c r="M20">
        <v>803</v>
      </c>
      <c r="N20">
        <v>2.97</v>
      </c>
      <c r="P20" s="4">
        <f t="shared" si="1"/>
        <v>2384.9100000000003</v>
      </c>
    </row>
    <row r="21" spans="1:16" ht="14.25" customHeight="1">
      <c r="A21" t="s">
        <v>6</v>
      </c>
      <c r="B21" s="14" t="s">
        <v>176</v>
      </c>
      <c r="C21" s="24">
        <v>6</v>
      </c>
      <c r="G21" s="2"/>
      <c r="L21">
        <f t="shared" si="0"/>
        <v>150</v>
      </c>
      <c r="M21">
        <v>153</v>
      </c>
      <c r="N21">
        <v>2.88</v>
      </c>
      <c r="P21" s="4">
        <f t="shared" si="1"/>
        <v>440.64</v>
      </c>
    </row>
    <row r="22" spans="1:16" ht="14.25" customHeight="1">
      <c r="A22" t="s">
        <v>5</v>
      </c>
      <c r="B22" s="14" t="s">
        <v>240</v>
      </c>
      <c r="C22" s="24">
        <v>6</v>
      </c>
      <c r="G22" s="2"/>
      <c r="L22">
        <f t="shared" si="0"/>
        <v>150</v>
      </c>
      <c r="M22">
        <v>152</v>
      </c>
      <c r="N22">
        <v>3.79</v>
      </c>
      <c r="P22" s="4">
        <f t="shared" si="1"/>
        <v>576.08</v>
      </c>
    </row>
    <row r="23" spans="1:16" ht="12.75">
      <c r="A23" t="s">
        <v>27</v>
      </c>
      <c r="B23" s="14" t="s">
        <v>232</v>
      </c>
      <c r="C23" s="24">
        <v>2</v>
      </c>
      <c r="G23" s="2"/>
      <c r="L23">
        <f t="shared" si="0"/>
        <v>50</v>
      </c>
      <c r="M23">
        <v>50</v>
      </c>
      <c r="N23">
        <v>9.25</v>
      </c>
      <c r="P23" s="4">
        <f t="shared" si="1"/>
        <v>462.5</v>
      </c>
    </row>
    <row r="24" spans="1:16" ht="12.75">
      <c r="A24" t="s">
        <v>248</v>
      </c>
      <c r="B24" s="14" t="s">
        <v>231</v>
      </c>
      <c r="C24" s="24">
        <v>2</v>
      </c>
      <c r="G24" s="2"/>
      <c r="L24">
        <f t="shared" si="0"/>
        <v>50</v>
      </c>
      <c r="M24">
        <v>50</v>
      </c>
      <c r="N24">
        <v>8.85</v>
      </c>
      <c r="P24" s="4">
        <f t="shared" si="1"/>
        <v>442.5</v>
      </c>
    </row>
    <row r="25" spans="1:16" ht="12.75">
      <c r="A25" t="s">
        <v>150</v>
      </c>
      <c r="B25" s="14" t="s">
        <v>241</v>
      </c>
      <c r="C25" s="24">
        <v>1</v>
      </c>
      <c r="G25" s="2"/>
      <c r="L25">
        <f t="shared" si="0"/>
        <v>25</v>
      </c>
      <c r="M25">
        <v>25</v>
      </c>
      <c r="N25">
        <v>8.85</v>
      </c>
      <c r="P25" s="4">
        <f t="shared" si="1"/>
        <v>221.25</v>
      </c>
    </row>
    <row r="26" spans="1:16" ht="12.75">
      <c r="A26" t="s">
        <v>151</v>
      </c>
      <c r="B26" s="14" t="s">
        <v>242</v>
      </c>
      <c r="C26" s="24">
        <v>1</v>
      </c>
      <c r="G26" s="2"/>
      <c r="L26">
        <f t="shared" si="0"/>
        <v>25</v>
      </c>
      <c r="M26">
        <v>25</v>
      </c>
      <c r="N26">
        <v>9.75</v>
      </c>
      <c r="P26" s="4">
        <f t="shared" si="1"/>
        <v>243.75</v>
      </c>
    </row>
    <row r="27" spans="1:16" ht="12.75">
      <c r="A27" t="s">
        <v>152</v>
      </c>
      <c r="B27" s="14" t="s">
        <v>243</v>
      </c>
      <c r="C27" s="24">
        <v>1</v>
      </c>
      <c r="G27" s="2"/>
      <c r="L27">
        <f t="shared" si="0"/>
        <v>25</v>
      </c>
      <c r="M27">
        <v>25</v>
      </c>
      <c r="N27">
        <v>8.75</v>
      </c>
      <c r="P27" s="4">
        <f t="shared" si="1"/>
        <v>218.75</v>
      </c>
    </row>
    <row r="28" spans="1:16" ht="12.75">
      <c r="A28" t="s">
        <v>153</v>
      </c>
      <c r="B28" s="14" t="s">
        <v>244</v>
      </c>
      <c r="C28" s="24">
        <v>1</v>
      </c>
      <c r="G28" s="2"/>
      <c r="L28">
        <f t="shared" si="0"/>
        <v>25</v>
      </c>
      <c r="M28">
        <v>25</v>
      </c>
      <c r="N28">
        <v>9.5</v>
      </c>
      <c r="P28" s="4">
        <f t="shared" si="1"/>
        <v>237.5</v>
      </c>
    </row>
    <row r="29" spans="1:16" ht="12.75">
      <c r="A29" t="s">
        <v>154</v>
      </c>
      <c r="B29" s="14" t="s">
        <v>264</v>
      </c>
      <c r="C29" s="24">
        <v>1</v>
      </c>
      <c r="G29" s="2"/>
      <c r="L29">
        <f t="shared" si="0"/>
        <v>25</v>
      </c>
      <c r="M29">
        <v>25</v>
      </c>
      <c r="N29">
        <v>8.95</v>
      </c>
      <c r="P29" s="4">
        <f t="shared" si="1"/>
        <v>223.74999999999997</v>
      </c>
    </row>
    <row r="30" spans="1:16" ht="12.75">
      <c r="A30" t="s">
        <v>155</v>
      </c>
      <c r="B30" s="14" t="s">
        <v>267</v>
      </c>
      <c r="C30" s="24">
        <v>1</v>
      </c>
      <c r="G30" s="2"/>
      <c r="L30">
        <f t="shared" si="0"/>
        <v>25</v>
      </c>
      <c r="M30">
        <v>25</v>
      </c>
      <c r="N30">
        <v>9.85</v>
      </c>
      <c r="P30" s="4">
        <f t="shared" si="1"/>
        <v>246.25</v>
      </c>
    </row>
    <row r="31" spans="1:16" ht="12.75">
      <c r="A31" t="s">
        <v>14</v>
      </c>
      <c r="B31" s="14" t="s">
        <v>272</v>
      </c>
      <c r="C31" s="24">
        <v>1</v>
      </c>
      <c r="G31" s="2"/>
      <c r="L31">
        <f aca="true" t="shared" si="2" ref="L31:L54">C31*25</f>
        <v>25</v>
      </c>
      <c r="M31">
        <v>25</v>
      </c>
      <c r="N31">
        <v>19.3</v>
      </c>
      <c r="P31" s="4">
        <f t="shared" si="1"/>
        <v>482.5</v>
      </c>
    </row>
    <row r="32" spans="1:16" ht="12.75">
      <c r="A32" t="s">
        <v>15</v>
      </c>
      <c r="B32" s="14" t="s">
        <v>273</v>
      </c>
      <c r="C32" s="24">
        <v>1</v>
      </c>
      <c r="G32" s="2"/>
      <c r="L32">
        <f t="shared" si="2"/>
        <v>25</v>
      </c>
      <c r="M32">
        <v>25</v>
      </c>
      <c r="N32">
        <v>18.3</v>
      </c>
      <c r="P32" s="4">
        <f t="shared" si="1"/>
        <v>457.5</v>
      </c>
    </row>
    <row r="33" spans="1:16" ht="12.75">
      <c r="A33" t="s">
        <v>250</v>
      </c>
      <c r="B33" s="14" t="s">
        <v>296</v>
      </c>
      <c r="C33" s="24">
        <v>1</v>
      </c>
      <c r="G33" s="2"/>
      <c r="L33">
        <f t="shared" si="2"/>
        <v>25</v>
      </c>
      <c r="M33">
        <v>25</v>
      </c>
      <c r="N33">
        <v>46.2</v>
      </c>
      <c r="O33" t="s">
        <v>436</v>
      </c>
      <c r="P33" s="4">
        <f t="shared" si="1"/>
        <v>1155</v>
      </c>
    </row>
    <row r="34" spans="1:16" ht="12.75">
      <c r="A34" t="s">
        <v>250</v>
      </c>
      <c r="B34" s="58"/>
      <c r="C34" s="24">
        <v>1</v>
      </c>
      <c r="G34" s="2"/>
      <c r="L34">
        <f>C34*25</f>
        <v>25</v>
      </c>
      <c r="M34">
        <v>25</v>
      </c>
      <c r="N34">
        <f>32.35-N33</f>
        <v>-13.850000000000001</v>
      </c>
      <c r="O34" t="s">
        <v>441</v>
      </c>
      <c r="P34" s="4">
        <f t="shared" si="1"/>
        <v>-346.25000000000006</v>
      </c>
    </row>
    <row r="35" spans="1:16" ht="12.75">
      <c r="A35" t="s">
        <v>250</v>
      </c>
      <c r="C35" s="24">
        <v>1</v>
      </c>
      <c r="G35" s="2"/>
      <c r="L35">
        <f>C35*25</f>
        <v>25</v>
      </c>
      <c r="M35">
        <v>25</v>
      </c>
      <c r="N35">
        <v>9.22</v>
      </c>
      <c r="O35" t="s">
        <v>443</v>
      </c>
      <c r="P35" s="4">
        <f t="shared" si="1"/>
        <v>230.50000000000003</v>
      </c>
    </row>
    <row r="36" spans="1:16" ht="38.25">
      <c r="A36" t="s">
        <v>250</v>
      </c>
      <c r="B36" s="13" t="s">
        <v>445</v>
      </c>
      <c r="C36" s="24">
        <v>1</v>
      </c>
      <c r="G36" s="2"/>
      <c r="L36">
        <f>C36*25</f>
        <v>25</v>
      </c>
      <c r="M36">
        <v>25</v>
      </c>
      <c r="N36">
        <v>9.47</v>
      </c>
      <c r="O36" s="1" t="s">
        <v>456</v>
      </c>
      <c r="P36" s="4">
        <f t="shared" si="1"/>
        <v>236.75000000000003</v>
      </c>
    </row>
    <row r="37" spans="3:16" ht="25.5">
      <c r="C37" s="24">
        <v>1</v>
      </c>
      <c r="G37" s="2"/>
      <c r="L37">
        <f>C37*25</f>
        <v>25</v>
      </c>
      <c r="M37">
        <f>L37</f>
        <v>25</v>
      </c>
      <c r="N37">
        <v>-8</v>
      </c>
      <c r="O37" s="59" t="s">
        <v>460</v>
      </c>
      <c r="P37" s="4">
        <f t="shared" si="1"/>
        <v>-200</v>
      </c>
    </row>
    <row r="38" spans="3:16" ht="25.5">
      <c r="C38" s="24">
        <v>1</v>
      </c>
      <c r="G38" s="2"/>
      <c r="L38">
        <f>C38*25</f>
        <v>25</v>
      </c>
      <c r="M38">
        <f>L38</f>
        <v>25</v>
      </c>
      <c r="N38">
        <v>5</v>
      </c>
      <c r="O38" s="59" t="s">
        <v>457</v>
      </c>
      <c r="P38" s="4">
        <f t="shared" si="1"/>
        <v>125</v>
      </c>
    </row>
    <row r="39" spans="1:16" ht="12.75">
      <c r="A39" t="s">
        <v>251</v>
      </c>
      <c r="B39" s="14" t="s">
        <v>297</v>
      </c>
      <c r="C39" s="24">
        <v>1</v>
      </c>
      <c r="G39" s="2"/>
      <c r="L39">
        <f t="shared" si="2"/>
        <v>25</v>
      </c>
      <c r="M39">
        <v>25</v>
      </c>
      <c r="N39">
        <v>23.98</v>
      </c>
      <c r="P39" s="4">
        <f t="shared" si="1"/>
        <v>599.5</v>
      </c>
    </row>
    <row r="40" spans="1:16" ht="12.75">
      <c r="A40" t="s">
        <v>252</v>
      </c>
      <c r="B40" s="14" t="s">
        <v>274</v>
      </c>
      <c r="C40" s="24">
        <v>1</v>
      </c>
      <c r="G40" s="2"/>
      <c r="L40">
        <f t="shared" si="2"/>
        <v>25</v>
      </c>
      <c r="M40">
        <v>25</v>
      </c>
      <c r="N40">
        <v>24.81</v>
      </c>
      <c r="P40" s="4">
        <f t="shared" si="1"/>
        <v>620.25</v>
      </c>
    </row>
    <row r="41" spans="3:16" ht="51">
      <c r="C41" s="24">
        <v>1</v>
      </c>
      <c r="G41" s="2"/>
      <c r="L41">
        <f>C41*25</f>
        <v>25</v>
      </c>
      <c r="M41">
        <v>25</v>
      </c>
      <c r="N41">
        <v>13.22</v>
      </c>
      <c r="O41" s="1" t="s">
        <v>444</v>
      </c>
      <c r="P41" s="4">
        <f t="shared" si="1"/>
        <v>330.5</v>
      </c>
    </row>
    <row r="42" spans="1:16" ht="12.75">
      <c r="A42" t="s">
        <v>253</v>
      </c>
      <c r="B42" s="14" t="s">
        <v>275</v>
      </c>
      <c r="C42" s="24">
        <v>1</v>
      </c>
      <c r="G42" s="2"/>
      <c r="L42">
        <f t="shared" si="2"/>
        <v>25</v>
      </c>
      <c r="M42">
        <v>25</v>
      </c>
      <c r="N42">
        <v>23.98</v>
      </c>
      <c r="P42" s="4">
        <f t="shared" si="1"/>
        <v>599.5</v>
      </c>
    </row>
    <row r="43" spans="1:16" ht="12.75">
      <c r="A43" t="s">
        <v>20</v>
      </c>
      <c r="B43" s="14" t="s">
        <v>432</v>
      </c>
      <c r="C43" s="24">
        <v>1</v>
      </c>
      <c r="G43" s="2"/>
      <c r="L43">
        <f t="shared" si="2"/>
        <v>25</v>
      </c>
      <c r="M43">
        <v>25</v>
      </c>
      <c r="N43">
        <v>46.8</v>
      </c>
      <c r="P43" s="4">
        <f t="shared" si="1"/>
        <v>1170</v>
      </c>
    </row>
    <row r="44" spans="3:16" ht="12.75">
      <c r="C44" s="24">
        <v>1</v>
      </c>
      <c r="G44" s="2"/>
      <c r="L44">
        <f>C44*25</f>
        <v>25</v>
      </c>
      <c r="M44">
        <v>25</v>
      </c>
      <c r="N44">
        <v>8.3</v>
      </c>
      <c r="O44" t="s">
        <v>437</v>
      </c>
      <c r="P44" s="4">
        <f t="shared" si="1"/>
        <v>207.50000000000003</v>
      </c>
    </row>
    <row r="45" spans="1:16" ht="12.75">
      <c r="A45" t="s">
        <v>21</v>
      </c>
      <c r="B45" s="14" t="s">
        <v>294</v>
      </c>
      <c r="C45" s="24">
        <v>1</v>
      </c>
      <c r="G45" s="2"/>
      <c r="L45">
        <f t="shared" si="2"/>
        <v>25</v>
      </c>
      <c r="M45">
        <v>25</v>
      </c>
      <c r="N45">
        <v>17.95</v>
      </c>
      <c r="P45" s="4">
        <f t="shared" si="1"/>
        <v>448.75</v>
      </c>
    </row>
    <row r="46" spans="1:16" ht="12.75">
      <c r="A46" t="s">
        <v>23</v>
      </c>
      <c r="B46" s="14" t="s">
        <v>230</v>
      </c>
      <c r="C46" s="24">
        <v>2</v>
      </c>
      <c r="G46" s="2"/>
      <c r="L46">
        <f t="shared" si="2"/>
        <v>50</v>
      </c>
      <c r="M46">
        <v>50</v>
      </c>
      <c r="N46">
        <v>6.32</v>
      </c>
      <c r="P46" s="4">
        <f t="shared" si="1"/>
        <v>316</v>
      </c>
    </row>
    <row r="47" spans="1:16" ht="12.75">
      <c r="A47" t="s">
        <v>438</v>
      </c>
      <c r="B47" s="14" t="s">
        <v>276</v>
      </c>
      <c r="C47" s="24">
        <v>1</v>
      </c>
      <c r="G47" s="2"/>
      <c r="L47">
        <f t="shared" si="2"/>
        <v>25</v>
      </c>
      <c r="M47">
        <v>25</v>
      </c>
      <c r="N47">
        <v>45</v>
      </c>
      <c r="P47" s="4">
        <f t="shared" si="1"/>
        <v>1125</v>
      </c>
    </row>
    <row r="48" spans="1:16" ht="12.75">
      <c r="A48" t="s">
        <v>25</v>
      </c>
      <c r="B48" s="14" t="s">
        <v>277</v>
      </c>
      <c r="C48" s="24">
        <v>1</v>
      </c>
      <c r="G48" s="2"/>
      <c r="L48">
        <f t="shared" si="2"/>
        <v>25</v>
      </c>
      <c r="M48">
        <v>25</v>
      </c>
      <c r="N48">
        <v>16.99</v>
      </c>
      <c r="P48" s="4">
        <f t="shared" si="1"/>
        <v>424.74999999999994</v>
      </c>
    </row>
    <row r="49" spans="1:16" ht="12.75">
      <c r="A49" t="s">
        <v>279</v>
      </c>
      <c r="B49" s="14" t="s">
        <v>280</v>
      </c>
      <c r="C49" s="24">
        <v>4</v>
      </c>
      <c r="G49" s="2"/>
      <c r="L49">
        <f t="shared" si="2"/>
        <v>100</v>
      </c>
      <c r="M49">
        <v>100</v>
      </c>
      <c r="N49">
        <v>3.7</v>
      </c>
      <c r="P49" s="4">
        <f t="shared" si="1"/>
        <v>370</v>
      </c>
    </row>
    <row r="50" spans="1:16" ht="12.75">
      <c r="A50" t="s">
        <v>282</v>
      </c>
      <c r="B50" s="14" t="s">
        <v>285</v>
      </c>
      <c r="C50" s="24">
        <v>2</v>
      </c>
      <c r="G50" s="2"/>
      <c r="L50">
        <f t="shared" si="2"/>
        <v>50</v>
      </c>
      <c r="M50">
        <v>51</v>
      </c>
      <c r="N50">
        <v>1.64</v>
      </c>
      <c r="P50" s="4">
        <f t="shared" si="1"/>
        <v>83.64</v>
      </c>
    </row>
    <row r="51" spans="1:16" ht="12.75">
      <c r="A51" t="s">
        <v>283</v>
      </c>
      <c r="B51" s="14" t="s">
        <v>285</v>
      </c>
      <c r="C51" s="24">
        <v>2</v>
      </c>
      <c r="G51" s="2"/>
      <c r="L51">
        <f t="shared" si="2"/>
        <v>50</v>
      </c>
      <c r="M51">
        <v>50</v>
      </c>
      <c r="N51">
        <v>1.65</v>
      </c>
      <c r="P51" s="4">
        <f t="shared" si="1"/>
        <v>82.5</v>
      </c>
    </row>
    <row r="52" spans="1:16" ht="12.75">
      <c r="A52" t="s">
        <v>284</v>
      </c>
      <c r="B52" s="14" t="s">
        <v>285</v>
      </c>
      <c r="C52" s="24">
        <v>6</v>
      </c>
      <c r="G52" s="2"/>
      <c r="L52">
        <f t="shared" si="2"/>
        <v>150</v>
      </c>
      <c r="M52">
        <v>150</v>
      </c>
      <c r="N52">
        <v>1.18</v>
      </c>
      <c r="P52" s="4">
        <f t="shared" si="1"/>
        <v>177</v>
      </c>
    </row>
    <row r="53" spans="1:16" ht="12.75">
      <c r="A53" t="s">
        <v>157</v>
      </c>
      <c r="B53" s="14" t="s">
        <v>245</v>
      </c>
      <c r="C53" s="24">
        <v>2</v>
      </c>
      <c r="G53" s="2"/>
      <c r="L53">
        <f t="shared" si="2"/>
        <v>50</v>
      </c>
      <c r="M53">
        <v>50</v>
      </c>
      <c r="N53">
        <v>11.9</v>
      </c>
      <c r="O53" t="s">
        <v>462</v>
      </c>
      <c r="P53" s="4">
        <f t="shared" si="1"/>
        <v>595</v>
      </c>
    </row>
    <row r="54" spans="1:16" ht="12.75">
      <c r="A54" t="s">
        <v>293</v>
      </c>
      <c r="B54" s="14" t="s">
        <v>433</v>
      </c>
      <c r="C54" s="24">
        <v>1</v>
      </c>
      <c r="G54" s="2"/>
      <c r="L54">
        <f t="shared" si="2"/>
        <v>25</v>
      </c>
      <c r="M54">
        <v>25</v>
      </c>
      <c r="N54">
        <f>N47</f>
        <v>45</v>
      </c>
      <c r="O54" t="s">
        <v>440</v>
      </c>
      <c r="P54" s="4">
        <f t="shared" si="1"/>
        <v>1125</v>
      </c>
    </row>
    <row r="55" spans="3:16" ht="12.75">
      <c r="C55" s="24">
        <v>1</v>
      </c>
      <c r="G55" s="2"/>
      <c r="L55">
        <v>25</v>
      </c>
      <c r="M55">
        <v>25</v>
      </c>
      <c r="N55">
        <v>16</v>
      </c>
      <c r="O55" t="s">
        <v>439</v>
      </c>
      <c r="P55" s="4">
        <f t="shared" si="1"/>
        <v>400</v>
      </c>
    </row>
    <row r="56" spans="3:16" ht="25.5">
      <c r="C56" s="24">
        <v>1</v>
      </c>
      <c r="G56" s="2"/>
      <c r="L56">
        <v>25</v>
      </c>
      <c r="M56">
        <v>25</v>
      </c>
      <c r="N56">
        <v>10</v>
      </c>
      <c r="O56" s="59" t="s">
        <v>458</v>
      </c>
      <c r="P56" s="4">
        <f t="shared" si="1"/>
        <v>250</v>
      </c>
    </row>
    <row r="57" spans="1:16" ht="12.75">
      <c r="A57" t="s">
        <v>447</v>
      </c>
      <c r="C57" s="24">
        <v>0.04</v>
      </c>
      <c r="L57">
        <v>1</v>
      </c>
      <c r="M57">
        <v>1</v>
      </c>
      <c r="N57">
        <v>125</v>
      </c>
      <c r="P57" s="4">
        <f t="shared" si="1"/>
        <v>125</v>
      </c>
    </row>
    <row r="58" spans="1:16" ht="12.75">
      <c r="A58" t="s">
        <v>446</v>
      </c>
      <c r="C58" s="4">
        <v>0.04</v>
      </c>
      <c r="L58">
        <v>1</v>
      </c>
      <c r="M58">
        <v>1</v>
      </c>
      <c r="N58">
        <v>6000</v>
      </c>
      <c r="P58" s="4">
        <f t="shared" si="1"/>
        <v>6000</v>
      </c>
    </row>
    <row r="59" ht="13.5" thickBot="1">
      <c r="P59" s="4"/>
    </row>
    <row r="60" spans="1:16" ht="12.75">
      <c r="A60" s="127" t="s">
        <v>461</v>
      </c>
      <c r="O60" t="s">
        <v>449</v>
      </c>
      <c r="P60" s="51">
        <f>SUM(P2:P59)</f>
        <v>24585.915</v>
      </c>
    </row>
    <row r="61" spans="1:16" ht="12.75">
      <c r="A61" s="128"/>
      <c r="O61" t="s">
        <v>450</v>
      </c>
      <c r="P61" s="51">
        <f>P60/25</f>
        <v>983.4366</v>
      </c>
    </row>
    <row r="62" ht="13.5" thickBot="1">
      <c r="A62" s="128"/>
    </row>
    <row r="63" spans="1:16" ht="12.75">
      <c r="A63" s="129"/>
      <c r="C63" s="118" t="s">
        <v>463</v>
      </c>
      <c r="D63" s="119"/>
      <c r="E63" s="119"/>
      <c r="F63" s="119"/>
      <c r="G63" s="119"/>
      <c r="H63" s="119"/>
      <c r="I63" s="119"/>
      <c r="J63" s="119"/>
      <c r="K63" s="119"/>
      <c r="L63" s="119"/>
      <c r="M63" s="119"/>
      <c r="N63" s="119"/>
      <c r="O63" s="119"/>
      <c r="P63" s="120"/>
    </row>
    <row r="64" spans="1:16" ht="12.75">
      <c r="A64" s="129"/>
      <c r="C64" s="121"/>
      <c r="D64" s="122"/>
      <c r="E64" s="122"/>
      <c r="F64" s="122"/>
      <c r="G64" s="122"/>
      <c r="H64" s="122"/>
      <c r="I64" s="122"/>
      <c r="J64" s="122"/>
      <c r="K64" s="122"/>
      <c r="L64" s="122"/>
      <c r="M64" s="122"/>
      <c r="N64" s="122"/>
      <c r="O64" s="122"/>
      <c r="P64" s="123"/>
    </row>
    <row r="65" spans="1:16" ht="12.75">
      <c r="A65" s="129"/>
      <c r="C65" s="121"/>
      <c r="D65" s="122"/>
      <c r="E65" s="122"/>
      <c r="F65" s="122"/>
      <c r="G65" s="122"/>
      <c r="H65" s="122"/>
      <c r="I65" s="122"/>
      <c r="J65" s="122"/>
      <c r="K65" s="122"/>
      <c r="L65" s="122"/>
      <c r="M65" s="122"/>
      <c r="N65" s="122"/>
      <c r="O65" s="122"/>
      <c r="P65" s="123"/>
    </row>
    <row r="66" spans="1:16" ht="12.75">
      <c r="A66" s="129"/>
      <c r="C66" s="121"/>
      <c r="D66" s="122"/>
      <c r="E66" s="122"/>
      <c r="F66" s="122"/>
      <c r="G66" s="122"/>
      <c r="H66" s="122"/>
      <c r="I66" s="122"/>
      <c r="J66" s="122"/>
      <c r="K66" s="122"/>
      <c r="L66" s="122"/>
      <c r="M66" s="122"/>
      <c r="N66" s="122"/>
      <c r="O66" s="122"/>
      <c r="P66" s="123"/>
    </row>
    <row r="67" spans="1:16" ht="13.5" thickBot="1">
      <c r="A67" s="130"/>
      <c r="C67" s="121"/>
      <c r="D67" s="122"/>
      <c r="E67" s="122"/>
      <c r="F67" s="122"/>
      <c r="G67" s="122"/>
      <c r="H67" s="122"/>
      <c r="I67" s="122"/>
      <c r="J67" s="122"/>
      <c r="K67" s="122"/>
      <c r="L67" s="122"/>
      <c r="M67" s="122"/>
      <c r="N67" s="122"/>
      <c r="O67" s="122"/>
      <c r="P67" s="123"/>
    </row>
    <row r="68" spans="3:16" ht="12.75">
      <c r="C68" s="121"/>
      <c r="D68" s="122"/>
      <c r="E68" s="122"/>
      <c r="F68" s="122"/>
      <c r="G68" s="122"/>
      <c r="H68" s="122"/>
      <c r="I68" s="122"/>
      <c r="J68" s="122"/>
      <c r="K68" s="122"/>
      <c r="L68" s="122"/>
      <c r="M68" s="122"/>
      <c r="N68" s="122"/>
      <c r="O68" s="122"/>
      <c r="P68" s="123"/>
    </row>
    <row r="69" spans="3:16" ht="13.5" thickBot="1">
      <c r="C69" s="124"/>
      <c r="D69" s="125"/>
      <c r="E69" s="125"/>
      <c r="F69" s="125"/>
      <c r="G69" s="125"/>
      <c r="H69" s="125"/>
      <c r="I69" s="125"/>
      <c r="J69" s="125"/>
      <c r="K69" s="125"/>
      <c r="L69" s="125"/>
      <c r="M69" s="125"/>
      <c r="N69" s="125"/>
      <c r="O69" s="125"/>
      <c r="P69" s="126"/>
    </row>
  </sheetData>
  <mergeCells count="2">
    <mergeCell ref="C63:P69"/>
    <mergeCell ref="A60:A67"/>
  </mergeCells>
  <printOptions gridLines="1"/>
  <pageMargins left="0.5" right="0.5" top="0.5" bottom="0.5" header="0.25" footer="0.25"/>
  <pageSetup fitToHeight="4" fitToWidth="1" horizontalDpi="600" verticalDpi="600" orientation="portrait" scale="92" r:id="rId1"/>
  <headerFooter alignWithMargins="0">
    <oddHeader>&amp;C&amp;A&amp;R&amp;F</oddHeader>
    <oddFooter>&amp;LK. Kriesel&amp;CPage &amp;P of &amp;N&amp;R&amp;D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17"/>
  <sheetViews>
    <sheetView workbookViewId="0" topLeftCell="A1">
      <pane ySplit="3060" topLeftCell="BM41" activePane="bottomLeft" state="split"/>
      <selection pane="topLeft" activeCell="J3" sqref="J3"/>
      <selection pane="bottomLeft" activeCell="D49" sqref="D49"/>
    </sheetView>
  </sheetViews>
  <sheetFormatPr defaultColWidth="9.140625" defaultRowHeight="12.75"/>
  <cols>
    <col min="1" max="1" width="8.140625" style="0" customWidth="1"/>
    <col min="2" max="2" width="40.7109375" style="0" customWidth="1"/>
    <col min="3" max="3" width="11.140625" style="0" customWidth="1"/>
    <col min="4" max="4" width="18.00390625" style="0" customWidth="1"/>
    <col min="7" max="8" width="10.7109375" style="0" customWidth="1"/>
    <col min="10" max="10" width="10.7109375" style="0" customWidth="1"/>
    <col min="11" max="11" width="10.7109375" style="0" hidden="1" customWidth="1"/>
    <col min="12" max="12" width="10.00390625" style="0" hidden="1" customWidth="1"/>
  </cols>
  <sheetData>
    <row r="1" spans="1:5" ht="25.5">
      <c r="A1" t="s">
        <v>629</v>
      </c>
      <c r="B1" s="1" t="s">
        <v>736</v>
      </c>
      <c r="C1" s="14" t="s">
        <v>735</v>
      </c>
      <c r="D1" s="14"/>
      <c r="E1" t="s">
        <v>52</v>
      </c>
    </row>
    <row r="2" spans="1:4" ht="12.75">
      <c r="A2" t="s">
        <v>738</v>
      </c>
      <c r="B2" s="1"/>
      <c r="C2" s="14"/>
      <c r="D2" s="14" t="s">
        <v>739</v>
      </c>
    </row>
    <row r="3" spans="1:12" ht="102">
      <c r="A3" s="1" t="s">
        <v>692</v>
      </c>
      <c r="B3" s="1" t="s">
        <v>2</v>
      </c>
      <c r="C3" s="13" t="s">
        <v>547</v>
      </c>
      <c r="D3" s="13" t="s">
        <v>558</v>
      </c>
      <c r="E3" s="1" t="s">
        <v>604</v>
      </c>
      <c r="F3" s="1" t="s">
        <v>737</v>
      </c>
      <c r="G3" s="1" t="s">
        <v>626</v>
      </c>
      <c r="H3" s="1" t="s">
        <v>631</v>
      </c>
      <c r="I3" s="1" t="s">
        <v>606</v>
      </c>
      <c r="J3" s="1" t="s">
        <v>605</v>
      </c>
      <c r="K3" s="1" t="s">
        <v>728</v>
      </c>
      <c r="L3" s="1" t="s">
        <v>727</v>
      </c>
    </row>
    <row r="4" spans="1:12" ht="12.75">
      <c r="A4">
        <v>1</v>
      </c>
      <c r="B4" t="s">
        <v>5</v>
      </c>
      <c r="C4" s="14" t="s">
        <v>613</v>
      </c>
      <c r="D4" s="14" t="s">
        <v>552</v>
      </c>
      <c r="E4">
        <v>6</v>
      </c>
      <c r="F4">
        <f>E4*2</f>
        <v>12</v>
      </c>
      <c r="G4" s="24">
        <v>1</v>
      </c>
      <c r="H4" s="24">
        <f>SUM(F4:G4)</f>
        <v>13</v>
      </c>
      <c r="I4" s="24">
        <v>13</v>
      </c>
      <c r="J4" s="24">
        <f aca="true" t="shared" si="0" ref="J4:J49">H4-I4</f>
        <v>0</v>
      </c>
      <c r="K4" s="4">
        <v>3.79</v>
      </c>
      <c r="L4">
        <f aca="true" t="shared" si="1" ref="L4:L15">K4*I4</f>
        <v>49.27</v>
      </c>
    </row>
    <row r="5" spans="1:12" ht="12.75">
      <c r="A5" s="22">
        <v>2</v>
      </c>
      <c r="B5" t="s">
        <v>6</v>
      </c>
      <c r="C5" t="s">
        <v>612</v>
      </c>
      <c r="D5" s="14" t="s">
        <v>562</v>
      </c>
      <c r="E5">
        <v>6</v>
      </c>
      <c r="F5">
        <f aca="true" t="shared" si="2" ref="F5:F49">E5*2</f>
        <v>12</v>
      </c>
      <c r="G5" s="24">
        <v>1</v>
      </c>
      <c r="H5" s="24">
        <f aca="true" t="shared" si="3" ref="H5:H49">SUM(F5:G5)</f>
        <v>13</v>
      </c>
      <c r="I5" s="24">
        <v>13</v>
      </c>
      <c r="J5" s="24">
        <f t="shared" si="0"/>
        <v>0</v>
      </c>
      <c r="K5" s="4">
        <v>2.88</v>
      </c>
      <c r="L5">
        <f t="shared" si="1"/>
        <v>37.44</v>
      </c>
    </row>
    <row r="6" spans="1:12" ht="12.75">
      <c r="A6" s="22">
        <v>3</v>
      </c>
      <c r="B6" t="s">
        <v>7</v>
      </c>
      <c r="C6" t="s">
        <v>611</v>
      </c>
      <c r="D6" s="14" t="s">
        <v>563</v>
      </c>
      <c r="E6">
        <v>20</v>
      </c>
      <c r="F6">
        <f t="shared" si="2"/>
        <v>40</v>
      </c>
      <c r="G6" s="24">
        <v>2</v>
      </c>
      <c r="H6" s="24">
        <f t="shared" si="3"/>
        <v>42</v>
      </c>
      <c r="I6" s="24">
        <v>42</v>
      </c>
      <c r="J6" s="24">
        <f t="shared" si="0"/>
        <v>0</v>
      </c>
      <c r="K6" s="4">
        <v>2.97</v>
      </c>
      <c r="L6">
        <f t="shared" si="1"/>
        <v>124.74000000000001</v>
      </c>
    </row>
    <row r="7" spans="1:12" ht="12.75">
      <c r="A7" s="22">
        <v>4</v>
      </c>
      <c r="B7" t="s">
        <v>210</v>
      </c>
      <c r="C7" t="s">
        <v>549</v>
      </c>
      <c r="D7" s="14" t="s">
        <v>557</v>
      </c>
      <c r="E7">
        <v>72</v>
      </c>
      <c r="F7">
        <f t="shared" si="2"/>
        <v>144</v>
      </c>
      <c r="G7" s="24">
        <v>6</v>
      </c>
      <c r="H7" s="24">
        <f t="shared" si="3"/>
        <v>150</v>
      </c>
      <c r="I7" s="24">
        <v>150</v>
      </c>
      <c r="J7" s="24">
        <f t="shared" si="0"/>
        <v>0</v>
      </c>
      <c r="K7" s="4">
        <v>0.0492</v>
      </c>
      <c r="L7">
        <f t="shared" si="1"/>
        <v>7.38</v>
      </c>
    </row>
    <row r="8" spans="1:12" ht="25.5">
      <c r="A8" s="22">
        <v>5</v>
      </c>
      <c r="B8" s="1" t="s">
        <v>597</v>
      </c>
      <c r="C8" t="s">
        <v>549</v>
      </c>
      <c r="D8" s="14" t="s">
        <v>548</v>
      </c>
      <c r="E8">
        <v>18</v>
      </c>
      <c r="F8">
        <f t="shared" si="2"/>
        <v>36</v>
      </c>
      <c r="G8" s="24">
        <v>2</v>
      </c>
      <c r="H8" s="24">
        <f t="shared" si="3"/>
        <v>38</v>
      </c>
      <c r="I8" s="24">
        <v>38</v>
      </c>
      <c r="J8" s="24">
        <f t="shared" si="0"/>
        <v>0</v>
      </c>
      <c r="K8" s="4">
        <v>0.0332</v>
      </c>
      <c r="L8">
        <f t="shared" si="1"/>
        <v>1.2616</v>
      </c>
    </row>
    <row r="9" spans="1:12" ht="12" customHeight="1">
      <c r="A9" s="22">
        <v>6</v>
      </c>
      <c r="B9" t="s">
        <v>247</v>
      </c>
      <c r="C9" t="s">
        <v>549</v>
      </c>
      <c r="D9" s="14" t="s">
        <v>555</v>
      </c>
      <c r="E9">
        <v>6</v>
      </c>
      <c r="F9">
        <f t="shared" si="2"/>
        <v>12</v>
      </c>
      <c r="G9" s="24">
        <v>1</v>
      </c>
      <c r="H9" s="24">
        <f t="shared" si="3"/>
        <v>13</v>
      </c>
      <c r="I9" s="24">
        <v>13</v>
      </c>
      <c r="J9" s="24">
        <f t="shared" si="0"/>
        <v>0</v>
      </c>
      <c r="K9" s="4">
        <v>0.1317</v>
      </c>
      <c r="L9">
        <f t="shared" si="1"/>
        <v>1.7121000000000002</v>
      </c>
    </row>
    <row r="10" spans="1:12" ht="12" customHeight="1">
      <c r="A10" s="22">
        <v>7</v>
      </c>
      <c r="B10" t="s">
        <v>150</v>
      </c>
      <c r="C10" t="s">
        <v>616</v>
      </c>
      <c r="D10" s="14" t="s">
        <v>559</v>
      </c>
      <c r="E10">
        <v>1</v>
      </c>
      <c r="F10">
        <f t="shared" si="2"/>
        <v>2</v>
      </c>
      <c r="G10" s="24">
        <v>0</v>
      </c>
      <c r="H10" s="24">
        <f t="shared" si="3"/>
        <v>2</v>
      </c>
      <c r="I10" s="24">
        <v>2</v>
      </c>
      <c r="J10" s="24">
        <f t="shared" si="0"/>
        <v>0</v>
      </c>
      <c r="K10" s="4">
        <v>8.85</v>
      </c>
      <c r="L10">
        <f t="shared" si="1"/>
        <v>17.7</v>
      </c>
    </row>
    <row r="11" spans="1:12" ht="11.25" customHeight="1">
      <c r="A11" s="22">
        <v>8</v>
      </c>
      <c r="B11" t="s">
        <v>151</v>
      </c>
      <c r="C11" t="s">
        <v>617</v>
      </c>
      <c r="D11" s="14" t="s">
        <v>565</v>
      </c>
      <c r="E11">
        <v>1</v>
      </c>
      <c r="F11">
        <f t="shared" si="2"/>
        <v>2</v>
      </c>
      <c r="G11" s="24">
        <v>0</v>
      </c>
      <c r="H11" s="24">
        <f t="shared" si="3"/>
        <v>2</v>
      </c>
      <c r="I11" s="24">
        <v>2</v>
      </c>
      <c r="J11" s="24">
        <f t="shared" si="0"/>
        <v>0</v>
      </c>
      <c r="K11" s="4">
        <v>9.75</v>
      </c>
      <c r="L11">
        <f t="shared" si="1"/>
        <v>19.5</v>
      </c>
    </row>
    <row r="12" spans="1:12" ht="11.25" customHeight="1">
      <c r="A12">
        <v>9</v>
      </c>
      <c r="B12" t="s">
        <v>152</v>
      </c>
      <c r="C12" t="s">
        <v>618</v>
      </c>
      <c r="D12" s="14" t="s">
        <v>560</v>
      </c>
      <c r="E12">
        <v>1</v>
      </c>
      <c r="F12">
        <f t="shared" si="2"/>
        <v>2</v>
      </c>
      <c r="G12" s="24">
        <v>0</v>
      </c>
      <c r="H12" s="24">
        <f t="shared" si="3"/>
        <v>2</v>
      </c>
      <c r="I12" s="24">
        <v>2</v>
      </c>
      <c r="J12" s="24">
        <f t="shared" si="0"/>
        <v>0</v>
      </c>
      <c r="K12" s="4">
        <v>8.75</v>
      </c>
      <c r="L12">
        <f t="shared" si="1"/>
        <v>17.5</v>
      </c>
    </row>
    <row r="13" spans="1:12" ht="12.75">
      <c r="A13">
        <v>10</v>
      </c>
      <c r="B13" t="s">
        <v>153</v>
      </c>
      <c r="C13" t="s">
        <v>633</v>
      </c>
      <c r="D13" s="14" t="s">
        <v>566</v>
      </c>
      <c r="E13">
        <v>1</v>
      </c>
      <c r="F13">
        <f t="shared" si="2"/>
        <v>2</v>
      </c>
      <c r="G13" s="24">
        <v>0</v>
      </c>
      <c r="H13" s="24">
        <f t="shared" si="3"/>
        <v>2</v>
      </c>
      <c r="I13" s="24">
        <v>2</v>
      </c>
      <c r="J13" s="24">
        <f t="shared" si="0"/>
        <v>0</v>
      </c>
      <c r="K13" s="4">
        <v>9.5</v>
      </c>
      <c r="L13">
        <f t="shared" si="1"/>
        <v>19</v>
      </c>
    </row>
    <row r="14" spans="1:12" ht="12.75">
      <c r="A14">
        <v>11</v>
      </c>
      <c r="B14" t="s">
        <v>154</v>
      </c>
      <c r="C14" t="s">
        <v>264</v>
      </c>
      <c r="D14" s="14" t="s">
        <v>561</v>
      </c>
      <c r="E14">
        <v>1</v>
      </c>
      <c r="F14">
        <f t="shared" si="2"/>
        <v>2</v>
      </c>
      <c r="G14" s="24">
        <v>0</v>
      </c>
      <c r="H14" s="24">
        <f t="shared" si="3"/>
        <v>2</v>
      </c>
      <c r="I14" s="24">
        <v>2</v>
      </c>
      <c r="J14" s="24">
        <f t="shared" si="0"/>
        <v>0</v>
      </c>
      <c r="K14" s="4">
        <v>8.95</v>
      </c>
      <c r="L14">
        <f t="shared" si="1"/>
        <v>17.9</v>
      </c>
    </row>
    <row r="15" spans="1:12" ht="12.75">
      <c r="A15">
        <v>12</v>
      </c>
      <c r="B15" t="s">
        <v>155</v>
      </c>
      <c r="C15" t="s">
        <v>267</v>
      </c>
      <c r="D15" s="14" t="s">
        <v>567</v>
      </c>
      <c r="E15">
        <v>1</v>
      </c>
      <c r="F15">
        <f t="shared" si="2"/>
        <v>2</v>
      </c>
      <c r="G15" s="24">
        <v>0</v>
      </c>
      <c r="H15" s="24">
        <f t="shared" si="3"/>
        <v>2</v>
      </c>
      <c r="I15" s="24">
        <v>2</v>
      </c>
      <c r="J15" s="24">
        <f t="shared" si="0"/>
        <v>0</v>
      </c>
      <c r="K15" s="4">
        <v>9.85</v>
      </c>
      <c r="L15">
        <f t="shared" si="1"/>
        <v>19.7</v>
      </c>
    </row>
    <row r="16" spans="1:12" ht="12.75">
      <c r="A16">
        <v>13</v>
      </c>
      <c r="B16" t="s">
        <v>14</v>
      </c>
      <c r="C16" t="s">
        <v>286</v>
      </c>
      <c r="D16" t="s">
        <v>680</v>
      </c>
      <c r="E16">
        <v>1</v>
      </c>
      <c r="F16">
        <f t="shared" si="2"/>
        <v>2</v>
      </c>
      <c r="G16" s="24">
        <v>0</v>
      </c>
      <c r="H16" s="24">
        <f t="shared" si="3"/>
        <v>2</v>
      </c>
      <c r="I16" s="24">
        <v>2</v>
      </c>
      <c r="J16" s="24">
        <f t="shared" si="0"/>
        <v>0</v>
      </c>
      <c r="K16" s="4">
        <v>21.28</v>
      </c>
      <c r="L16">
        <f aca="true" t="shared" si="4" ref="L16:L49">K16*I16</f>
        <v>42.56</v>
      </c>
    </row>
    <row r="17" spans="1:12" ht="12.75">
      <c r="A17">
        <v>14</v>
      </c>
      <c r="B17" t="s">
        <v>15</v>
      </c>
      <c r="C17" t="s">
        <v>634</v>
      </c>
      <c r="D17" t="s">
        <v>681</v>
      </c>
      <c r="E17">
        <v>1</v>
      </c>
      <c r="F17">
        <f t="shared" si="2"/>
        <v>2</v>
      </c>
      <c r="G17" s="24">
        <v>0</v>
      </c>
      <c r="H17" s="24">
        <f t="shared" si="3"/>
        <v>2</v>
      </c>
      <c r="I17" s="24">
        <v>2</v>
      </c>
      <c r="J17" s="24">
        <f t="shared" si="0"/>
        <v>0</v>
      </c>
      <c r="K17" s="4">
        <v>24.53</v>
      </c>
      <c r="L17">
        <f t="shared" si="4"/>
        <v>49.06</v>
      </c>
    </row>
    <row r="18" spans="1:12" ht="12.75">
      <c r="A18">
        <v>15</v>
      </c>
      <c r="B18" t="s">
        <v>250</v>
      </c>
      <c r="C18" s="14" t="s">
        <v>643</v>
      </c>
      <c r="D18" s="14" t="s">
        <v>682</v>
      </c>
      <c r="E18">
        <v>1</v>
      </c>
      <c r="F18">
        <f t="shared" si="2"/>
        <v>2</v>
      </c>
      <c r="G18" s="24">
        <v>0</v>
      </c>
      <c r="H18" s="24">
        <f t="shared" si="3"/>
        <v>2</v>
      </c>
      <c r="I18" s="24">
        <v>2</v>
      </c>
      <c r="J18" s="24">
        <f t="shared" si="0"/>
        <v>0</v>
      </c>
      <c r="K18" s="4">
        <v>55</v>
      </c>
      <c r="L18">
        <f t="shared" si="4"/>
        <v>110</v>
      </c>
    </row>
    <row r="19" spans="1:12" ht="12.75">
      <c r="A19">
        <v>16</v>
      </c>
      <c r="B19" t="s">
        <v>251</v>
      </c>
      <c r="C19" s="14" t="s">
        <v>641</v>
      </c>
      <c r="D19" s="14" t="s">
        <v>683</v>
      </c>
      <c r="E19">
        <v>1</v>
      </c>
      <c r="F19">
        <f t="shared" si="2"/>
        <v>2</v>
      </c>
      <c r="G19" s="24">
        <v>0</v>
      </c>
      <c r="H19" s="24">
        <f t="shared" si="3"/>
        <v>2</v>
      </c>
      <c r="I19" s="24">
        <v>2</v>
      </c>
      <c r="J19" s="24">
        <f t="shared" si="0"/>
        <v>0</v>
      </c>
      <c r="K19" s="4">
        <v>45.29</v>
      </c>
      <c r="L19">
        <f t="shared" si="4"/>
        <v>90.58</v>
      </c>
    </row>
    <row r="20" spans="1:12" ht="12.75">
      <c r="A20">
        <v>17</v>
      </c>
      <c r="B20" t="s">
        <v>252</v>
      </c>
      <c r="C20" s="14" t="s">
        <v>642</v>
      </c>
      <c r="D20" s="14" t="s">
        <v>648</v>
      </c>
      <c r="E20">
        <v>1</v>
      </c>
      <c r="F20">
        <f t="shared" si="2"/>
        <v>2</v>
      </c>
      <c r="G20" s="24">
        <v>0</v>
      </c>
      <c r="H20" s="24">
        <f t="shared" si="3"/>
        <v>2</v>
      </c>
      <c r="I20" s="24">
        <v>2</v>
      </c>
      <c r="J20" s="24">
        <f t="shared" si="0"/>
        <v>0</v>
      </c>
      <c r="K20" s="4">
        <v>53</v>
      </c>
      <c r="L20">
        <f t="shared" si="4"/>
        <v>106</v>
      </c>
    </row>
    <row r="21" spans="1:12" ht="12.75">
      <c r="A21">
        <v>18</v>
      </c>
      <c r="B21" t="s">
        <v>253</v>
      </c>
      <c r="C21" s="14" t="s">
        <v>649</v>
      </c>
      <c r="D21" s="14" t="s">
        <v>684</v>
      </c>
      <c r="E21">
        <v>1</v>
      </c>
      <c r="F21">
        <f t="shared" si="2"/>
        <v>2</v>
      </c>
      <c r="G21" s="24">
        <v>0</v>
      </c>
      <c r="H21" s="24">
        <f t="shared" si="3"/>
        <v>2</v>
      </c>
      <c r="I21" s="24">
        <v>2</v>
      </c>
      <c r="J21" s="24">
        <f t="shared" si="0"/>
        <v>0</v>
      </c>
      <c r="K21" s="4">
        <v>45.29</v>
      </c>
      <c r="L21">
        <f t="shared" si="4"/>
        <v>90.58</v>
      </c>
    </row>
    <row r="22" spans="1:12" ht="12.75">
      <c r="A22">
        <v>19</v>
      </c>
      <c r="B22" t="s">
        <v>20</v>
      </c>
      <c r="C22" s="14" t="s">
        <v>716</v>
      </c>
      <c r="D22" s="14" t="s">
        <v>685</v>
      </c>
      <c r="E22">
        <v>1</v>
      </c>
      <c r="F22">
        <f t="shared" si="2"/>
        <v>2</v>
      </c>
      <c r="G22" s="24">
        <v>0</v>
      </c>
      <c r="H22" s="24">
        <f t="shared" si="3"/>
        <v>2</v>
      </c>
      <c r="I22" s="24">
        <v>2</v>
      </c>
      <c r="J22" s="24">
        <f t="shared" si="0"/>
        <v>0</v>
      </c>
      <c r="K22" s="4">
        <v>53.75</v>
      </c>
      <c r="L22">
        <f t="shared" si="4"/>
        <v>107.5</v>
      </c>
    </row>
    <row r="23" spans="1:12" ht="12.75">
      <c r="A23">
        <v>20</v>
      </c>
      <c r="B23" t="s">
        <v>21</v>
      </c>
      <c r="C23" t="s">
        <v>717</v>
      </c>
      <c r="D23" t="s">
        <v>686</v>
      </c>
      <c r="E23">
        <v>1</v>
      </c>
      <c r="F23">
        <f t="shared" si="2"/>
        <v>2</v>
      </c>
      <c r="G23" s="24">
        <v>0</v>
      </c>
      <c r="H23" s="24">
        <f t="shared" si="3"/>
        <v>2</v>
      </c>
      <c r="I23" s="24">
        <v>2</v>
      </c>
      <c r="J23" s="24">
        <f t="shared" si="0"/>
        <v>0</v>
      </c>
      <c r="K23" s="4">
        <v>24</v>
      </c>
      <c r="L23">
        <f t="shared" si="4"/>
        <v>48</v>
      </c>
    </row>
    <row r="24" spans="1:12" ht="12.75">
      <c r="A24">
        <v>21</v>
      </c>
      <c r="B24" t="s">
        <v>209</v>
      </c>
      <c r="C24" t="s">
        <v>549</v>
      </c>
      <c r="D24" s="14" t="s">
        <v>576</v>
      </c>
      <c r="E24">
        <v>56</v>
      </c>
      <c r="F24">
        <f t="shared" si="2"/>
        <v>112</v>
      </c>
      <c r="G24" s="24">
        <v>5</v>
      </c>
      <c r="H24" s="24">
        <f t="shared" si="3"/>
        <v>117</v>
      </c>
      <c r="I24" s="24">
        <v>117</v>
      </c>
      <c r="J24" s="24">
        <f t="shared" si="0"/>
        <v>0</v>
      </c>
      <c r="K24">
        <v>0.1375</v>
      </c>
      <c r="L24">
        <f t="shared" si="4"/>
        <v>16.087500000000002</v>
      </c>
    </row>
    <row r="25" spans="1:12" ht="12.75">
      <c r="A25">
        <v>22</v>
      </c>
      <c r="B25" t="s">
        <v>228</v>
      </c>
      <c r="C25" t="s">
        <v>549</v>
      </c>
      <c r="D25" s="14" t="s">
        <v>577</v>
      </c>
      <c r="E25">
        <v>56</v>
      </c>
      <c r="F25">
        <f t="shared" si="2"/>
        <v>112</v>
      </c>
      <c r="G25" s="24">
        <v>5</v>
      </c>
      <c r="H25" s="24">
        <f t="shared" si="3"/>
        <v>117</v>
      </c>
      <c r="I25" s="24">
        <v>117</v>
      </c>
      <c r="J25" s="24">
        <f t="shared" si="0"/>
        <v>0</v>
      </c>
      <c r="K25">
        <v>0.0186</v>
      </c>
      <c r="L25">
        <f t="shared" si="4"/>
        <v>2.1761999999999997</v>
      </c>
    </row>
    <row r="26" spans="1:12" ht="12.75">
      <c r="A26">
        <v>23</v>
      </c>
      <c r="B26" t="s">
        <v>23</v>
      </c>
      <c r="C26" t="s">
        <v>635</v>
      </c>
      <c r="D26" t="s">
        <v>687</v>
      </c>
      <c r="E26">
        <v>2</v>
      </c>
      <c r="F26">
        <f t="shared" si="2"/>
        <v>4</v>
      </c>
      <c r="G26" s="24">
        <v>0</v>
      </c>
      <c r="H26" s="24">
        <f t="shared" si="3"/>
        <v>4</v>
      </c>
      <c r="I26" s="24">
        <v>4</v>
      </c>
      <c r="J26" s="24">
        <f t="shared" si="0"/>
        <v>0</v>
      </c>
      <c r="K26" s="4">
        <v>9.9</v>
      </c>
      <c r="L26">
        <f t="shared" si="4"/>
        <v>39.6</v>
      </c>
    </row>
    <row r="27" spans="1:12" ht="12.75">
      <c r="A27">
        <v>24</v>
      </c>
      <c r="B27" t="s">
        <v>438</v>
      </c>
      <c r="C27" t="s">
        <v>636</v>
      </c>
      <c r="D27" t="s">
        <v>688</v>
      </c>
      <c r="E27">
        <v>1</v>
      </c>
      <c r="F27">
        <f t="shared" si="2"/>
        <v>2</v>
      </c>
      <c r="G27" s="24">
        <v>0</v>
      </c>
      <c r="H27" s="24">
        <f t="shared" si="3"/>
        <v>2</v>
      </c>
      <c r="I27" s="24">
        <v>2</v>
      </c>
      <c r="J27" s="24">
        <f t="shared" si="0"/>
        <v>0</v>
      </c>
      <c r="K27" s="4">
        <v>41.96</v>
      </c>
      <c r="L27">
        <f t="shared" si="4"/>
        <v>83.92</v>
      </c>
    </row>
    <row r="28" spans="1:12" ht="12.75">
      <c r="A28">
        <v>25</v>
      </c>
      <c r="B28" t="s">
        <v>25</v>
      </c>
      <c r="C28" t="s">
        <v>740</v>
      </c>
      <c r="D28" t="s">
        <v>689</v>
      </c>
      <c r="E28">
        <v>1</v>
      </c>
      <c r="F28">
        <f t="shared" si="2"/>
        <v>2</v>
      </c>
      <c r="G28" s="24">
        <v>0</v>
      </c>
      <c r="H28" s="24">
        <f t="shared" si="3"/>
        <v>2</v>
      </c>
      <c r="I28" s="24">
        <v>2</v>
      </c>
      <c r="J28" s="24">
        <f t="shared" si="0"/>
        <v>0</v>
      </c>
      <c r="K28" s="4">
        <v>28.37</v>
      </c>
      <c r="L28">
        <f t="shared" si="4"/>
        <v>56.74</v>
      </c>
    </row>
    <row r="29" spans="1:12" ht="12.75">
      <c r="A29">
        <v>26</v>
      </c>
      <c r="B29" t="s">
        <v>248</v>
      </c>
      <c r="C29" t="s">
        <v>615</v>
      </c>
      <c r="D29" t="s">
        <v>690</v>
      </c>
      <c r="E29">
        <v>2</v>
      </c>
      <c r="F29">
        <f t="shared" si="2"/>
        <v>4</v>
      </c>
      <c r="G29" s="24">
        <v>0</v>
      </c>
      <c r="H29" s="24">
        <f t="shared" si="3"/>
        <v>4</v>
      </c>
      <c r="I29" s="24">
        <v>4</v>
      </c>
      <c r="J29" s="24">
        <f t="shared" si="0"/>
        <v>0</v>
      </c>
      <c r="K29" s="4">
        <v>8.85</v>
      </c>
      <c r="L29">
        <f t="shared" si="4"/>
        <v>35.4</v>
      </c>
    </row>
    <row r="30" spans="1:12" ht="12.75">
      <c r="A30">
        <v>27</v>
      </c>
      <c r="B30" t="s">
        <v>27</v>
      </c>
      <c r="C30" t="s">
        <v>638</v>
      </c>
      <c r="D30" t="s">
        <v>691</v>
      </c>
      <c r="E30">
        <v>2</v>
      </c>
      <c r="F30">
        <f t="shared" si="2"/>
        <v>4</v>
      </c>
      <c r="G30" s="24">
        <v>0</v>
      </c>
      <c r="H30" s="24">
        <f t="shared" si="3"/>
        <v>4</v>
      </c>
      <c r="I30" s="24">
        <v>4</v>
      </c>
      <c r="J30" s="24">
        <f t="shared" si="0"/>
        <v>0</v>
      </c>
      <c r="K30" s="4">
        <v>9.25</v>
      </c>
      <c r="L30">
        <f t="shared" si="4"/>
        <v>37</v>
      </c>
    </row>
    <row r="31" spans="1:12" ht="12.75">
      <c r="A31">
        <v>28</v>
      </c>
      <c r="B31" t="s">
        <v>208</v>
      </c>
      <c r="C31" t="s">
        <v>549</v>
      </c>
      <c r="D31" s="14" t="s">
        <v>581</v>
      </c>
      <c r="E31">
        <v>26</v>
      </c>
      <c r="F31">
        <f t="shared" si="2"/>
        <v>52</v>
      </c>
      <c r="G31" s="24">
        <v>3</v>
      </c>
      <c r="H31" s="24">
        <f t="shared" si="3"/>
        <v>55</v>
      </c>
      <c r="I31" s="24">
        <v>55</v>
      </c>
      <c r="J31" s="24">
        <f t="shared" si="0"/>
        <v>0</v>
      </c>
      <c r="K31" s="4">
        <v>0.165</v>
      </c>
      <c r="L31">
        <f t="shared" si="4"/>
        <v>9.075000000000001</v>
      </c>
    </row>
    <row r="32" spans="1:12" ht="12.75">
      <c r="A32">
        <v>29</v>
      </c>
      <c r="B32" t="s">
        <v>721</v>
      </c>
      <c r="C32" t="s">
        <v>549</v>
      </c>
      <c r="D32" s="13" t="s">
        <v>601</v>
      </c>
      <c r="E32">
        <v>24</v>
      </c>
      <c r="F32">
        <f t="shared" si="2"/>
        <v>48</v>
      </c>
      <c r="G32" s="24">
        <v>3</v>
      </c>
      <c r="H32" s="24">
        <f t="shared" si="3"/>
        <v>51</v>
      </c>
      <c r="I32" s="24">
        <v>51</v>
      </c>
      <c r="J32" s="24">
        <f t="shared" si="0"/>
        <v>0</v>
      </c>
      <c r="K32" s="4">
        <v>0.0152</v>
      </c>
      <c r="L32">
        <f t="shared" si="4"/>
        <v>0.7752</v>
      </c>
    </row>
    <row r="33" spans="1:12" ht="12.75">
      <c r="A33" s="22">
        <v>30</v>
      </c>
      <c r="B33" t="s">
        <v>249</v>
      </c>
      <c r="C33" t="s">
        <v>549</v>
      </c>
      <c r="D33" s="14" t="s">
        <v>582</v>
      </c>
      <c r="E33">
        <v>6</v>
      </c>
      <c r="F33">
        <f t="shared" si="2"/>
        <v>12</v>
      </c>
      <c r="G33" s="24">
        <v>1</v>
      </c>
      <c r="H33" s="24">
        <f t="shared" si="3"/>
        <v>13</v>
      </c>
      <c r="I33" s="24">
        <v>13</v>
      </c>
      <c r="J33" s="24">
        <f t="shared" si="0"/>
        <v>0</v>
      </c>
      <c r="K33" s="4">
        <v>0.0645</v>
      </c>
      <c r="L33">
        <f t="shared" si="4"/>
        <v>0.8385</v>
      </c>
    </row>
    <row r="34" spans="1:12" ht="12.75">
      <c r="A34">
        <v>31</v>
      </c>
      <c r="B34" t="s">
        <v>156</v>
      </c>
      <c r="C34" t="s">
        <v>639</v>
      </c>
      <c r="D34" t="s">
        <v>693</v>
      </c>
      <c r="E34">
        <v>4</v>
      </c>
      <c r="F34">
        <f t="shared" si="2"/>
        <v>8</v>
      </c>
      <c r="G34" s="24">
        <v>0</v>
      </c>
      <c r="H34" s="24">
        <f t="shared" si="3"/>
        <v>8</v>
      </c>
      <c r="I34" s="24">
        <v>8</v>
      </c>
      <c r="J34" s="24">
        <f t="shared" si="0"/>
        <v>0</v>
      </c>
      <c r="K34" s="4">
        <v>21.25</v>
      </c>
      <c r="L34">
        <f t="shared" si="4"/>
        <v>170</v>
      </c>
    </row>
    <row r="35" spans="1:12" ht="12.75">
      <c r="A35" s="22">
        <v>32</v>
      </c>
      <c r="B35" t="s">
        <v>157</v>
      </c>
      <c r="C35" t="s">
        <v>624</v>
      </c>
      <c r="D35" s="14" t="s">
        <v>556</v>
      </c>
      <c r="E35">
        <v>2</v>
      </c>
      <c r="F35">
        <f t="shared" si="2"/>
        <v>4</v>
      </c>
      <c r="G35" s="24">
        <v>0</v>
      </c>
      <c r="H35" s="24">
        <f t="shared" si="3"/>
        <v>4</v>
      </c>
      <c r="I35" s="24">
        <v>4</v>
      </c>
      <c r="J35" s="24">
        <f t="shared" si="0"/>
        <v>0</v>
      </c>
      <c r="K35" s="4">
        <v>11.9</v>
      </c>
      <c r="L35">
        <f t="shared" si="4"/>
        <v>47.6</v>
      </c>
    </row>
    <row r="36" spans="1:12" ht="12.75">
      <c r="A36">
        <v>33</v>
      </c>
      <c r="B36" t="s">
        <v>219</v>
      </c>
      <c r="C36" s="14" t="s">
        <v>549</v>
      </c>
      <c r="D36" s="14" t="s">
        <v>564</v>
      </c>
      <c r="E36">
        <v>2</v>
      </c>
      <c r="F36">
        <f t="shared" si="2"/>
        <v>4</v>
      </c>
      <c r="G36" s="24">
        <v>1</v>
      </c>
      <c r="H36" s="24">
        <f t="shared" si="3"/>
        <v>5</v>
      </c>
      <c r="I36" s="24">
        <v>5</v>
      </c>
      <c r="J36" s="24">
        <f t="shared" si="0"/>
        <v>0</v>
      </c>
      <c r="K36" s="4">
        <v>0.0289</v>
      </c>
      <c r="L36">
        <f t="shared" si="4"/>
        <v>0.1445</v>
      </c>
    </row>
    <row r="37" spans="1:12" ht="12.75">
      <c r="A37">
        <v>34</v>
      </c>
      <c r="B37" t="s">
        <v>894</v>
      </c>
      <c r="C37" s="14" t="s">
        <v>549</v>
      </c>
      <c r="D37" s="14" t="s">
        <v>550</v>
      </c>
      <c r="E37">
        <v>2</v>
      </c>
      <c r="F37">
        <f t="shared" si="2"/>
        <v>4</v>
      </c>
      <c r="G37" s="24">
        <v>1</v>
      </c>
      <c r="H37" s="24">
        <f t="shared" si="3"/>
        <v>5</v>
      </c>
      <c r="I37" s="24">
        <v>5</v>
      </c>
      <c r="J37" s="24">
        <f t="shared" si="0"/>
        <v>0</v>
      </c>
      <c r="K37" s="4">
        <v>0.0548</v>
      </c>
      <c r="L37">
        <f t="shared" si="4"/>
        <v>0.274</v>
      </c>
    </row>
    <row r="38" spans="1:12" s="15" customFormat="1" ht="12" customHeight="1">
      <c r="A38" s="15">
        <v>35</v>
      </c>
      <c r="B38" s="15" t="s">
        <v>158</v>
      </c>
      <c r="C38" s="18" t="s">
        <v>215</v>
      </c>
      <c r="D38" s="18"/>
      <c r="E38" s="15">
        <f>0*7</f>
        <v>0</v>
      </c>
      <c r="F38" s="15">
        <f t="shared" si="2"/>
        <v>0</v>
      </c>
      <c r="G38" s="67">
        <f>E38-F38</f>
        <v>0</v>
      </c>
      <c r="H38" s="67">
        <f t="shared" si="3"/>
        <v>0</v>
      </c>
      <c r="I38" s="67">
        <f>G38-H38</f>
        <v>0</v>
      </c>
      <c r="J38" s="67">
        <f t="shared" si="0"/>
        <v>0</v>
      </c>
      <c r="K38" s="68"/>
      <c r="L38" s="15">
        <f t="shared" si="4"/>
        <v>0</v>
      </c>
    </row>
    <row r="39" spans="1:12" ht="12.75">
      <c r="A39">
        <v>36</v>
      </c>
      <c r="B39" s="1" t="s">
        <v>650</v>
      </c>
      <c r="C39" s="14" t="s">
        <v>610</v>
      </c>
      <c r="D39" s="14" t="s">
        <v>584</v>
      </c>
      <c r="E39">
        <v>2</v>
      </c>
      <c r="F39">
        <f t="shared" si="2"/>
        <v>4</v>
      </c>
      <c r="G39" s="24">
        <v>0</v>
      </c>
      <c r="H39" s="24">
        <f t="shared" si="3"/>
        <v>4</v>
      </c>
      <c r="I39" s="24">
        <v>4</v>
      </c>
      <c r="J39" s="24">
        <f t="shared" si="0"/>
        <v>0</v>
      </c>
      <c r="K39" s="4">
        <v>2.14</v>
      </c>
      <c r="L39">
        <f t="shared" si="4"/>
        <v>8.56</v>
      </c>
    </row>
    <row r="40" spans="1:12" ht="12.75">
      <c r="A40">
        <v>37</v>
      </c>
      <c r="B40" s="1" t="s">
        <v>653</v>
      </c>
      <c r="C40" s="14" t="s">
        <v>610</v>
      </c>
      <c r="D40" s="14" t="s">
        <v>585</v>
      </c>
      <c r="E40">
        <v>2</v>
      </c>
      <c r="F40">
        <f t="shared" si="2"/>
        <v>4</v>
      </c>
      <c r="G40" s="24">
        <v>0</v>
      </c>
      <c r="H40" s="24">
        <f t="shared" si="3"/>
        <v>4</v>
      </c>
      <c r="I40" s="24">
        <v>4</v>
      </c>
      <c r="J40" s="24">
        <f t="shared" si="0"/>
        <v>0</v>
      </c>
      <c r="K40" s="69">
        <v>2.18</v>
      </c>
      <c r="L40">
        <f t="shared" si="4"/>
        <v>8.72</v>
      </c>
    </row>
    <row r="41" spans="1:12" ht="12.75">
      <c r="A41">
        <v>38</v>
      </c>
      <c r="B41" s="1" t="s">
        <v>656</v>
      </c>
      <c r="C41" s="14" t="s">
        <v>610</v>
      </c>
      <c r="D41" s="14" t="s">
        <v>586</v>
      </c>
      <c r="E41">
        <v>4</v>
      </c>
      <c r="F41">
        <f t="shared" si="2"/>
        <v>8</v>
      </c>
      <c r="G41" s="24">
        <v>0</v>
      </c>
      <c r="H41" s="24">
        <f t="shared" si="3"/>
        <v>8</v>
      </c>
      <c r="I41" s="24">
        <v>8</v>
      </c>
      <c r="J41" s="24">
        <f t="shared" si="0"/>
        <v>0</v>
      </c>
      <c r="K41" s="4">
        <v>1.88</v>
      </c>
      <c r="L41">
        <f t="shared" si="4"/>
        <v>15.04</v>
      </c>
    </row>
    <row r="42" spans="1:12" ht="12.75">
      <c r="A42">
        <v>39</v>
      </c>
      <c r="B42" s="1" t="s">
        <v>651</v>
      </c>
      <c r="C42" s="14" t="s">
        <v>278</v>
      </c>
      <c r="D42" s="14" t="s">
        <v>587</v>
      </c>
      <c r="E42">
        <v>1</v>
      </c>
      <c r="F42">
        <f t="shared" si="2"/>
        <v>2</v>
      </c>
      <c r="G42" s="24">
        <v>0</v>
      </c>
      <c r="H42" s="24">
        <f t="shared" si="3"/>
        <v>2</v>
      </c>
      <c r="I42" s="24">
        <v>2</v>
      </c>
      <c r="J42" s="24">
        <f t="shared" si="0"/>
        <v>0</v>
      </c>
      <c r="K42" s="4">
        <v>3.3</v>
      </c>
      <c r="L42">
        <f t="shared" si="4"/>
        <v>6.6</v>
      </c>
    </row>
    <row r="43" spans="1:12" ht="12.75">
      <c r="A43">
        <v>40</v>
      </c>
      <c r="B43" s="1" t="s">
        <v>654</v>
      </c>
      <c r="C43" s="14" t="s">
        <v>278</v>
      </c>
      <c r="D43" s="14" t="s">
        <v>588</v>
      </c>
      <c r="E43">
        <v>1</v>
      </c>
      <c r="F43">
        <f t="shared" si="2"/>
        <v>2</v>
      </c>
      <c r="G43" s="24">
        <v>0</v>
      </c>
      <c r="H43" s="24">
        <f t="shared" si="3"/>
        <v>2</v>
      </c>
      <c r="I43" s="24">
        <v>2</v>
      </c>
      <c r="J43" s="24">
        <f t="shared" si="0"/>
        <v>0</v>
      </c>
      <c r="K43" s="4">
        <v>3.39</v>
      </c>
      <c r="L43">
        <f t="shared" si="4"/>
        <v>6.78</v>
      </c>
    </row>
    <row r="44" spans="1:12" ht="12.75">
      <c r="A44">
        <v>41</v>
      </c>
      <c r="B44" s="1" t="s">
        <v>657</v>
      </c>
      <c r="C44" s="14" t="s">
        <v>278</v>
      </c>
      <c r="D44" s="14" t="s">
        <v>589</v>
      </c>
      <c r="E44">
        <v>2</v>
      </c>
      <c r="F44">
        <f t="shared" si="2"/>
        <v>4</v>
      </c>
      <c r="G44" s="24">
        <v>0</v>
      </c>
      <c r="H44" s="24">
        <f t="shared" si="3"/>
        <v>4</v>
      </c>
      <c r="I44" s="24">
        <v>4</v>
      </c>
      <c r="J44" s="24">
        <f t="shared" si="0"/>
        <v>0</v>
      </c>
      <c r="K44" s="4">
        <v>2.79</v>
      </c>
      <c r="L44">
        <f t="shared" si="4"/>
        <v>11.16</v>
      </c>
    </row>
    <row r="45" spans="1:12" ht="12.75">
      <c r="A45">
        <v>42</v>
      </c>
      <c r="B45" s="1" t="s">
        <v>652</v>
      </c>
      <c r="C45" t="s">
        <v>285</v>
      </c>
      <c r="D45" t="s">
        <v>593</v>
      </c>
      <c r="E45">
        <v>2</v>
      </c>
      <c r="F45">
        <f t="shared" si="2"/>
        <v>4</v>
      </c>
      <c r="G45" s="24">
        <v>0</v>
      </c>
      <c r="H45" s="24">
        <f t="shared" si="3"/>
        <v>4</v>
      </c>
      <c r="I45" s="24">
        <v>4</v>
      </c>
      <c r="J45" s="24">
        <f t="shared" si="0"/>
        <v>0</v>
      </c>
      <c r="K45" s="4">
        <v>1.64</v>
      </c>
      <c r="L45">
        <f t="shared" si="4"/>
        <v>6.56</v>
      </c>
    </row>
    <row r="46" spans="1:12" ht="12.75">
      <c r="A46">
        <v>43</v>
      </c>
      <c r="B46" s="1" t="s">
        <v>655</v>
      </c>
      <c r="C46" t="s">
        <v>285</v>
      </c>
      <c r="D46" t="s">
        <v>594</v>
      </c>
      <c r="E46">
        <v>2</v>
      </c>
      <c r="F46">
        <f t="shared" si="2"/>
        <v>4</v>
      </c>
      <c r="G46" s="24">
        <v>0</v>
      </c>
      <c r="H46" s="24">
        <f t="shared" si="3"/>
        <v>4</v>
      </c>
      <c r="I46" s="24">
        <v>4</v>
      </c>
      <c r="J46" s="24">
        <f t="shared" si="0"/>
        <v>0</v>
      </c>
      <c r="K46" s="4">
        <v>1.65</v>
      </c>
      <c r="L46">
        <f t="shared" si="4"/>
        <v>6.6</v>
      </c>
    </row>
    <row r="47" spans="1:12" ht="12.75">
      <c r="A47">
        <v>44</v>
      </c>
      <c r="B47" s="1" t="s">
        <v>658</v>
      </c>
      <c r="C47" t="s">
        <v>285</v>
      </c>
      <c r="D47" t="s">
        <v>595</v>
      </c>
      <c r="E47">
        <v>6</v>
      </c>
      <c r="F47">
        <f t="shared" si="2"/>
        <v>12</v>
      </c>
      <c r="G47" s="24">
        <v>0</v>
      </c>
      <c r="H47" s="24">
        <f t="shared" si="3"/>
        <v>12</v>
      </c>
      <c r="I47" s="24">
        <v>12</v>
      </c>
      <c r="J47" s="24">
        <f t="shared" si="0"/>
        <v>0</v>
      </c>
      <c r="K47" s="4">
        <v>1.18</v>
      </c>
      <c r="L47">
        <f t="shared" si="4"/>
        <v>14.16</v>
      </c>
    </row>
    <row r="48" spans="1:12" ht="12.75">
      <c r="A48">
        <v>45</v>
      </c>
      <c r="B48" t="s">
        <v>234</v>
      </c>
      <c r="C48" t="s">
        <v>549</v>
      </c>
      <c r="D48" s="14" t="s">
        <v>592</v>
      </c>
      <c r="E48">
        <v>6</v>
      </c>
      <c r="F48">
        <f t="shared" si="2"/>
        <v>12</v>
      </c>
      <c r="G48" s="24">
        <v>1</v>
      </c>
      <c r="H48" s="24">
        <f t="shared" si="3"/>
        <v>13</v>
      </c>
      <c r="I48" s="24">
        <v>13</v>
      </c>
      <c r="J48" s="24">
        <f t="shared" si="0"/>
        <v>0</v>
      </c>
      <c r="K48" s="4">
        <v>0.0548</v>
      </c>
      <c r="L48">
        <f t="shared" si="4"/>
        <v>0.7124</v>
      </c>
    </row>
    <row r="49" spans="1:12" ht="12.75">
      <c r="A49">
        <v>46</v>
      </c>
      <c r="B49" t="s">
        <v>644</v>
      </c>
      <c r="C49" t="s">
        <v>645</v>
      </c>
      <c r="D49" t="s">
        <v>549</v>
      </c>
      <c r="E49">
        <v>1</v>
      </c>
      <c r="F49">
        <f t="shared" si="2"/>
        <v>2</v>
      </c>
      <c r="G49" s="24">
        <v>0</v>
      </c>
      <c r="H49" s="24">
        <f t="shared" si="3"/>
        <v>2</v>
      </c>
      <c r="I49" s="24">
        <v>0</v>
      </c>
      <c r="J49" s="53">
        <f t="shared" si="0"/>
        <v>2</v>
      </c>
      <c r="K49" s="4">
        <v>71.19</v>
      </c>
      <c r="L49">
        <f t="shared" si="4"/>
        <v>0</v>
      </c>
    </row>
    <row r="50" ht="12.75">
      <c r="E50" s="22"/>
    </row>
    <row r="51" spans="2:12" ht="12.75" hidden="1">
      <c r="B51" s="1" t="s">
        <v>729</v>
      </c>
      <c r="C51" s="14"/>
      <c r="D51" s="14"/>
      <c r="I51">
        <v>2</v>
      </c>
      <c r="K51">
        <f>5000/25</f>
        <v>200</v>
      </c>
      <c r="L51">
        <f>K51*I51</f>
        <v>400</v>
      </c>
    </row>
    <row r="52" spans="2:12" ht="12.75" hidden="1">
      <c r="B52" s="1" t="s">
        <v>730</v>
      </c>
      <c r="C52" s="14"/>
      <c r="D52" s="14"/>
      <c r="I52">
        <v>1</v>
      </c>
      <c r="K52">
        <f>0.15*SUM(L5:L51)</f>
        <v>286.89554999999996</v>
      </c>
      <c r="L52">
        <f>K52*I52</f>
        <v>286.89554999999996</v>
      </c>
    </row>
    <row r="53" spans="2:12" ht="12.75" hidden="1">
      <c r="B53" s="1" t="s">
        <v>731</v>
      </c>
      <c r="C53" s="14"/>
      <c r="D53" s="14"/>
      <c r="I53">
        <v>1</v>
      </c>
      <c r="K53">
        <f>0.1*SUM(L5:L51)</f>
        <v>191.2637</v>
      </c>
      <c r="L53">
        <f>K53*I53</f>
        <v>191.2637</v>
      </c>
    </row>
    <row r="54" spans="2:12" ht="12.75" hidden="1">
      <c r="B54" s="1" t="s">
        <v>732</v>
      </c>
      <c r="C54" s="14"/>
      <c r="D54" s="14"/>
      <c r="L54" s="70">
        <f>SUM(L4:L53)</f>
        <v>2440.06625</v>
      </c>
    </row>
    <row r="55" ht="12.75" hidden="1"/>
    <row r="56" spans="2:9" ht="12.75">
      <c r="B56" s="1" t="s">
        <v>607</v>
      </c>
      <c r="I56">
        <v>1</v>
      </c>
    </row>
    <row r="57" ht="12.75">
      <c r="B57" s="1"/>
    </row>
    <row r="58" ht="25.5">
      <c r="B58" s="1" t="s">
        <v>632</v>
      </c>
    </row>
    <row r="59" spans="2:9" ht="12.75">
      <c r="B59" s="1" t="s">
        <v>733</v>
      </c>
      <c r="I59">
        <v>1</v>
      </c>
    </row>
    <row r="60" spans="2:9" ht="12.75">
      <c r="B60" s="14" t="s">
        <v>610</v>
      </c>
      <c r="I60">
        <v>1</v>
      </c>
    </row>
    <row r="61" spans="2:9" ht="12.75">
      <c r="B61" s="14" t="s">
        <v>278</v>
      </c>
      <c r="I61">
        <v>1</v>
      </c>
    </row>
    <row r="62" spans="2:9" ht="12.75">
      <c r="B62" s="14" t="s">
        <v>611</v>
      </c>
      <c r="I62">
        <v>1</v>
      </c>
    </row>
    <row r="63" spans="2:9" ht="12.75">
      <c r="B63" s="14" t="s">
        <v>612</v>
      </c>
      <c r="I63">
        <v>1</v>
      </c>
    </row>
    <row r="64" spans="2:9" ht="12.75">
      <c r="B64" s="14" t="s">
        <v>613</v>
      </c>
      <c r="I64">
        <v>1</v>
      </c>
    </row>
    <row r="65" spans="2:9" ht="12.75">
      <c r="B65" s="14" t="s">
        <v>614</v>
      </c>
      <c r="I65">
        <v>1</v>
      </c>
    </row>
    <row r="66" spans="2:9" ht="12.75">
      <c r="B66" s="14" t="s">
        <v>615</v>
      </c>
      <c r="I66">
        <v>1</v>
      </c>
    </row>
    <row r="67" spans="2:9" ht="12.75">
      <c r="B67" s="14" t="s">
        <v>616</v>
      </c>
      <c r="I67">
        <v>1</v>
      </c>
    </row>
    <row r="68" spans="2:9" ht="12.75">
      <c r="B68" s="14" t="s">
        <v>617</v>
      </c>
      <c r="I68">
        <v>1</v>
      </c>
    </row>
    <row r="69" spans="2:9" ht="12.75">
      <c r="B69" s="14" t="s">
        <v>618</v>
      </c>
      <c r="I69">
        <v>1</v>
      </c>
    </row>
    <row r="70" spans="2:9" ht="12.75">
      <c r="B70" s="14" t="s">
        <v>633</v>
      </c>
      <c r="I70">
        <v>1</v>
      </c>
    </row>
    <row r="71" spans="2:9" ht="12.75">
      <c r="B71" s="14" t="s">
        <v>264</v>
      </c>
      <c r="I71">
        <v>1</v>
      </c>
    </row>
    <row r="72" spans="2:9" ht="12.75">
      <c r="B72" s="14" t="s">
        <v>267</v>
      </c>
      <c r="I72">
        <v>1</v>
      </c>
    </row>
    <row r="73" spans="2:9" ht="12.75">
      <c r="B73" s="14" t="s">
        <v>286</v>
      </c>
      <c r="I73">
        <v>1</v>
      </c>
    </row>
    <row r="74" spans="2:9" ht="12.75">
      <c r="B74" s="14" t="s">
        <v>634</v>
      </c>
      <c r="I74">
        <v>1</v>
      </c>
    </row>
    <row r="75" spans="2:9" ht="12.75">
      <c r="B75" s="14" t="s">
        <v>643</v>
      </c>
      <c r="I75">
        <v>1</v>
      </c>
    </row>
    <row r="76" spans="2:9" ht="12.75">
      <c r="B76" s="14" t="s">
        <v>641</v>
      </c>
      <c r="I76">
        <v>1</v>
      </c>
    </row>
    <row r="77" spans="2:9" ht="12.75">
      <c r="B77" s="14" t="s">
        <v>642</v>
      </c>
      <c r="I77">
        <v>1</v>
      </c>
    </row>
    <row r="78" spans="2:9" ht="12.75">
      <c r="B78" s="14" t="s">
        <v>649</v>
      </c>
      <c r="I78">
        <v>1</v>
      </c>
    </row>
    <row r="79" spans="2:9" ht="12.75">
      <c r="B79" s="14" t="s">
        <v>716</v>
      </c>
      <c r="I79">
        <v>1</v>
      </c>
    </row>
    <row r="80" spans="2:9" ht="12.75">
      <c r="B80" s="14" t="s">
        <v>717</v>
      </c>
      <c r="I80">
        <v>1</v>
      </c>
    </row>
    <row r="81" spans="2:9" ht="12.75">
      <c r="B81" s="14" t="s">
        <v>635</v>
      </c>
      <c r="I81">
        <v>1</v>
      </c>
    </row>
    <row r="82" spans="2:9" ht="12.75">
      <c r="B82" s="14" t="s">
        <v>636</v>
      </c>
      <c r="I82">
        <v>1</v>
      </c>
    </row>
    <row r="83" spans="2:9" ht="12.75">
      <c r="B83" s="14" t="s">
        <v>637</v>
      </c>
      <c r="I83">
        <v>1</v>
      </c>
    </row>
    <row r="84" spans="2:9" ht="12.75">
      <c r="B84" s="14" t="s">
        <v>639</v>
      </c>
      <c r="I84">
        <v>1</v>
      </c>
    </row>
    <row r="85" spans="2:9" ht="12.75">
      <c r="B85" t="s">
        <v>285</v>
      </c>
      <c r="I85">
        <v>1</v>
      </c>
    </row>
    <row r="86" spans="2:9" ht="12.75">
      <c r="B86" s="14" t="s">
        <v>624</v>
      </c>
      <c r="I86">
        <v>1</v>
      </c>
    </row>
    <row r="87" spans="2:9" ht="12.75">
      <c r="B87" s="14" t="s">
        <v>734</v>
      </c>
      <c r="I87">
        <v>1</v>
      </c>
    </row>
    <row r="88" ht="12.75">
      <c r="B88" s="14"/>
    </row>
    <row r="89" ht="12.75">
      <c r="B89" s="14"/>
    </row>
    <row r="217" ht="12.75">
      <c r="A217" s="22"/>
    </row>
  </sheetData>
  <printOptions gridLines="1"/>
  <pageMargins left="0.375" right="0.375" top="0.5" bottom="0.5" header="0.25" footer="0.25"/>
  <pageSetup fitToHeight="2" fitToWidth="1" horizontalDpi="600" verticalDpi="600" orientation="portrait" paperSize="3" scale="88" r:id="rId1"/>
  <headerFooter alignWithMargins="0">
    <oddHeader>&amp;C&amp;A&amp;R&amp;F</oddHeader>
    <oddFooter>&amp;LK. Kriesel&amp;CPage &amp;P of &amp;N&amp;R&amp;D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64"/>
  <sheetViews>
    <sheetView workbookViewId="0" topLeftCell="IQ1">
      <pane xSplit="5805" ySplit="3060" topLeftCell="D23" activePane="bottomRight" state="split"/>
      <selection pane="topLeft" activeCell="B1" sqref="B1"/>
      <selection pane="topRight" activeCell="D1" sqref="D1"/>
      <selection pane="bottomLeft" activeCell="A2" sqref="A2:IV103"/>
      <selection pane="bottomRight" activeCell="A2" sqref="A2:T71"/>
    </sheetView>
  </sheetViews>
  <sheetFormatPr defaultColWidth="9.140625" defaultRowHeight="12.75"/>
  <cols>
    <col min="2" max="2" width="38.7109375" style="1" customWidth="1"/>
    <col min="3" max="3" width="11.7109375" style="0" customWidth="1"/>
    <col min="4" max="4" width="20.140625" style="0" customWidth="1"/>
    <col min="5" max="5" width="8.00390625" style="0" customWidth="1"/>
    <col min="6" max="6" width="9.8515625" style="0" customWidth="1"/>
    <col min="9" max="9" width="0" style="0" hidden="1" customWidth="1"/>
    <col min="13" max="14" width="9.28125" style="0" hidden="1" customWidth="1"/>
  </cols>
  <sheetData>
    <row r="1" spans="1:5" ht="25.5">
      <c r="A1" t="s">
        <v>629</v>
      </c>
      <c r="B1" s="1" t="s">
        <v>628</v>
      </c>
      <c r="C1" s="14" t="s">
        <v>630</v>
      </c>
      <c r="D1" s="14"/>
      <c r="E1" t="s">
        <v>52</v>
      </c>
    </row>
    <row r="2" spans="1:4" ht="12.75">
      <c r="A2" t="s">
        <v>756</v>
      </c>
      <c r="C2" s="14"/>
      <c r="D2" s="14" t="s">
        <v>679</v>
      </c>
    </row>
    <row r="3" spans="1:14" s="1" customFormat="1" ht="102">
      <c r="A3" s="1" t="s">
        <v>692</v>
      </c>
      <c r="B3" s="1" t="s">
        <v>2</v>
      </c>
      <c r="C3" s="13" t="s">
        <v>547</v>
      </c>
      <c r="D3" s="13" t="s">
        <v>558</v>
      </c>
      <c r="E3" s="1" t="s">
        <v>604</v>
      </c>
      <c r="F3" s="1" t="s">
        <v>627</v>
      </c>
      <c r="G3" s="1" t="s">
        <v>626</v>
      </c>
      <c r="H3" s="1" t="s">
        <v>631</v>
      </c>
      <c r="I3" s="1" t="s">
        <v>754</v>
      </c>
      <c r="J3" s="1" t="s">
        <v>755</v>
      </c>
      <c r="K3" s="1" t="s">
        <v>747</v>
      </c>
      <c r="L3" s="1" t="s">
        <v>748</v>
      </c>
      <c r="M3" s="1" t="s">
        <v>728</v>
      </c>
      <c r="N3" s="1" t="s">
        <v>727</v>
      </c>
    </row>
    <row r="4" spans="1:14" ht="12.75" hidden="1">
      <c r="A4" s="23">
        <v>1</v>
      </c>
      <c r="B4" s="1" t="s">
        <v>5</v>
      </c>
      <c r="C4" s="14" t="s">
        <v>613</v>
      </c>
      <c r="D4" s="14" t="s">
        <v>552</v>
      </c>
      <c r="E4">
        <v>6</v>
      </c>
      <c r="F4">
        <f aca="true" t="shared" si="0" ref="F4:F49">E4*25</f>
        <v>150</v>
      </c>
      <c r="G4">
        <v>2</v>
      </c>
      <c r="H4">
        <f aca="true" t="shared" si="1" ref="H4:H49">SUM(F4:G4)</f>
        <v>152</v>
      </c>
      <c r="I4">
        <v>152</v>
      </c>
      <c r="J4">
        <v>0</v>
      </c>
      <c r="K4">
        <v>0</v>
      </c>
      <c r="L4">
        <v>0</v>
      </c>
      <c r="M4">
        <v>3.79</v>
      </c>
      <c r="N4">
        <f>M4*K4</f>
        <v>0</v>
      </c>
    </row>
    <row r="5" spans="1:14" ht="12.75" hidden="1">
      <c r="A5" s="23">
        <v>2</v>
      </c>
      <c r="B5" s="1" t="s">
        <v>6</v>
      </c>
      <c r="C5" s="14" t="s">
        <v>612</v>
      </c>
      <c r="D5" s="14" t="s">
        <v>562</v>
      </c>
      <c r="E5">
        <v>6</v>
      </c>
      <c r="F5">
        <f t="shared" si="0"/>
        <v>150</v>
      </c>
      <c r="G5">
        <v>3</v>
      </c>
      <c r="H5">
        <f t="shared" si="1"/>
        <v>153</v>
      </c>
      <c r="I5">
        <v>153</v>
      </c>
      <c r="J5">
        <v>0</v>
      </c>
      <c r="K5">
        <v>0</v>
      </c>
      <c r="L5">
        <v>0</v>
      </c>
      <c r="M5">
        <v>2.88</v>
      </c>
      <c r="N5">
        <f aca="true" t="shared" si="2" ref="N5:N49">M5*K5</f>
        <v>0</v>
      </c>
    </row>
    <row r="6" spans="1:14" ht="12.75" hidden="1">
      <c r="A6" s="23">
        <v>3</v>
      </c>
      <c r="B6" s="1" t="s">
        <v>7</v>
      </c>
      <c r="C6" s="14" t="s">
        <v>611</v>
      </c>
      <c r="D6" s="14" t="s">
        <v>563</v>
      </c>
      <c r="E6">
        <v>32</v>
      </c>
      <c r="F6">
        <f t="shared" si="0"/>
        <v>800</v>
      </c>
      <c r="G6">
        <v>3</v>
      </c>
      <c r="H6">
        <f t="shared" si="1"/>
        <v>803</v>
      </c>
      <c r="I6">
        <v>803</v>
      </c>
      <c r="J6">
        <v>0</v>
      </c>
      <c r="K6">
        <v>0</v>
      </c>
      <c r="L6">
        <v>0</v>
      </c>
      <c r="M6">
        <v>2.97</v>
      </c>
      <c r="N6">
        <f t="shared" si="2"/>
        <v>0</v>
      </c>
    </row>
    <row r="7" spans="1:14" ht="12.75" hidden="1">
      <c r="A7" s="23">
        <v>4</v>
      </c>
      <c r="B7" s="1" t="s">
        <v>190</v>
      </c>
      <c r="C7" s="14" t="s">
        <v>549</v>
      </c>
      <c r="D7" s="14" t="s">
        <v>557</v>
      </c>
      <c r="E7">
        <v>94</v>
      </c>
      <c r="F7">
        <f t="shared" si="0"/>
        <v>2350</v>
      </c>
      <c r="G7">
        <v>10</v>
      </c>
      <c r="H7">
        <f t="shared" si="1"/>
        <v>2360</v>
      </c>
      <c r="I7">
        <v>2360</v>
      </c>
      <c r="J7">
        <v>0</v>
      </c>
      <c r="K7">
        <v>0</v>
      </c>
      <c r="L7">
        <v>0</v>
      </c>
      <c r="M7">
        <v>0.0492</v>
      </c>
      <c r="N7">
        <f t="shared" si="2"/>
        <v>0</v>
      </c>
    </row>
    <row r="8" spans="1:14" ht="25.5" hidden="1">
      <c r="A8" s="23">
        <v>5</v>
      </c>
      <c r="B8" s="1" t="s">
        <v>597</v>
      </c>
      <c r="C8" s="14" t="s">
        <v>549</v>
      </c>
      <c r="D8" s="14" t="s">
        <v>548</v>
      </c>
      <c r="E8">
        <v>18</v>
      </c>
      <c r="F8">
        <f t="shared" si="0"/>
        <v>450</v>
      </c>
      <c r="G8">
        <v>5</v>
      </c>
      <c r="H8">
        <f t="shared" si="1"/>
        <v>455</v>
      </c>
      <c r="I8">
        <v>455</v>
      </c>
      <c r="J8">
        <v>0</v>
      </c>
      <c r="K8">
        <v>0</v>
      </c>
      <c r="L8">
        <v>0</v>
      </c>
      <c r="M8">
        <v>0.0332</v>
      </c>
      <c r="N8">
        <f t="shared" si="2"/>
        <v>0</v>
      </c>
    </row>
    <row r="9" spans="1:14" ht="12.75" hidden="1">
      <c r="A9" s="23">
        <v>6</v>
      </c>
      <c r="B9" s="1" t="s">
        <v>247</v>
      </c>
      <c r="C9" s="14" t="s">
        <v>549</v>
      </c>
      <c r="D9" s="14" t="s">
        <v>555</v>
      </c>
      <c r="E9">
        <v>6</v>
      </c>
      <c r="F9">
        <f t="shared" si="0"/>
        <v>150</v>
      </c>
      <c r="G9">
        <v>2</v>
      </c>
      <c r="H9">
        <f t="shared" si="1"/>
        <v>152</v>
      </c>
      <c r="I9">
        <v>152</v>
      </c>
      <c r="J9">
        <v>0</v>
      </c>
      <c r="K9">
        <v>0</v>
      </c>
      <c r="L9">
        <v>0</v>
      </c>
      <c r="M9">
        <v>0.1317</v>
      </c>
      <c r="N9">
        <f t="shared" si="2"/>
        <v>0</v>
      </c>
    </row>
    <row r="10" spans="1:14" ht="12.75">
      <c r="A10" s="23">
        <v>7</v>
      </c>
      <c r="B10" s="1" t="s">
        <v>181</v>
      </c>
      <c r="C10" s="14" t="s">
        <v>616</v>
      </c>
      <c r="D10" s="14" t="s">
        <v>559</v>
      </c>
      <c r="E10">
        <v>1</v>
      </c>
      <c r="F10">
        <f t="shared" si="0"/>
        <v>25</v>
      </c>
      <c r="G10">
        <v>0</v>
      </c>
      <c r="H10">
        <f t="shared" si="1"/>
        <v>25</v>
      </c>
      <c r="I10">
        <v>2</v>
      </c>
      <c r="J10">
        <v>23</v>
      </c>
      <c r="K10">
        <v>2</v>
      </c>
      <c r="L10">
        <f aca="true" t="shared" si="3" ref="L10:L15">J10-K10</f>
        <v>21</v>
      </c>
      <c r="M10">
        <v>8.85</v>
      </c>
      <c r="N10">
        <f t="shared" si="2"/>
        <v>17.7</v>
      </c>
    </row>
    <row r="11" spans="1:14" ht="12.75">
      <c r="A11" s="23">
        <v>8</v>
      </c>
      <c r="B11" s="1" t="s">
        <v>151</v>
      </c>
      <c r="C11" s="14" t="s">
        <v>617</v>
      </c>
      <c r="D11" s="14" t="s">
        <v>565</v>
      </c>
      <c r="E11">
        <v>1</v>
      </c>
      <c r="F11">
        <f t="shared" si="0"/>
        <v>25</v>
      </c>
      <c r="G11">
        <v>0</v>
      </c>
      <c r="H11">
        <f t="shared" si="1"/>
        <v>25</v>
      </c>
      <c r="I11">
        <v>2</v>
      </c>
      <c r="J11">
        <v>23</v>
      </c>
      <c r="K11">
        <v>2</v>
      </c>
      <c r="L11">
        <f t="shared" si="3"/>
        <v>21</v>
      </c>
      <c r="M11">
        <v>9.75</v>
      </c>
      <c r="N11">
        <f t="shared" si="2"/>
        <v>19.5</v>
      </c>
    </row>
    <row r="12" spans="1:18" ht="12.75">
      <c r="A12">
        <v>9</v>
      </c>
      <c r="B12" s="1" t="s">
        <v>152</v>
      </c>
      <c r="C12" s="14" t="s">
        <v>618</v>
      </c>
      <c r="D12" s="14" t="s">
        <v>560</v>
      </c>
      <c r="E12">
        <v>1</v>
      </c>
      <c r="F12">
        <f t="shared" si="0"/>
        <v>25</v>
      </c>
      <c r="G12">
        <v>0</v>
      </c>
      <c r="H12">
        <f t="shared" si="1"/>
        <v>25</v>
      </c>
      <c r="I12">
        <v>2</v>
      </c>
      <c r="J12">
        <v>23</v>
      </c>
      <c r="K12">
        <v>2</v>
      </c>
      <c r="L12">
        <f t="shared" si="3"/>
        <v>21</v>
      </c>
      <c r="M12">
        <v>8.75</v>
      </c>
      <c r="N12">
        <f t="shared" si="2"/>
        <v>17.5</v>
      </c>
      <c r="R12" s="76"/>
    </row>
    <row r="13" spans="1:18" ht="12.75">
      <c r="A13">
        <v>10</v>
      </c>
      <c r="B13" s="1" t="s">
        <v>153</v>
      </c>
      <c r="C13" s="14" t="s">
        <v>633</v>
      </c>
      <c r="D13" s="14" t="s">
        <v>566</v>
      </c>
      <c r="E13">
        <v>1</v>
      </c>
      <c r="F13">
        <f t="shared" si="0"/>
        <v>25</v>
      </c>
      <c r="G13">
        <v>0</v>
      </c>
      <c r="H13">
        <f t="shared" si="1"/>
        <v>25</v>
      </c>
      <c r="I13">
        <v>2</v>
      </c>
      <c r="J13">
        <v>23</v>
      </c>
      <c r="K13">
        <v>2</v>
      </c>
      <c r="L13">
        <f t="shared" si="3"/>
        <v>21</v>
      </c>
      <c r="M13">
        <v>9.5</v>
      </c>
      <c r="N13">
        <f t="shared" si="2"/>
        <v>19</v>
      </c>
      <c r="R13" s="76"/>
    </row>
    <row r="14" spans="1:18" ht="12.75">
      <c r="A14">
        <v>11</v>
      </c>
      <c r="B14" s="1" t="s">
        <v>154</v>
      </c>
      <c r="C14" s="14" t="s">
        <v>264</v>
      </c>
      <c r="D14" s="14" t="s">
        <v>561</v>
      </c>
      <c r="E14">
        <v>1</v>
      </c>
      <c r="F14">
        <f t="shared" si="0"/>
        <v>25</v>
      </c>
      <c r="G14">
        <v>0</v>
      </c>
      <c r="H14">
        <f t="shared" si="1"/>
        <v>25</v>
      </c>
      <c r="I14">
        <v>2</v>
      </c>
      <c r="J14">
        <v>23</v>
      </c>
      <c r="K14">
        <v>2</v>
      </c>
      <c r="L14">
        <f t="shared" si="3"/>
        <v>21</v>
      </c>
      <c r="M14">
        <v>8.95</v>
      </c>
      <c r="N14">
        <f t="shared" si="2"/>
        <v>17.9</v>
      </c>
      <c r="R14" s="76"/>
    </row>
    <row r="15" spans="1:14" ht="12.75">
      <c r="A15">
        <v>12</v>
      </c>
      <c r="B15" s="1" t="s">
        <v>155</v>
      </c>
      <c r="C15" s="14" t="s">
        <v>267</v>
      </c>
      <c r="D15" s="14" t="s">
        <v>567</v>
      </c>
      <c r="E15">
        <v>1</v>
      </c>
      <c r="F15">
        <f t="shared" si="0"/>
        <v>25</v>
      </c>
      <c r="G15">
        <v>0</v>
      </c>
      <c r="H15">
        <f t="shared" si="1"/>
        <v>25</v>
      </c>
      <c r="I15">
        <v>2</v>
      </c>
      <c r="J15">
        <v>23</v>
      </c>
      <c r="K15">
        <v>2</v>
      </c>
      <c r="L15">
        <f t="shared" si="3"/>
        <v>21</v>
      </c>
      <c r="M15">
        <v>9.85</v>
      </c>
      <c r="N15">
        <f t="shared" si="2"/>
        <v>19.7</v>
      </c>
    </row>
    <row r="16" spans="1:14" ht="12.75">
      <c r="A16" s="22">
        <v>13</v>
      </c>
      <c r="B16" s="1" t="s">
        <v>14</v>
      </c>
      <c r="C16" s="14" t="s">
        <v>272</v>
      </c>
      <c r="D16" s="14" t="s">
        <v>568</v>
      </c>
      <c r="E16">
        <v>1</v>
      </c>
      <c r="F16">
        <f t="shared" si="0"/>
        <v>25</v>
      </c>
      <c r="G16">
        <v>0</v>
      </c>
      <c r="H16">
        <f t="shared" si="1"/>
        <v>25</v>
      </c>
      <c r="I16">
        <v>2</v>
      </c>
      <c r="J16">
        <v>23</v>
      </c>
      <c r="K16">
        <v>23</v>
      </c>
      <c r="L16">
        <v>0</v>
      </c>
      <c r="M16">
        <v>19.3</v>
      </c>
      <c r="N16">
        <f t="shared" si="2"/>
        <v>443.90000000000003</v>
      </c>
    </row>
    <row r="17" spans="1:14" ht="12.75">
      <c r="A17">
        <v>14</v>
      </c>
      <c r="B17" s="1" t="s">
        <v>15</v>
      </c>
      <c r="C17" s="14" t="s">
        <v>273</v>
      </c>
      <c r="D17" s="14" t="s">
        <v>569</v>
      </c>
      <c r="E17">
        <v>1</v>
      </c>
      <c r="F17">
        <f t="shared" si="0"/>
        <v>25</v>
      </c>
      <c r="G17">
        <v>0</v>
      </c>
      <c r="H17">
        <f t="shared" si="1"/>
        <v>25</v>
      </c>
      <c r="I17">
        <v>2</v>
      </c>
      <c r="J17">
        <v>23</v>
      </c>
      <c r="K17">
        <v>23</v>
      </c>
      <c r="L17">
        <v>0</v>
      </c>
      <c r="M17">
        <v>18.3</v>
      </c>
      <c r="N17">
        <f t="shared" si="2"/>
        <v>420.90000000000003</v>
      </c>
    </row>
    <row r="18" spans="1:14" ht="38.25">
      <c r="A18">
        <v>15</v>
      </c>
      <c r="B18" s="1" t="s">
        <v>598</v>
      </c>
      <c r="C18" s="14" t="s">
        <v>750</v>
      </c>
      <c r="D18" s="14" t="s">
        <v>570</v>
      </c>
      <c r="E18">
        <v>1</v>
      </c>
      <c r="F18">
        <f t="shared" si="0"/>
        <v>25</v>
      </c>
      <c r="G18">
        <v>0</v>
      </c>
      <c r="H18">
        <f t="shared" si="1"/>
        <v>25</v>
      </c>
      <c r="I18">
        <v>2</v>
      </c>
      <c r="J18">
        <v>23</v>
      </c>
      <c r="K18">
        <v>2</v>
      </c>
      <c r="L18">
        <f aca="true" t="shared" si="4" ref="L18:L23">J18-K18</f>
        <v>21</v>
      </c>
      <c r="M18">
        <f>46.2+90</f>
        <v>136.2</v>
      </c>
      <c r="N18">
        <f t="shared" si="2"/>
        <v>272.4</v>
      </c>
    </row>
    <row r="19" spans="1:14" ht="12.75">
      <c r="A19">
        <v>16</v>
      </c>
      <c r="B19" s="1" t="s">
        <v>251</v>
      </c>
      <c r="C19" s="14" t="s">
        <v>725</v>
      </c>
      <c r="D19" s="14" t="s">
        <v>571</v>
      </c>
      <c r="E19">
        <v>1</v>
      </c>
      <c r="F19">
        <f t="shared" si="0"/>
        <v>25</v>
      </c>
      <c r="G19">
        <v>0</v>
      </c>
      <c r="H19">
        <f t="shared" si="1"/>
        <v>25</v>
      </c>
      <c r="I19">
        <v>2</v>
      </c>
      <c r="J19">
        <v>23</v>
      </c>
      <c r="K19">
        <v>2</v>
      </c>
      <c r="L19" s="34">
        <f t="shared" si="4"/>
        <v>21</v>
      </c>
      <c r="M19">
        <v>23.98</v>
      </c>
      <c r="N19">
        <f t="shared" si="2"/>
        <v>47.96</v>
      </c>
    </row>
    <row r="20" spans="1:14" ht="38.25">
      <c r="A20">
        <v>17</v>
      </c>
      <c r="B20" s="1" t="s">
        <v>600</v>
      </c>
      <c r="C20" s="14" t="s">
        <v>753</v>
      </c>
      <c r="D20" s="14" t="s">
        <v>572</v>
      </c>
      <c r="E20">
        <v>1</v>
      </c>
      <c r="F20">
        <f t="shared" si="0"/>
        <v>25</v>
      </c>
      <c r="G20">
        <v>0</v>
      </c>
      <c r="H20">
        <f t="shared" si="1"/>
        <v>25</v>
      </c>
      <c r="I20">
        <v>2</v>
      </c>
      <c r="J20">
        <v>23</v>
      </c>
      <c r="K20">
        <v>2</v>
      </c>
      <c r="L20">
        <f t="shared" si="4"/>
        <v>21</v>
      </c>
      <c r="M20">
        <f>24.81+45</f>
        <v>69.81</v>
      </c>
      <c r="N20">
        <f t="shared" si="2"/>
        <v>139.62</v>
      </c>
    </row>
    <row r="21" spans="1:14" ht="12.75">
      <c r="A21">
        <v>18</v>
      </c>
      <c r="B21" s="1" t="s">
        <v>253</v>
      </c>
      <c r="C21" s="14" t="s">
        <v>726</v>
      </c>
      <c r="D21" s="14" t="s">
        <v>573</v>
      </c>
      <c r="E21">
        <v>1</v>
      </c>
      <c r="F21">
        <f t="shared" si="0"/>
        <v>25</v>
      </c>
      <c r="G21">
        <v>0</v>
      </c>
      <c r="H21">
        <f t="shared" si="1"/>
        <v>25</v>
      </c>
      <c r="I21">
        <v>2</v>
      </c>
      <c r="J21">
        <v>23</v>
      </c>
      <c r="K21">
        <v>2</v>
      </c>
      <c r="L21" s="34">
        <f t="shared" si="4"/>
        <v>21</v>
      </c>
      <c r="M21">
        <v>23.98</v>
      </c>
      <c r="N21">
        <f t="shared" si="2"/>
        <v>47.96</v>
      </c>
    </row>
    <row r="22" spans="1:14" ht="12.75">
      <c r="A22">
        <v>19</v>
      </c>
      <c r="B22" s="1" t="s">
        <v>20</v>
      </c>
      <c r="C22" s="14" t="s">
        <v>751</v>
      </c>
      <c r="D22" s="14" t="s">
        <v>574</v>
      </c>
      <c r="E22">
        <v>1</v>
      </c>
      <c r="F22">
        <f t="shared" si="0"/>
        <v>25</v>
      </c>
      <c r="G22">
        <v>0</v>
      </c>
      <c r="H22">
        <f t="shared" si="1"/>
        <v>25</v>
      </c>
      <c r="I22">
        <v>2</v>
      </c>
      <c r="J22">
        <v>23</v>
      </c>
      <c r="K22">
        <v>2</v>
      </c>
      <c r="L22">
        <f t="shared" si="4"/>
        <v>21</v>
      </c>
      <c r="M22">
        <f>46.8+20</f>
        <v>66.8</v>
      </c>
      <c r="N22">
        <f t="shared" si="2"/>
        <v>133.6</v>
      </c>
    </row>
    <row r="23" spans="1:14" ht="12.75">
      <c r="A23">
        <v>20</v>
      </c>
      <c r="B23" s="1" t="s">
        <v>21</v>
      </c>
      <c r="C23" s="14" t="s">
        <v>294</v>
      </c>
      <c r="D23" s="14" t="s">
        <v>575</v>
      </c>
      <c r="E23">
        <v>1</v>
      </c>
      <c r="F23">
        <f t="shared" si="0"/>
        <v>25</v>
      </c>
      <c r="G23">
        <v>0</v>
      </c>
      <c r="H23">
        <f t="shared" si="1"/>
        <v>25</v>
      </c>
      <c r="I23">
        <v>2</v>
      </c>
      <c r="J23">
        <v>23</v>
      </c>
      <c r="K23">
        <v>23</v>
      </c>
      <c r="L23">
        <f t="shared" si="4"/>
        <v>0</v>
      </c>
      <c r="M23">
        <v>17.95</v>
      </c>
      <c r="N23">
        <f t="shared" si="2"/>
        <v>412.84999999999997</v>
      </c>
    </row>
    <row r="24" spans="1:14" ht="12.75" hidden="1">
      <c r="A24">
        <v>21</v>
      </c>
      <c r="B24" s="1" t="s">
        <v>191</v>
      </c>
      <c r="C24" s="14" t="s">
        <v>549</v>
      </c>
      <c r="D24" s="14" t="s">
        <v>576</v>
      </c>
      <c r="E24">
        <v>96</v>
      </c>
      <c r="F24">
        <f t="shared" si="0"/>
        <v>2400</v>
      </c>
      <c r="G24">
        <v>20</v>
      </c>
      <c r="H24">
        <f t="shared" si="1"/>
        <v>2420</v>
      </c>
      <c r="I24">
        <v>2420</v>
      </c>
      <c r="J24">
        <v>0</v>
      </c>
      <c r="K24">
        <v>0</v>
      </c>
      <c r="L24">
        <f>J24-K24</f>
        <v>0</v>
      </c>
      <c r="M24">
        <v>0.1375</v>
      </c>
      <c r="N24">
        <f t="shared" si="2"/>
        <v>0</v>
      </c>
    </row>
    <row r="25" spans="1:14" ht="12.75" hidden="1">
      <c r="A25">
        <v>22</v>
      </c>
      <c r="B25" s="1" t="s">
        <v>228</v>
      </c>
      <c r="C25" s="14" t="s">
        <v>549</v>
      </c>
      <c r="D25" s="14" t="s">
        <v>577</v>
      </c>
      <c r="E25">
        <v>96</v>
      </c>
      <c r="F25">
        <f t="shared" si="0"/>
        <v>2400</v>
      </c>
      <c r="G25">
        <v>20</v>
      </c>
      <c r="H25">
        <f t="shared" si="1"/>
        <v>2420</v>
      </c>
      <c r="I25">
        <v>2420</v>
      </c>
      <c r="J25">
        <v>0</v>
      </c>
      <c r="K25">
        <v>0</v>
      </c>
      <c r="L25">
        <f>J25-K25</f>
        <v>0</v>
      </c>
      <c r="M25">
        <v>0.0186</v>
      </c>
      <c r="N25">
        <f t="shared" si="2"/>
        <v>0</v>
      </c>
    </row>
    <row r="26" spans="1:14" ht="12.75">
      <c r="A26">
        <v>23</v>
      </c>
      <c r="B26" s="1" t="s">
        <v>23</v>
      </c>
      <c r="C26" s="14" t="s">
        <v>622</v>
      </c>
      <c r="D26" s="14" t="s">
        <v>578</v>
      </c>
      <c r="E26">
        <v>2</v>
      </c>
      <c r="F26">
        <f t="shared" si="0"/>
        <v>50</v>
      </c>
      <c r="G26">
        <v>0</v>
      </c>
      <c r="H26">
        <f t="shared" si="1"/>
        <v>50</v>
      </c>
      <c r="I26">
        <v>4</v>
      </c>
      <c r="J26">
        <v>46</v>
      </c>
      <c r="K26">
        <v>46</v>
      </c>
      <c r="L26">
        <f>J26-K26</f>
        <v>0</v>
      </c>
      <c r="M26">
        <v>6.32</v>
      </c>
      <c r="N26">
        <f t="shared" si="2"/>
        <v>290.72</v>
      </c>
    </row>
    <row r="27" spans="1:14" ht="12.75">
      <c r="A27">
        <v>24</v>
      </c>
      <c r="B27" s="1" t="s">
        <v>438</v>
      </c>
      <c r="C27" s="14" t="s">
        <v>276</v>
      </c>
      <c r="D27" s="14" t="s">
        <v>579</v>
      </c>
      <c r="E27">
        <v>1</v>
      </c>
      <c r="F27">
        <f t="shared" si="0"/>
        <v>25</v>
      </c>
      <c r="G27">
        <v>0</v>
      </c>
      <c r="H27">
        <f t="shared" si="1"/>
        <v>25</v>
      </c>
      <c r="I27">
        <v>2</v>
      </c>
      <c r="J27">
        <v>23</v>
      </c>
      <c r="K27">
        <v>2</v>
      </c>
      <c r="L27">
        <f aca="true" t="shared" si="5" ref="L27:L49">J27-K27</f>
        <v>21</v>
      </c>
      <c r="M27">
        <v>45</v>
      </c>
      <c r="N27">
        <f t="shared" si="2"/>
        <v>90</v>
      </c>
    </row>
    <row r="28" spans="1:14" ht="12.75">
      <c r="A28">
        <v>25</v>
      </c>
      <c r="B28" s="1" t="s">
        <v>25</v>
      </c>
      <c r="C28" s="14" t="s">
        <v>277</v>
      </c>
      <c r="D28" s="14" t="s">
        <v>580</v>
      </c>
      <c r="E28">
        <v>1</v>
      </c>
      <c r="F28">
        <f t="shared" si="0"/>
        <v>25</v>
      </c>
      <c r="G28">
        <v>0</v>
      </c>
      <c r="H28">
        <f t="shared" si="1"/>
        <v>25</v>
      </c>
      <c r="I28">
        <v>2</v>
      </c>
      <c r="J28">
        <v>23</v>
      </c>
      <c r="K28">
        <v>2</v>
      </c>
      <c r="L28">
        <f t="shared" si="5"/>
        <v>21</v>
      </c>
      <c r="M28">
        <v>16.99</v>
      </c>
      <c r="N28">
        <f t="shared" si="2"/>
        <v>33.98</v>
      </c>
    </row>
    <row r="29" spans="1:14" ht="12.75">
      <c r="A29">
        <v>26</v>
      </c>
      <c r="B29" s="1" t="s">
        <v>248</v>
      </c>
      <c r="C29" s="14" t="s">
        <v>615</v>
      </c>
      <c r="D29" s="13" t="s">
        <v>554</v>
      </c>
      <c r="E29">
        <v>2</v>
      </c>
      <c r="F29">
        <f t="shared" si="0"/>
        <v>50</v>
      </c>
      <c r="G29">
        <v>0</v>
      </c>
      <c r="H29">
        <f t="shared" si="1"/>
        <v>50</v>
      </c>
      <c r="I29">
        <v>4</v>
      </c>
      <c r="J29">
        <v>46</v>
      </c>
      <c r="K29">
        <v>4</v>
      </c>
      <c r="L29">
        <f t="shared" si="5"/>
        <v>42</v>
      </c>
      <c r="M29">
        <v>8.85</v>
      </c>
      <c r="N29">
        <f t="shared" si="2"/>
        <v>35.4</v>
      </c>
    </row>
    <row r="30" spans="1:14" ht="12.75">
      <c r="A30">
        <v>27</v>
      </c>
      <c r="B30" s="1" t="s">
        <v>27</v>
      </c>
      <c r="C30" s="14" t="s">
        <v>614</v>
      </c>
      <c r="D30" s="14" t="s">
        <v>553</v>
      </c>
      <c r="E30">
        <v>2</v>
      </c>
      <c r="F30">
        <f t="shared" si="0"/>
        <v>50</v>
      </c>
      <c r="G30">
        <v>0</v>
      </c>
      <c r="H30">
        <f t="shared" si="1"/>
        <v>50</v>
      </c>
      <c r="I30">
        <v>4</v>
      </c>
      <c r="J30">
        <v>46</v>
      </c>
      <c r="K30">
        <v>4</v>
      </c>
      <c r="L30">
        <f t="shared" si="5"/>
        <v>42</v>
      </c>
      <c r="M30">
        <v>9.25</v>
      </c>
      <c r="N30">
        <f t="shared" si="2"/>
        <v>37</v>
      </c>
    </row>
    <row r="31" spans="1:14" ht="12.75" hidden="1">
      <c r="A31">
        <v>28</v>
      </c>
      <c r="B31" s="1" t="s">
        <v>229</v>
      </c>
      <c r="C31" s="14" t="s">
        <v>549</v>
      </c>
      <c r="D31" s="14" t="s">
        <v>581</v>
      </c>
      <c r="E31">
        <v>28</v>
      </c>
      <c r="F31">
        <f t="shared" si="0"/>
        <v>700</v>
      </c>
      <c r="G31">
        <v>10</v>
      </c>
      <c r="H31">
        <f t="shared" si="1"/>
        <v>710</v>
      </c>
      <c r="I31">
        <v>710</v>
      </c>
      <c r="J31">
        <v>0</v>
      </c>
      <c r="K31">
        <v>0</v>
      </c>
      <c r="L31">
        <f t="shared" si="5"/>
        <v>0</v>
      </c>
      <c r="M31">
        <v>0.165</v>
      </c>
      <c r="N31">
        <f t="shared" si="2"/>
        <v>0</v>
      </c>
    </row>
    <row r="32" spans="1:14" ht="12.75" hidden="1">
      <c r="A32">
        <v>29</v>
      </c>
      <c r="B32" s="1" t="s">
        <v>551</v>
      </c>
      <c r="C32" s="14" t="s">
        <v>549</v>
      </c>
      <c r="D32" s="13" t="s">
        <v>601</v>
      </c>
      <c r="E32">
        <v>24</v>
      </c>
      <c r="F32">
        <f t="shared" si="0"/>
        <v>600</v>
      </c>
      <c r="G32">
        <v>10</v>
      </c>
      <c r="H32">
        <f t="shared" si="1"/>
        <v>610</v>
      </c>
      <c r="I32">
        <v>610</v>
      </c>
      <c r="J32">
        <v>0</v>
      </c>
      <c r="K32">
        <v>0</v>
      </c>
      <c r="L32">
        <f t="shared" si="5"/>
        <v>0</v>
      </c>
      <c r="M32">
        <v>0.0152</v>
      </c>
      <c r="N32">
        <f t="shared" si="2"/>
        <v>0</v>
      </c>
    </row>
    <row r="33" spans="1:14" ht="12.75" hidden="1">
      <c r="A33">
        <v>30</v>
      </c>
      <c r="B33" s="1" t="s">
        <v>249</v>
      </c>
      <c r="C33" s="14" t="s">
        <v>549</v>
      </c>
      <c r="D33" s="14" t="s">
        <v>582</v>
      </c>
      <c r="E33">
        <v>6</v>
      </c>
      <c r="F33">
        <f t="shared" si="0"/>
        <v>150</v>
      </c>
      <c r="G33">
        <v>4</v>
      </c>
      <c r="H33">
        <f t="shared" si="1"/>
        <v>154</v>
      </c>
      <c r="I33">
        <v>154</v>
      </c>
      <c r="J33">
        <v>0</v>
      </c>
      <c r="K33">
        <v>0</v>
      </c>
      <c r="L33">
        <f t="shared" si="5"/>
        <v>0</v>
      </c>
      <c r="M33">
        <v>0.0645</v>
      </c>
      <c r="N33">
        <f t="shared" si="2"/>
        <v>0</v>
      </c>
    </row>
    <row r="34" spans="1:14" ht="12.75">
      <c r="A34">
        <v>31</v>
      </c>
      <c r="B34" s="1" t="s">
        <v>602</v>
      </c>
      <c r="C34" s="14" t="s">
        <v>623</v>
      </c>
      <c r="D34" s="14" t="s">
        <v>583</v>
      </c>
      <c r="E34">
        <v>4</v>
      </c>
      <c r="F34">
        <f t="shared" si="0"/>
        <v>100</v>
      </c>
      <c r="G34">
        <v>0</v>
      </c>
      <c r="H34">
        <f t="shared" si="1"/>
        <v>100</v>
      </c>
      <c r="I34">
        <v>8</v>
      </c>
      <c r="J34">
        <v>92</v>
      </c>
      <c r="K34">
        <v>92</v>
      </c>
      <c r="L34">
        <f t="shared" si="5"/>
        <v>0</v>
      </c>
      <c r="M34">
        <f>3.7*2</f>
        <v>7.4</v>
      </c>
      <c r="N34">
        <f t="shared" si="2"/>
        <v>680.8000000000001</v>
      </c>
    </row>
    <row r="35" spans="1:14" ht="12.75">
      <c r="A35">
        <v>32</v>
      </c>
      <c r="B35" s="1" t="s">
        <v>157</v>
      </c>
      <c r="C35" s="14" t="s">
        <v>624</v>
      </c>
      <c r="D35" s="14" t="s">
        <v>556</v>
      </c>
      <c r="E35">
        <v>2</v>
      </c>
      <c r="F35">
        <f t="shared" si="0"/>
        <v>50</v>
      </c>
      <c r="G35">
        <v>0</v>
      </c>
      <c r="H35">
        <f t="shared" si="1"/>
        <v>50</v>
      </c>
      <c r="I35">
        <v>4</v>
      </c>
      <c r="J35">
        <v>46</v>
      </c>
      <c r="K35">
        <v>4</v>
      </c>
      <c r="L35">
        <f t="shared" si="5"/>
        <v>42</v>
      </c>
      <c r="M35">
        <v>11.9</v>
      </c>
      <c r="N35">
        <f t="shared" si="2"/>
        <v>47.6</v>
      </c>
    </row>
    <row r="36" spans="1:14" ht="12.75" hidden="1">
      <c r="A36">
        <v>33</v>
      </c>
      <c r="B36" s="1" t="s">
        <v>219</v>
      </c>
      <c r="C36" s="14" t="s">
        <v>549</v>
      </c>
      <c r="D36" s="14" t="s">
        <v>564</v>
      </c>
      <c r="E36">
        <v>2</v>
      </c>
      <c r="F36">
        <f t="shared" si="0"/>
        <v>50</v>
      </c>
      <c r="G36">
        <v>2</v>
      </c>
      <c r="H36">
        <f t="shared" si="1"/>
        <v>52</v>
      </c>
      <c r="I36">
        <v>52</v>
      </c>
      <c r="J36">
        <v>0</v>
      </c>
      <c r="K36">
        <v>0</v>
      </c>
      <c r="L36">
        <f t="shared" si="5"/>
        <v>0</v>
      </c>
      <c r="M36">
        <v>0.0289</v>
      </c>
      <c r="N36">
        <f t="shared" si="2"/>
        <v>0</v>
      </c>
    </row>
    <row r="37" spans="1:14" ht="12.75" hidden="1">
      <c r="A37">
        <v>34</v>
      </c>
      <c r="B37" s="1" t="s">
        <v>216</v>
      </c>
      <c r="C37" s="14" t="s">
        <v>549</v>
      </c>
      <c r="D37" s="14" t="s">
        <v>550</v>
      </c>
      <c r="E37">
        <v>2</v>
      </c>
      <c r="F37">
        <f t="shared" si="0"/>
        <v>50</v>
      </c>
      <c r="G37">
        <v>2</v>
      </c>
      <c r="H37">
        <f t="shared" si="1"/>
        <v>52</v>
      </c>
      <c r="I37">
        <v>52</v>
      </c>
      <c r="J37">
        <v>0</v>
      </c>
      <c r="K37">
        <v>0</v>
      </c>
      <c r="L37">
        <f t="shared" si="5"/>
        <v>0</v>
      </c>
      <c r="M37">
        <v>0.0548</v>
      </c>
      <c r="N37">
        <f t="shared" si="2"/>
        <v>0</v>
      </c>
    </row>
    <row r="38" spans="1:14" ht="12.75" hidden="1">
      <c r="A38" s="15">
        <v>35</v>
      </c>
      <c r="B38" s="16" t="s">
        <v>195</v>
      </c>
      <c r="C38" s="18" t="s">
        <v>215</v>
      </c>
      <c r="D38" s="18" t="s">
        <v>625</v>
      </c>
      <c r="E38" s="15">
        <f>7*0</f>
        <v>0</v>
      </c>
      <c r="F38" s="15">
        <f t="shared" si="0"/>
        <v>0</v>
      </c>
      <c r="G38" s="15">
        <v>0</v>
      </c>
      <c r="H38" s="15">
        <f t="shared" si="1"/>
        <v>0</v>
      </c>
      <c r="I38" s="15">
        <v>0</v>
      </c>
      <c r="J38" s="15">
        <v>0</v>
      </c>
      <c r="K38" s="15">
        <v>0</v>
      </c>
      <c r="L38" s="15">
        <f t="shared" si="5"/>
        <v>0</v>
      </c>
      <c r="M38" s="15">
        <v>0</v>
      </c>
      <c r="N38" s="15">
        <f t="shared" si="2"/>
        <v>0</v>
      </c>
    </row>
    <row r="39" spans="1:14" ht="12.75" hidden="1">
      <c r="A39">
        <v>36</v>
      </c>
      <c r="B39" s="1" t="s">
        <v>650</v>
      </c>
      <c r="C39" s="14" t="s">
        <v>610</v>
      </c>
      <c r="D39" s="14" t="s">
        <v>584</v>
      </c>
      <c r="E39">
        <v>2</v>
      </c>
      <c r="F39">
        <f t="shared" si="0"/>
        <v>50</v>
      </c>
      <c r="G39">
        <v>0</v>
      </c>
      <c r="H39">
        <f t="shared" si="1"/>
        <v>50</v>
      </c>
      <c r="I39">
        <v>50</v>
      </c>
      <c r="J39">
        <v>0</v>
      </c>
      <c r="K39">
        <v>0</v>
      </c>
      <c r="L39">
        <f t="shared" si="5"/>
        <v>0</v>
      </c>
      <c r="M39">
        <v>2.14</v>
      </c>
      <c r="N39">
        <f t="shared" si="2"/>
        <v>0</v>
      </c>
    </row>
    <row r="40" spans="1:14" s="1" customFormat="1" ht="25.5" hidden="1">
      <c r="A40" s="1">
        <v>37</v>
      </c>
      <c r="B40" s="1" t="s">
        <v>653</v>
      </c>
      <c r="C40" s="13" t="s">
        <v>610</v>
      </c>
      <c r="D40" s="13" t="s">
        <v>585</v>
      </c>
      <c r="E40" s="1">
        <v>2</v>
      </c>
      <c r="F40" s="1">
        <f t="shared" si="0"/>
        <v>50</v>
      </c>
      <c r="G40" s="1">
        <v>0</v>
      </c>
      <c r="H40" s="1">
        <f t="shared" si="1"/>
        <v>50</v>
      </c>
      <c r="I40" s="1">
        <v>50</v>
      </c>
      <c r="J40" s="1">
        <v>0</v>
      </c>
      <c r="K40" s="1">
        <v>0</v>
      </c>
      <c r="L40">
        <f t="shared" si="5"/>
        <v>0</v>
      </c>
      <c r="M40" s="1">
        <v>2.18</v>
      </c>
      <c r="N40">
        <f t="shared" si="2"/>
        <v>0</v>
      </c>
    </row>
    <row r="41" spans="1:14" ht="12.75" hidden="1">
      <c r="A41">
        <v>38</v>
      </c>
      <c r="B41" s="1" t="s">
        <v>656</v>
      </c>
      <c r="C41" s="14" t="s">
        <v>610</v>
      </c>
      <c r="D41" s="14" t="s">
        <v>586</v>
      </c>
      <c r="E41">
        <v>4</v>
      </c>
      <c r="F41">
        <f t="shared" si="0"/>
        <v>100</v>
      </c>
      <c r="G41">
        <v>0</v>
      </c>
      <c r="H41">
        <f t="shared" si="1"/>
        <v>100</v>
      </c>
      <c r="I41">
        <v>100</v>
      </c>
      <c r="J41">
        <v>0</v>
      </c>
      <c r="K41">
        <v>0</v>
      </c>
      <c r="L41">
        <f t="shared" si="5"/>
        <v>0</v>
      </c>
      <c r="M41">
        <v>1.88</v>
      </c>
      <c r="N41">
        <f t="shared" si="2"/>
        <v>0</v>
      </c>
    </row>
    <row r="42" spans="1:14" ht="12.75" hidden="1">
      <c r="A42" s="22">
        <v>39</v>
      </c>
      <c r="B42" s="1" t="s">
        <v>651</v>
      </c>
      <c r="C42" s="14" t="s">
        <v>278</v>
      </c>
      <c r="D42" s="14" t="s">
        <v>587</v>
      </c>
      <c r="E42">
        <v>1</v>
      </c>
      <c r="F42">
        <f t="shared" si="0"/>
        <v>25</v>
      </c>
      <c r="G42">
        <v>0</v>
      </c>
      <c r="H42">
        <f t="shared" si="1"/>
        <v>25</v>
      </c>
      <c r="I42">
        <v>25</v>
      </c>
      <c r="J42">
        <v>0</v>
      </c>
      <c r="K42">
        <v>0</v>
      </c>
      <c r="L42">
        <f t="shared" si="5"/>
        <v>0</v>
      </c>
      <c r="M42">
        <v>3.3</v>
      </c>
      <c r="N42">
        <f t="shared" si="2"/>
        <v>0</v>
      </c>
    </row>
    <row r="43" spans="1:14" ht="25.5" hidden="1">
      <c r="A43">
        <v>40</v>
      </c>
      <c r="B43" s="1" t="s">
        <v>654</v>
      </c>
      <c r="C43" s="14" t="s">
        <v>278</v>
      </c>
      <c r="D43" s="14" t="s">
        <v>588</v>
      </c>
      <c r="E43">
        <v>1</v>
      </c>
      <c r="F43">
        <f t="shared" si="0"/>
        <v>25</v>
      </c>
      <c r="G43">
        <v>0</v>
      </c>
      <c r="H43">
        <f t="shared" si="1"/>
        <v>25</v>
      </c>
      <c r="I43">
        <v>25</v>
      </c>
      <c r="J43">
        <v>0</v>
      </c>
      <c r="K43">
        <v>0</v>
      </c>
      <c r="L43">
        <f t="shared" si="5"/>
        <v>0</v>
      </c>
      <c r="M43">
        <v>3.39</v>
      </c>
      <c r="N43">
        <f t="shared" si="2"/>
        <v>0</v>
      </c>
    </row>
    <row r="44" spans="1:14" ht="12.75" hidden="1">
      <c r="A44">
        <v>41</v>
      </c>
      <c r="B44" s="1" t="s">
        <v>657</v>
      </c>
      <c r="C44" s="14" t="s">
        <v>278</v>
      </c>
      <c r="D44" s="14" t="s">
        <v>589</v>
      </c>
      <c r="E44">
        <v>2</v>
      </c>
      <c r="F44">
        <f t="shared" si="0"/>
        <v>50</v>
      </c>
      <c r="G44">
        <v>0</v>
      </c>
      <c r="H44">
        <f t="shared" si="1"/>
        <v>50</v>
      </c>
      <c r="I44">
        <v>50</v>
      </c>
      <c r="J44">
        <v>0</v>
      </c>
      <c r="K44">
        <v>0</v>
      </c>
      <c r="L44">
        <f t="shared" si="5"/>
        <v>0</v>
      </c>
      <c r="M44">
        <v>2.79</v>
      </c>
      <c r="N44">
        <f t="shared" si="2"/>
        <v>0</v>
      </c>
    </row>
    <row r="45" spans="1:14" ht="12.75" hidden="1">
      <c r="A45">
        <v>42</v>
      </c>
      <c r="B45" s="1" t="s">
        <v>652</v>
      </c>
      <c r="C45" t="s">
        <v>285</v>
      </c>
      <c r="D45" t="s">
        <v>593</v>
      </c>
      <c r="E45">
        <v>2</v>
      </c>
      <c r="F45">
        <f t="shared" si="0"/>
        <v>50</v>
      </c>
      <c r="G45">
        <v>0</v>
      </c>
      <c r="H45">
        <f t="shared" si="1"/>
        <v>50</v>
      </c>
      <c r="I45">
        <v>51</v>
      </c>
      <c r="J45">
        <v>0</v>
      </c>
      <c r="K45">
        <v>0</v>
      </c>
      <c r="L45">
        <f t="shared" si="5"/>
        <v>0</v>
      </c>
      <c r="M45">
        <v>1.64</v>
      </c>
      <c r="N45">
        <f t="shared" si="2"/>
        <v>0</v>
      </c>
    </row>
    <row r="46" spans="1:14" ht="25.5" hidden="1">
      <c r="A46">
        <v>43</v>
      </c>
      <c r="B46" s="1" t="s">
        <v>655</v>
      </c>
      <c r="C46" t="s">
        <v>285</v>
      </c>
      <c r="D46" t="s">
        <v>594</v>
      </c>
      <c r="E46">
        <v>2</v>
      </c>
      <c r="F46">
        <f t="shared" si="0"/>
        <v>50</v>
      </c>
      <c r="G46">
        <v>0</v>
      </c>
      <c r="H46">
        <f t="shared" si="1"/>
        <v>50</v>
      </c>
      <c r="I46">
        <v>50</v>
      </c>
      <c r="J46">
        <v>0</v>
      </c>
      <c r="K46">
        <v>0</v>
      </c>
      <c r="L46">
        <f t="shared" si="5"/>
        <v>0</v>
      </c>
      <c r="M46">
        <v>1.65</v>
      </c>
      <c r="N46">
        <f t="shared" si="2"/>
        <v>0</v>
      </c>
    </row>
    <row r="47" spans="1:14" ht="12.75" hidden="1">
      <c r="A47" s="22">
        <v>44</v>
      </c>
      <c r="B47" s="1" t="s">
        <v>658</v>
      </c>
      <c r="C47" t="s">
        <v>285</v>
      </c>
      <c r="D47" t="s">
        <v>595</v>
      </c>
      <c r="E47">
        <v>6</v>
      </c>
      <c r="F47">
        <f t="shared" si="0"/>
        <v>150</v>
      </c>
      <c r="G47">
        <v>0</v>
      </c>
      <c r="H47">
        <f t="shared" si="1"/>
        <v>150</v>
      </c>
      <c r="I47">
        <v>150</v>
      </c>
      <c r="J47">
        <v>0</v>
      </c>
      <c r="K47">
        <v>0</v>
      </c>
      <c r="L47">
        <f t="shared" si="5"/>
        <v>0</v>
      </c>
      <c r="M47">
        <v>1.18</v>
      </c>
      <c r="N47">
        <f t="shared" si="2"/>
        <v>0</v>
      </c>
    </row>
    <row r="48" spans="1:14" ht="12.75" hidden="1">
      <c r="A48">
        <v>45</v>
      </c>
      <c r="B48" s="1" t="s">
        <v>234</v>
      </c>
      <c r="C48" s="14" t="s">
        <v>549</v>
      </c>
      <c r="D48" s="14" t="s">
        <v>592</v>
      </c>
      <c r="E48">
        <v>6</v>
      </c>
      <c r="F48">
        <f t="shared" si="0"/>
        <v>150</v>
      </c>
      <c r="G48">
        <v>7</v>
      </c>
      <c r="H48">
        <f t="shared" si="1"/>
        <v>157</v>
      </c>
      <c r="I48">
        <v>157</v>
      </c>
      <c r="J48">
        <v>0</v>
      </c>
      <c r="K48">
        <v>0</v>
      </c>
      <c r="L48">
        <f t="shared" si="5"/>
        <v>0</v>
      </c>
      <c r="M48">
        <v>0.0548</v>
      </c>
      <c r="N48">
        <f t="shared" si="2"/>
        <v>0</v>
      </c>
    </row>
    <row r="49" spans="1:14" ht="12.75">
      <c r="A49">
        <v>46</v>
      </c>
      <c r="B49" s="1" t="s">
        <v>590</v>
      </c>
      <c r="C49" s="14" t="s">
        <v>603</v>
      </c>
      <c r="D49" s="14" t="s">
        <v>591</v>
      </c>
      <c r="E49">
        <v>1</v>
      </c>
      <c r="F49">
        <f t="shared" si="0"/>
        <v>25</v>
      </c>
      <c r="G49">
        <v>0</v>
      </c>
      <c r="H49">
        <f t="shared" si="1"/>
        <v>25</v>
      </c>
      <c r="I49">
        <v>0</v>
      </c>
      <c r="J49">
        <v>25</v>
      </c>
      <c r="K49">
        <v>2</v>
      </c>
      <c r="L49">
        <f t="shared" si="5"/>
        <v>23</v>
      </c>
      <c r="M49">
        <v>92.69</v>
      </c>
      <c r="N49">
        <f t="shared" si="2"/>
        <v>185.38</v>
      </c>
    </row>
    <row r="50" spans="2:14" ht="12.75">
      <c r="B50" s="1" t="s">
        <v>729</v>
      </c>
      <c r="C50" s="14"/>
      <c r="D50" s="14"/>
      <c r="I50">
        <v>2</v>
      </c>
      <c r="M50">
        <f>6000/25</f>
        <v>240</v>
      </c>
      <c r="N50">
        <f>M50*I50</f>
        <v>480</v>
      </c>
    </row>
    <row r="51" spans="2:14" ht="12.75">
      <c r="B51" s="1" t="s">
        <v>730</v>
      </c>
      <c r="C51" s="14"/>
      <c r="D51" s="14"/>
      <c r="I51">
        <v>1</v>
      </c>
      <c r="M51">
        <f>0.15*SUM(N4:N50)</f>
        <v>586.7055</v>
      </c>
      <c r="N51">
        <f>M51*I51</f>
        <v>586.7055</v>
      </c>
    </row>
    <row r="52" spans="2:14" ht="12.75">
      <c r="B52" s="1" t="s">
        <v>731</v>
      </c>
      <c r="C52" s="14"/>
      <c r="D52" s="14"/>
      <c r="I52">
        <v>1</v>
      </c>
      <c r="M52">
        <f>0.1*SUM(N4:N50)</f>
        <v>391.13700000000006</v>
      </c>
      <c r="N52">
        <f>M52*I52</f>
        <v>391.13700000000006</v>
      </c>
    </row>
    <row r="53" spans="2:14" ht="12.75">
      <c r="B53" s="1" t="s">
        <v>732</v>
      </c>
      <c r="C53" s="14"/>
      <c r="D53" s="14"/>
      <c r="N53">
        <f>SUM(N4:N52)</f>
        <v>4889.212500000001</v>
      </c>
    </row>
    <row r="55" spans="2:11" ht="12.75">
      <c r="B55" s="1" t="s">
        <v>607</v>
      </c>
      <c r="K55">
        <v>1</v>
      </c>
    </row>
    <row r="57" ht="25.5">
      <c r="B57" s="1" t="s">
        <v>632</v>
      </c>
    </row>
    <row r="58" spans="2:11" ht="12.75">
      <c r="B58" s="1" t="s">
        <v>749</v>
      </c>
      <c r="K58">
        <v>1</v>
      </c>
    </row>
    <row r="59" spans="2:11" ht="12.75">
      <c r="B59" s="14" t="s">
        <v>750</v>
      </c>
      <c r="K59">
        <v>1</v>
      </c>
    </row>
    <row r="60" spans="2:11" ht="12.75">
      <c r="B60" s="14" t="s">
        <v>746</v>
      </c>
      <c r="K60">
        <v>1</v>
      </c>
    </row>
    <row r="61" spans="2:11" ht="12.75">
      <c r="B61" s="14" t="s">
        <v>751</v>
      </c>
      <c r="K61">
        <v>1</v>
      </c>
    </row>
    <row r="62" spans="2:11" ht="12.75">
      <c r="B62" s="14" t="s">
        <v>603</v>
      </c>
      <c r="J62">
        <v>1</v>
      </c>
      <c r="K62">
        <v>1</v>
      </c>
    </row>
    <row r="63" spans="2:11" ht="12.75">
      <c r="B63" s="14" t="s">
        <v>752</v>
      </c>
      <c r="K63">
        <v>1</v>
      </c>
    </row>
    <row r="64" spans="2:11" ht="12.75">
      <c r="B64" s="14" t="s">
        <v>753</v>
      </c>
      <c r="K64">
        <v>1</v>
      </c>
    </row>
  </sheetData>
  <printOptions gridLines="1"/>
  <pageMargins left="0.75" right="0.75" top="1" bottom="1" header="0.5" footer="0.5"/>
  <pageSetup fitToHeight="1" fitToWidth="1" horizontalDpi="600" verticalDpi="600" orientation="landscape" paperSize="3" scale="58" r:id="rId1"/>
  <headerFooter alignWithMargins="0">
    <oddHeader>&amp;L&amp;F&amp;R&amp;A</oddHeader>
    <oddFooter>&amp;LK. Kriesel&amp;C&amp;P of &amp;N&amp;R&amp;D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88"/>
  <sheetViews>
    <sheetView workbookViewId="0" topLeftCell="A1">
      <pane xSplit="5805" ySplit="3060" topLeftCell="D4" activePane="bottomRight" state="split"/>
      <selection pane="topLeft" activeCell="A3" sqref="A3"/>
      <selection pane="topRight" activeCell="K3" sqref="K3:L3"/>
      <selection pane="bottomLeft" activeCell="B45" sqref="B45"/>
      <selection pane="bottomRight" activeCell="K24" sqref="K24:K25"/>
    </sheetView>
  </sheetViews>
  <sheetFormatPr defaultColWidth="9.140625" defaultRowHeight="12.75"/>
  <cols>
    <col min="2" max="2" width="38.7109375" style="1" customWidth="1"/>
    <col min="3" max="3" width="11.7109375" style="0" customWidth="1"/>
    <col min="4" max="4" width="20.140625" style="0" customWidth="1"/>
    <col min="5" max="5" width="8.00390625" style="0" customWidth="1"/>
    <col min="6" max="6" width="9.8515625" style="0" customWidth="1"/>
  </cols>
  <sheetData>
    <row r="1" spans="1:5" ht="25.5">
      <c r="A1" t="s">
        <v>629</v>
      </c>
      <c r="B1" s="1" t="s">
        <v>628</v>
      </c>
      <c r="C1" s="14" t="s">
        <v>630</v>
      </c>
      <c r="D1" s="14"/>
      <c r="E1" t="s">
        <v>52</v>
      </c>
    </row>
    <row r="2" spans="1:4" ht="12.75">
      <c r="A2" t="s">
        <v>596</v>
      </c>
      <c r="C2" s="14"/>
      <c r="D2" s="14" t="s">
        <v>679</v>
      </c>
    </row>
    <row r="3" spans="1:12" s="1" customFormat="1" ht="102">
      <c r="A3" s="1" t="s">
        <v>692</v>
      </c>
      <c r="B3" s="1" t="s">
        <v>2</v>
      </c>
      <c r="C3" s="13" t="s">
        <v>547</v>
      </c>
      <c r="D3" s="13" t="s">
        <v>558</v>
      </c>
      <c r="E3" s="1" t="s">
        <v>604</v>
      </c>
      <c r="F3" s="1" t="s">
        <v>627</v>
      </c>
      <c r="G3" s="1" t="s">
        <v>626</v>
      </c>
      <c r="H3" s="1" t="s">
        <v>631</v>
      </c>
      <c r="I3" s="1" t="s">
        <v>606</v>
      </c>
      <c r="J3" s="1" t="s">
        <v>605</v>
      </c>
      <c r="K3" s="1" t="s">
        <v>728</v>
      </c>
      <c r="L3" s="1" t="s">
        <v>727</v>
      </c>
    </row>
    <row r="4" spans="1:12" ht="12.75">
      <c r="A4" s="23">
        <v>1</v>
      </c>
      <c r="B4" s="1" t="s">
        <v>5</v>
      </c>
      <c r="C4" s="14" t="s">
        <v>613</v>
      </c>
      <c r="D4" s="14" t="s">
        <v>552</v>
      </c>
      <c r="E4">
        <v>6</v>
      </c>
      <c r="F4">
        <f>E4*25</f>
        <v>150</v>
      </c>
      <c r="G4">
        <v>2</v>
      </c>
      <c r="H4">
        <f>SUM(F4:G4)</f>
        <v>152</v>
      </c>
      <c r="I4">
        <v>152</v>
      </c>
      <c r="J4">
        <v>0</v>
      </c>
      <c r="K4">
        <v>3.79</v>
      </c>
      <c r="L4">
        <f>K4*I4</f>
        <v>576.08</v>
      </c>
    </row>
    <row r="5" spans="1:12" ht="12.75">
      <c r="A5" s="23">
        <v>2</v>
      </c>
      <c r="B5" s="1" t="s">
        <v>6</v>
      </c>
      <c r="C5" s="14" t="s">
        <v>612</v>
      </c>
      <c r="D5" s="14" t="s">
        <v>562</v>
      </c>
      <c r="E5">
        <v>6</v>
      </c>
      <c r="F5">
        <f aca="true" t="shared" si="0" ref="F5:F49">E5*25</f>
        <v>150</v>
      </c>
      <c r="G5">
        <v>3</v>
      </c>
      <c r="H5">
        <f aca="true" t="shared" si="1" ref="H5:H49">SUM(F5:G5)</f>
        <v>153</v>
      </c>
      <c r="I5">
        <v>153</v>
      </c>
      <c r="J5">
        <v>0</v>
      </c>
      <c r="K5">
        <v>2.88</v>
      </c>
      <c r="L5">
        <f aca="true" t="shared" si="2" ref="L5:L52">K5*I5</f>
        <v>440.64</v>
      </c>
    </row>
    <row r="6" spans="1:12" ht="12.75">
      <c r="A6" s="23">
        <v>3</v>
      </c>
      <c r="B6" s="1" t="s">
        <v>7</v>
      </c>
      <c r="C6" s="14" t="s">
        <v>611</v>
      </c>
      <c r="D6" s="14" t="s">
        <v>563</v>
      </c>
      <c r="E6">
        <v>32</v>
      </c>
      <c r="F6">
        <f t="shared" si="0"/>
        <v>800</v>
      </c>
      <c r="G6">
        <v>3</v>
      </c>
      <c r="H6">
        <f t="shared" si="1"/>
        <v>803</v>
      </c>
      <c r="I6">
        <v>803</v>
      </c>
      <c r="J6">
        <v>0</v>
      </c>
      <c r="K6">
        <v>2.97</v>
      </c>
      <c r="L6">
        <f t="shared" si="2"/>
        <v>2384.9100000000003</v>
      </c>
    </row>
    <row r="7" spans="1:12" ht="12.75">
      <c r="A7" s="23">
        <v>4</v>
      </c>
      <c r="B7" s="1" t="s">
        <v>190</v>
      </c>
      <c r="C7" s="14" t="s">
        <v>549</v>
      </c>
      <c r="D7" s="14" t="s">
        <v>557</v>
      </c>
      <c r="E7">
        <v>94</v>
      </c>
      <c r="F7">
        <f t="shared" si="0"/>
        <v>2350</v>
      </c>
      <c r="G7">
        <v>10</v>
      </c>
      <c r="H7">
        <f t="shared" si="1"/>
        <v>2360</v>
      </c>
      <c r="I7">
        <v>2360</v>
      </c>
      <c r="J7">
        <v>0</v>
      </c>
      <c r="K7">
        <v>0.0492</v>
      </c>
      <c r="L7">
        <f t="shared" si="2"/>
        <v>116.112</v>
      </c>
    </row>
    <row r="8" spans="1:12" ht="25.5">
      <c r="A8" s="23">
        <v>5</v>
      </c>
      <c r="B8" s="1" t="s">
        <v>597</v>
      </c>
      <c r="C8" s="14" t="s">
        <v>549</v>
      </c>
      <c r="D8" s="14" t="s">
        <v>548</v>
      </c>
      <c r="E8">
        <v>18</v>
      </c>
      <c r="F8">
        <f t="shared" si="0"/>
        <v>450</v>
      </c>
      <c r="G8">
        <v>5</v>
      </c>
      <c r="H8">
        <f t="shared" si="1"/>
        <v>455</v>
      </c>
      <c r="I8">
        <v>455</v>
      </c>
      <c r="J8">
        <v>0</v>
      </c>
      <c r="K8">
        <v>0.0332</v>
      </c>
      <c r="L8">
        <f t="shared" si="2"/>
        <v>15.106</v>
      </c>
    </row>
    <row r="9" spans="1:12" ht="12.75">
      <c r="A9" s="23">
        <v>6</v>
      </c>
      <c r="B9" s="1" t="s">
        <v>247</v>
      </c>
      <c r="C9" s="14" t="s">
        <v>549</v>
      </c>
      <c r="D9" s="14" t="s">
        <v>555</v>
      </c>
      <c r="E9">
        <v>6</v>
      </c>
      <c r="F9">
        <f t="shared" si="0"/>
        <v>150</v>
      </c>
      <c r="G9">
        <v>2</v>
      </c>
      <c r="H9">
        <f t="shared" si="1"/>
        <v>152</v>
      </c>
      <c r="I9">
        <v>152</v>
      </c>
      <c r="J9">
        <v>0</v>
      </c>
      <c r="K9">
        <v>0.1317</v>
      </c>
      <c r="L9">
        <f t="shared" si="2"/>
        <v>20.018400000000003</v>
      </c>
    </row>
    <row r="10" spans="1:12" ht="12.75">
      <c r="A10" s="23">
        <v>7</v>
      </c>
      <c r="B10" s="1" t="s">
        <v>181</v>
      </c>
      <c r="C10" s="14" t="s">
        <v>616</v>
      </c>
      <c r="D10" s="14" t="s">
        <v>559</v>
      </c>
      <c r="E10">
        <v>1</v>
      </c>
      <c r="F10">
        <f t="shared" si="0"/>
        <v>25</v>
      </c>
      <c r="G10">
        <v>0</v>
      </c>
      <c r="H10">
        <f t="shared" si="1"/>
        <v>25</v>
      </c>
      <c r="I10">
        <v>2</v>
      </c>
      <c r="J10">
        <v>23</v>
      </c>
      <c r="K10">
        <v>8.85</v>
      </c>
      <c r="L10">
        <f t="shared" si="2"/>
        <v>17.7</v>
      </c>
    </row>
    <row r="11" spans="1:12" ht="12.75">
      <c r="A11" s="23">
        <v>8</v>
      </c>
      <c r="B11" s="1" t="s">
        <v>151</v>
      </c>
      <c r="C11" s="14" t="s">
        <v>617</v>
      </c>
      <c r="D11" s="14" t="s">
        <v>565</v>
      </c>
      <c r="E11">
        <v>1</v>
      </c>
      <c r="F11">
        <f t="shared" si="0"/>
        <v>25</v>
      </c>
      <c r="G11">
        <v>0</v>
      </c>
      <c r="H11">
        <f t="shared" si="1"/>
        <v>25</v>
      </c>
      <c r="I11">
        <v>2</v>
      </c>
      <c r="J11">
        <v>23</v>
      </c>
      <c r="K11">
        <v>9.75</v>
      </c>
      <c r="L11">
        <f t="shared" si="2"/>
        <v>19.5</v>
      </c>
    </row>
    <row r="12" spans="1:12" ht="12.75">
      <c r="A12">
        <v>9</v>
      </c>
      <c r="B12" s="1" t="s">
        <v>152</v>
      </c>
      <c r="C12" s="14" t="s">
        <v>618</v>
      </c>
      <c r="D12" s="14" t="s">
        <v>560</v>
      </c>
      <c r="E12">
        <v>1</v>
      </c>
      <c r="F12">
        <f t="shared" si="0"/>
        <v>25</v>
      </c>
      <c r="G12">
        <v>0</v>
      </c>
      <c r="H12">
        <f t="shared" si="1"/>
        <v>25</v>
      </c>
      <c r="I12">
        <v>2</v>
      </c>
      <c r="J12">
        <v>23</v>
      </c>
      <c r="K12">
        <v>8.75</v>
      </c>
      <c r="L12">
        <f t="shared" si="2"/>
        <v>17.5</v>
      </c>
    </row>
    <row r="13" spans="1:12" ht="12.75">
      <c r="A13">
        <v>10</v>
      </c>
      <c r="B13" s="1" t="s">
        <v>153</v>
      </c>
      <c r="C13" s="14" t="s">
        <v>633</v>
      </c>
      <c r="D13" s="14" t="s">
        <v>566</v>
      </c>
      <c r="E13">
        <v>1</v>
      </c>
      <c r="F13">
        <f t="shared" si="0"/>
        <v>25</v>
      </c>
      <c r="G13">
        <v>0</v>
      </c>
      <c r="H13">
        <f t="shared" si="1"/>
        <v>25</v>
      </c>
      <c r="I13">
        <v>2</v>
      </c>
      <c r="J13">
        <v>23</v>
      </c>
      <c r="K13">
        <v>9.5</v>
      </c>
      <c r="L13">
        <f t="shared" si="2"/>
        <v>19</v>
      </c>
    </row>
    <row r="14" spans="1:12" ht="12.75">
      <c r="A14">
        <v>11</v>
      </c>
      <c r="B14" s="1" t="s">
        <v>154</v>
      </c>
      <c r="C14" s="14" t="s">
        <v>264</v>
      </c>
      <c r="D14" s="14" t="s">
        <v>561</v>
      </c>
      <c r="E14">
        <v>1</v>
      </c>
      <c r="F14">
        <f t="shared" si="0"/>
        <v>25</v>
      </c>
      <c r="G14">
        <v>0</v>
      </c>
      <c r="H14">
        <f t="shared" si="1"/>
        <v>25</v>
      </c>
      <c r="I14">
        <v>2</v>
      </c>
      <c r="J14">
        <v>23</v>
      </c>
      <c r="K14">
        <v>8.95</v>
      </c>
      <c r="L14">
        <f t="shared" si="2"/>
        <v>17.9</v>
      </c>
    </row>
    <row r="15" spans="1:12" ht="12.75">
      <c r="A15">
        <v>12</v>
      </c>
      <c r="B15" s="1" t="s">
        <v>155</v>
      </c>
      <c r="C15" s="14" t="s">
        <v>267</v>
      </c>
      <c r="D15" s="14" t="s">
        <v>567</v>
      </c>
      <c r="E15">
        <v>1</v>
      </c>
      <c r="F15">
        <f t="shared" si="0"/>
        <v>25</v>
      </c>
      <c r="G15">
        <v>0</v>
      </c>
      <c r="H15">
        <f t="shared" si="1"/>
        <v>25</v>
      </c>
      <c r="I15">
        <v>2</v>
      </c>
      <c r="J15">
        <v>23</v>
      </c>
      <c r="K15">
        <v>9.85</v>
      </c>
      <c r="L15">
        <f t="shared" si="2"/>
        <v>19.7</v>
      </c>
    </row>
    <row r="16" spans="1:12" ht="12.75">
      <c r="A16" s="22">
        <v>13</v>
      </c>
      <c r="B16" s="1" t="s">
        <v>14</v>
      </c>
      <c r="C16" s="14" t="s">
        <v>272</v>
      </c>
      <c r="D16" s="14" t="s">
        <v>568</v>
      </c>
      <c r="E16">
        <v>1</v>
      </c>
      <c r="F16">
        <f t="shared" si="0"/>
        <v>25</v>
      </c>
      <c r="G16">
        <v>0</v>
      </c>
      <c r="H16">
        <f t="shared" si="1"/>
        <v>25</v>
      </c>
      <c r="I16">
        <v>2</v>
      </c>
      <c r="J16">
        <v>23</v>
      </c>
      <c r="K16">
        <v>19.3</v>
      </c>
      <c r="L16">
        <f t="shared" si="2"/>
        <v>38.6</v>
      </c>
    </row>
    <row r="17" spans="1:12" ht="12.75">
      <c r="A17">
        <v>14</v>
      </c>
      <c r="B17" s="1" t="s">
        <v>15</v>
      </c>
      <c r="C17" s="14" t="s">
        <v>273</v>
      </c>
      <c r="D17" s="14" t="s">
        <v>569</v>
      </c>
      <c r="E17">
        <v>1</v>
      </c>
      <c r="F17">
        <f t="shared" si="0"/>
        <v>25</v>
      </c>
      <c r="G17">
        <v>0</v>
      </c>
      <c r="H17">
        <f t="shared" si="1"/>
        <v>25</v>
      </c>
      <c r="I17">
        <v>2</v>
      </c>
      <c r="J17">
        <v>23</v>
      </c>
      <c r="K17">
        <v>18.3</v>
      </c>
      <c r="L17">
        <f t="shared" si="2"/>
        <v>36.6</v>
      </c>
    </row>
    <row r="18" spans="1:12" ht="38.25">
      <c r="A18">
        <v>15</v>
      </c>
      <c r="B18" s="1" t="s">
        <v>598</v>
      </c>
      <c r="C18" s="14" t="s">
        <v>619</v>
      </c>
      <c r="D18" s="14" t="s">
        <v>570</v>
      </c>
      <c r="E18">
        <v>1</v>
      </c>
      <c r="F18">
        <f t="shared" si="0"/>
        <v>25</v>
      </c>
      <c r="G18">
        <v>0</v>
      </c>
      <c r="H18">
        <f t="shared" si="1"/>
        <v>25</v>
      </c>
      <c r="I18">
        <v>2</v>
      </c>
      <c r="J18">
        <v>23</v>
      </c>
      <c r="K18">
        <f>46.2+90</f>
        <v>136.2</v>
      </c>
      <c r="L18">
        <f t="shared" si="2"/>
        <v>272.4</v>
      </c>
    </row>
    <row r="19" spans="1:12" ht="12.75">
      <c r="A19">
        <v>16</v>
      </c>
      <c r="B19" s="1" t="s">
        <v>251</v>
      </c>
      <c r="C19" s="14" t="s">
        <v>725</v>
      </c>
      <c r="D19" s="14" t="s">
        <v>571</v>
      </c>
      <c r="E19">
        <v>1</v>
      </c>
      <c r="F19">
        <f t="shared" si="0"/>
        <v>25</v>
      </c>
      <c r="G19">
        <v>0</v>
      </c>
      <c r="H19">
        <f t="shared" si="1"/>
        <v>25</v>
      </c>
      <c r="I19">
        <v>2</v>
      </c>
      <c r="J19">
        <v>23</v>
      </c>
      <c r="K19">
        <v>23.98</v>
      </c>
      <c r="L19">
        <f t="shared" si="2"/>
        <v>47.96</v>
      </c>
    </row>
    <row r="20" spans="1:12" ht="38.25">
      <c r="A20">
        <v>17</v>
      </c>
      <c r="B20" s="1" t="s">
        <v>600</v>
      </c>
      <c r="C20" s="14" t="s">
        <v>599</v>
      </c>
      <c r="D20" s="14" t="s">
        <v>572</v>
      </c>
      <c r="E20">
        <v>1</v>
      </c>
      <c r="F20">
        <f t="shared" si="0"/>
        <v>25</v>
      </c>
      <c r="G20">
        <v>0</v>
      </c>
      <c r="H20">
        <f t="shared" si="1"/>
        <v>25</v>
      </c>
      <c r="I20">
        <v>2</v>
      </c>
      <c r="J20">
        <v>23</v>
      </c>
      <c r="K20">
        <f>24.81+45</f>
        <v>69.81</v>
      </c>
      <c r="L20">
        <f t="shared" si="2"/>
        <v>139.62</v>
      </c>
    </row>
    <row r="21" spans="1:12" ht="12.75">
      <c r="A21">
        <v>18</v>
      </c>
      <c r="B21" s="1" t="s">
        <v>253</v>
      </c>
      <c r="C21" s="14" t="s">
        <v>726</v>
      </c>
      <c r="D21" s="14" t="s">
        <v>573</v>
      </c>
      <c r="E21">
        <v>1</v>
      </c>
      <c r="F21">
        <f t="shared" si="0"/>
        <v>25</v>
      </c>
      <c r="G21">
        <v>0</v>
      </c>
      <c r="H21">
        <f t="shared" si="1"/>
        <v>25</v>
      </c>
      <c r="I21">
        <v>2</v>
      </c>
      <c r="J21">
        <v>23</v>
      </c>
      <c r="K21">
        <v>23.98</v>
      </c>
      <c r="L21">
        <f t="shared" si="2"/>
        <v>47.96</v>
      </c>
    </row>
    <row r="22" spans="1:12" ht="12.75">
      <c r="A22">
        <v>19</v>
      </c>
      <c r="B22" s="1" t="s">
        <v>20</v>
      </c>
      <c r="C22" s="14" t="s">
        <v>432</v>
      </c>
      <c r="D22" s="14" t="s">
        <v>574</v>
      </c>
      <c r="E22">
        <v>1</v>
      </c>
      <c r="F22">
        <f t="shared" si="0"/>
        <v>25</v>
      </c>
      <c r="G22">
        <v>0</v>
      </c>
      <c r="H22">
        <f t="shared" si="1"/>
        <v>25</v>
      </c>
      <c r="I22">
        <v>2</v>
      </c>
      <c r="J22">
        <v>23</v>
      </c>
      <c r="K22">
        <f>46.8+20</f>
        <v>66.8</v>
      </c>
      <c r="L22">
        <f t="shared" si="2"/>
        <v>133.6</v>
      </c>
    </row>
    <row r="23" spans="1:12" ht="12.75">
      <c r="A23">
        <v>20</v>
      </c>
      <c r="B23" s="1" t="s">
        <v>21</v>
      </c>
      <c r="C23" s="14" t="s">
        <v>294</v>
      </c>
      <c r="D23" s="14" t="s">
        <v>575</v>
      </c>
      <c r="E23">
        <v>1</v>
      </c>
      <c r="F23">
        <f t="shared" si="0"/>
        <v>25</v>
      </c>
      <c r="G23">
        <v>0</v>
      </c>
      <c r="H23">
        <f t="shared" si="1"/>
        <v>25</v>
      </c>
      <c r="I23">
        <v>2</v>
      </c>
      <c r="J23">
        <v>23</v>
      </c>
      <c r="K23">
        <v>17.95</v>
      </c>
      <c r="L23">
        <f t="shared" si="2"/>
        <v>35.9</v>
      </c>
    </row>
    <row r="24" spans="1:12" ht="12.75">
      <c r="A24">
        <v>21</v>
      </c>
      <c r="B24" s="1" t="s">
        <v>191</v>
      </c>
      <c r="C24" s="14" t="s">
        <v>549</v>
      </c>
      <c r="D24" s="14" t="s">
        <v>576</v>
      </c>
      <c r="E24">
        <v>96</v>
      </c>
      <c r="F24">
        <f t="shared" si="0"/>
        <v>2400</v>
      </c>
      <c r="G24">
        <v>20</v>
      </c>
      <c r="H24">
        <f t="shared" si="1"/>
        <v>2420</v>
      </c>
      <c r="I24">
        <v>2420</v>
      </c>
      <c r="J24">
        <v>0</v>
      </c>
      <c r="K24">
        <v>0.1375</v>
      </c>
      <c r="L24">
        <f t="shared" si="2"/>
        <v>332.75</v>
      </c>
    </row>
    <row r="25" spans="1:12" ht="12.75">
      <c r="A25">
        <v>22</v>
      </c>
      <c r="B25" s="1" t="s">
        <v>228</v>
      </c>
      <c r="C25" s="14" t="s">
        <v>549</v>
      </c>
      <c r="D25" s="14" t="s">
        <v>577</v>
      </c>
      <c r="E25">
        <v>96</v>
      </c>
      <c r="F25">
        <f t="shared" si="0"/>
        <v>2400</v>
      </c>
      <c r="G25">
        <v>20</v>
      </c>
      <c r="H25">
        <f t="shared" si="1"/>
        <v>2420</v>
      </c>
      <c r="I25">
        <v>2420</v>
      </c>
      <c r="J25">
        <v>0</v>
      </c>
      <c r="K25">
        <v>0.0186</v>
      </c>
      <c r="L25">
        <f t="shared" si="2"/>
        <v>45.01199999999999</v>
      </c>
    </row>
    <row r="26" spans="1:12" ht="12.75">
      <c r="A26">
        <v>23</v>
      </c>
      <c r="B26" s="1" t="s">
        <v>23</v>
      </c>
      <c r="C26" s="14" t="s">
        <v>622</v>
      </c>
      <c r="D26" s="14" t="s">
        <v>578</v>
      </c>
      <c r="E26">
        <v>2</v>
      </c>
      <c r="F26">
        <f t="shared" si="0"/>
        <v>50</v>
      </c>
      <c r="G26">
        <v>0</v>
      </c>
      <c r="H26">
        <f t="shared" si="1"/>
        <v>50</v>
      </c>
      <c r="I26">
        <v>4</v>
      </c>
      <c r="J26">
        <v>46</v>
      </c>
      <c r="K26">
        <v>6.32</v>
      </c>
      <c r="L26">
        <f t="shared" si="2"/>
        <v>25.28</v>
      </c>
    </row>
    <row r="27" spans="1:12" ht="12.75">
      <c r="A27">
        <v>24</v>
      </c>
      <c r="B27" s="1" t="s">
        <v>438</v>
      </c>
      <c r="C27" s="14" t="s">
        <v>276</v>
      </c>
      <c r="D27" s="14" t="s">
        <v>579</v>
      </c>
      <c r="E27">
        <v>1</v>
      </c>
      <c r="F27">
        <f t="shared" si="0"/>
        <v>25</v>
      </c>
      <c r="G27">
        <v>0</v>
      </c>
      <c r="H27">
        <f t="shared" si="1"/>
        <v>25</v>
      </c>
      <c r="I27">
        <v>2</v>
      </c>
      <c r="J27">
        <v>23</v>
      </c>
      <c r="K27">
        <v>45</v>
      </c>
      <c r="L27">
        <f t="shared" si="2"/>
        <v>90</v>
      </c>
    </row>
    <row r="28" spans="1:12" ht="12.75">
      <c r="A28">
        <v>25</v>
      </c>
      <c r="B28" s="1" t="s">
        <v>25</v>
      </c>
      <c r="C28" s="14" t="s">
        <v>277</v>
      </c>
      <c r="D28" s="14" t="s">
        <v>580</v>
      </c>
      <c r="E28">
        <v>1</v>
      </c>
      <c r="F28">
        <f t="shared" si="0"/>
        <v>25</v>
      </c>
      <c r="G28">
        <v>0</v>
      </c>
      <c r="H28">
        <f t="shared" si="1"/>
        <v>25</v>
      </c>
      <c r="I28">
        <v>2</v>
      </c>
      <c r="J28">
        <v>23</v>
      </c>
      <c r="K28">
        <v>16.99</v>
      </c>
      <c r="L28">
        <f t="shared" si="2"/>
        <v>33.98</v>
      </c>
    </row>
    <row r="29" spans="1:12" ht="12.75">
      <c r="A29">
        <v>26</v>
      </c>
      <c r="B29" s="1" t="s">
        <v>248</v>
      </c>
      <c r="C29" s="14" t="s">
        <v>615</v>
      </c>
      <c r="D29" s="13" t="s">
        <v>554</v>
      </c>
      <c r="E29">
        <v>2</v>
      </c>
      <c r="F29">
        <f t="shared" si="0"/>
        <v>50</v>
      </c>
      <c r="G29">
        <v>0</v>
      </c>
      <c r="H29">
        <f t="shared" si="1"/>
        <v>50</v>
      </c>
      <c r="I29">
        <v>4</v>
      </c>
      <c r="J29">
        <v>46</v>
      </c>
      <c r="K29">
        <v>8.85</v>
      </c>
      <c r="L29">
        <f t="shared" si="2"/>
        <v>35.4</v>
      </c>
    </row>
    <row r="30" spans="1:12" ht="12.75">
      <c r="A30">
        <v>27</v>
      </c>
      <c r="B30" s="1" t="s">
        <v>27</v>
      </c>
      <c r="C30" s="14" t="s">
        <v>614</v>
      </c>
      <c r="D30" s="14" t="s">
        <v>553</v>
      </c>
      <c r="E30">
        <v>2</v>
      </c>
      <c r="F30">
        <f t="shared" si="0"/>
        <v>50</v>
      </c>
      <c r="G30">
        <v>0</v>
      </c>
      <c r="H30">
        <f t="shared" si="1"/>
        <v>50</v>
      </c>
      <c r="I30">
        <v>4</v>
      </c>
      <c r="J30">
        <v>46</v>
      </c>
      <c r="K30">
        <v>9.25</v>
      </c>
      <c r="L30">
        <f t="shared" si="2"/>
        <v>37</v>
      </c>
    </row>
    <row r="31" spans="1:12" ht="12.75">
      <c r="A31">
        <v>28</v>
      </c>
      <c r="B31" s="1" t="s">
        <v>229</v>
      </c>
      <c r="C31" s="14" t="s">
        <v>549</v>
      </c>
      <c r="D31" s="14" t="s">
        <v>581</v>
      </c>
      <c r="E31">
        <v>28</v>
      </c>
      <c r="F31">
        <f t="shared" si="0"/>
        <v>700</v>
      </c>
      <c r="G31">
        <v>10</v>
      </c>
      <c r="H31">
        <f t="shared" si="1"/>
        <v>710</v>
      </c>
      <c r="I31">
        <v>710</v>
      </c>
      <c r="J31">
        <v>0</v>
      </c>
      <c r="K31">
        <v>0.165</v>
      </c>
      <c r="L31">
        <f t="shared" si="2"/>
        <v>117.15</v>
      </c>
    </row>
    <row r="32" spans="1:12" ht="12.75">
      <c r="A32">
        <v>29</v>
      </c>
      <c r="B32" s="1" t="s">
        <v>551</v>
      </c>
      <c r="C32" s="14" t="s">
        <v>549</v>
      </c>
      <c r="D32" s="13" t="s">
        <v>601</v>
      </c>
      <c r="E32">
        <v>24</v>
      </c>
      <c r="F32">
        <f t="shared" si="0"/>
        <v>600</v>
      </c>
      <c r="G32">
        <v>10</v>
      </c>
      <c r="H32">
        <f t="shared" si="1"/>
        <v>610</v>
      </c>
      <c r="I32">
        <v>610</v>
      </c>
      <c r="J32">
        <v>0</v>
      </c>
      <c r="K32">
        <v>0.0152</v>
      </c>
      <c r="L32">
        <f t="shared" si="2"/>
        <v>9.272</v>
      </c>
    </row>
    <row r="33" spans="1:12" ht="12.75">
      <c r="A33">
        <v>30</v>
      </c>
      <c r="B33" s="1" t="s">
        <v>249</v>
      </c>
      <c r="C33" s="14" t="s">
        <v>549</v>
      </c>
      <c r="D33" s="14" t="s">
        <v>582</v>
      </c>
      <c r="E33">
        <v>6</v>
      </c>
      <c r="F33">
        <f t="shared" si="0"/>
        <v>150</v>
      </c>
      <c r="G33">
        <v>4</v>
      </c>
      <c r="H33">
        <f t="shared" si="1"/>
        <v>154</v>
      </c>
      <c r="I33">
        <v>154</v>
      </c>
      <c r="J33">
        <v>0</v>
      </c>
      <c r="K33">
        <v>0.0645</v>
      </c>
      <c r="L33">
        <f t="shared" si="2"/>
        <v>9.933</v>
      </c>
    </row>
    <row r="34" spans="1:12" ht="12.75">
      <c r="A34">
        <v>31</v>
      </c>
      <c r="B34" s="1" t="s">
        <v>602</v>
      </c>
      <c r="C34" s="14" t="s">
        <v>623</v>
      </c>
      <c r="D34" s="14" t="s">
        <v>583</v>
      </c>
      <c r="E34">
        <v>4</v>
      </c>
      <c r="F34">
        <f t="shared" si="0"/>
        <v>100</v>
      </c>
      <c r="G34">
        <v>0</v>
      </c>
      <c r="H34">
        <f t="shared" si="1"/>
        <v>100</v>
      </c>
      <c r="I34">
        <v>8</v>
      </c>
      <c r="J34">
        <v>92</v>
      </c>
      <c r="K34">
        <f>3.7*2</f>
        <v>7.4</v>
      </c>
      <c r="L34">
        <f t="shared" si="2"/>
        <v>59.2</v>
      </c>
    </row>
    <row r="35" spans="1:12" ht="12.75">
      <c r="A35">
        <v>32</v>
      </c>
      <c r="B35" s="1" t="s">
        <v>157</v>
      </c>
      <c r="C35" s="14" t="s">
        <v>624</v>
      </c>
      <c r="D35" s="14" t="s">
        <v>556</v>
      </c>
      <c r="E35">
        <v>2</v>
      </c>
      <c r="F35">
        <f t="shared" si="0"/>
        <v>50</v>
      </c>
      <c r="G35">
        <v>0</v>
      </c>
      <c r="H35">
        <f t="shared" si="1"/>
        <v>50</v>
      </c>
      <c r="I35">
        <v>4</v>
      </c>
      <c r="J35">
        <v>46</v>
      </c>
      <c r="K35">
        <v>11.9</v>
      </c>
      <c r="L35">
        <f t="shared" si="2"/>
        <v>47.6</v>
      </c>
    </row>
    <row r="36" spans="1:12" ht="12.75">
      <c r="A36">
        <v>33</v>
      </c>
      <c r="B36" s="1" t="s">
        <v>219</v>
      </c>
      <c r="C36" s="14" t="s">
        <v>549</v>
      </c>
      <c r="D36" s="14" t="s">
        <v>564</v>
      </c>
      <c r="E36">
        <v>2</v>
      </c>
      <c r="F36">
        <f t="shared" si="0"/>
        <v>50</v>
      </c>
      <c r="G36">
        <v>2</v>
      </c>
      <c r="H36">
        <f t="shared" si="1"/>
        <v>52</v>
      </c>
      <c r="I36">
        <v>52</v>
      </c>
      <c r="J36">
        <v>0</v>
      </c>
      <c r="K36">
        <v>0.0289</v>
      </c>
      <c r="L36">
        <f t="shared" si="2"/>
        <v>1.5028</v>
      </c>
    </row>
    <row r="37" spans="1:12" ht="12.75">
      <c r="A37">
        <v>34</v>
      </c>
      <c r="B37" s="1" t="s">
        <v>216</v>
      </c>
      <c r="C37" s="14" t="s">
        <v>549</v>
      </c>
      <c r="D37" s="14" t="s">
        <v>550</v>
      </c>
      <c r="E37">
        <v>2</v>
      </c>
      <c r="F37">
        <f t="shared" si="0"/>
        <v>50</v>
      </c>
      <c r="G37">
        <v>2</v>
      </c>
      <c r="H37">
        <f t="shared" si="1"/>
        <v>52</v>
      </c>
      <c r="I37">
        <v>52</v>
      </c>
      <c r="J37">
        <v>0</v>
      </c>
      <c r="K37">
        <v>0.0548</v>
      </c>
      <c r="L37">
        <f t="shared" si="2"/>
        <v>2.8496</v>
      </c>
    </row>
    <row r="38" spans="1:12" ht="12.75">
      <c r="A38" s="15">
        <v>35</v>
      </c>
      <c r="B38" s="16" t="s">
        <v>195</v>
      </c>
      <c r="C38" s="18" t="s">
        <v>215</v>
      </c>
      <c r="D38" s="18" t="s">
        <v>625</v>
      </c>
      <c r="E38" s="15">
        <f>7*0</f>
        <v>0</v>
      </c>
      <c r="F38" s="15">
        <f t="shared" si="0"/>
        <v>0</v>
      </c>
      <c r="G38" s="15">
        <v>0</v>
      </c>
      <c r="H38" s="15">
        <f t="shared" si="1"/>
        <v>0</v>
      </c>
      <c r="I38" s="15">
        <v>0</v>
      </c>
      <c r="J38" s="15">
        <v>0</v>
      </c>
      <c r="K38" s="15">
        <v>0</v>
      </c>
      <c r="L38" s="15">
        <f t="shared" si="2"/>
        <v>0</v>
      </c>
    </row>
    <row r="39" spans="1:12" ht="12.75">
      <c r="A39">
        <v>36</v>
      </c>
      <c r="B39" s="1" t="s">
        <v>650</v>
      </c>
      <c r="C39" s="14" t="s">
        <v>610</v>
      </c>
      <c r="D39" s="14" t="s">
        <v>584</v>
      </c>
      <c r="E39">
        <v>2</v>
      </c>
      <c r="F39">
        <f t="shared" si="0"/>
        <v>50</v>
      </c>
      <c r="G39">
        <v>0</v>
      </c>
      <c r="H39">
        <f t="shared" si="1"/>
        <v>50</v>
      </c>
      <c r="I39">
        <v>50</v>
      </c>
      <c r="J39">
        <v>0</v>
      </c>
      <c r="K39">
        <v>2.14</v>
      </c>
      <c r="L39">
        <f t="shared" si="2"/>
        <v>107</v>
      </c>
    </row>
    <row r="40" spans="1:12" s="1" customFormat="1" ht="25.5">
      <c r="A40" s="1">
        <v>37</v>
      </c>
      <c r="B40" s="1" t="s">
        <v>653</v>
      </c>
      <c r="C40" s="13" t="s">
        <v>610</v>
      </c>
      <c r="D40" s="13" t="s">
        <v>585</v>
      </c>
      <c r="E40" s="1">
        <v>2</v>
      </c>
      <c r="F40" s="1">
        <f t="shared" si="0"/>
        <v>50</v>
      </c>
      <c r="G40" s="1">
        <v>0</v>
      </c>
      <c r="H40" s="1">
        <f t="shared" si="1"/>
        <v>50</v>
      </c>
      <c r="I40" s="1">
        <v>50</v>
      </c>
      <c r="J40" s="1">
        <v>0</v>
      </c>
      <c r="K40" s="1">
        <v>2.18</v>
      </c>
      <c r="L40">
        <f t="shared" si="2"/>
        <v>109.00000000000001</v>
      </c>
    </row>
    <row r="41" spans="1:12" ht="12.75">
      <c r="A41">
        <v>38</v>
      </c>
      <c r="B41" s="1" t="s">
        <v>656</v>
      </c>
      <c r="C41" s="14" t="s">
        <v>610</v>
      </c>
      <c r="D41" s="14" t="s">
        <v>586</v>
      </c>
      <c r="E41">
        <v>4</v>
      </c>
      <c r="F41">
        <f t="shared" si="0"/>
        <v>100</v>
      </c>
      <c r="G41">
        <v>0</v>
      </c>
      <c r="H41">
        <f t="shared" si="1"/>
        <v>100</v>
      </c>
      <c r="I41">
        <v>100</v>
      </c>
      <c r="J41">
        <v>0</v>
      </c>
      <c r="K41">
        <v>1.88</v>
      </c>
      <c r="L41">
        <f t="shared" si="2"/>
        <v>188</v>
      </c>
    </row>
    <row r="42" spans="1:12" ht="12.75">
      <c r="A42" s="22">
        <v>39</v>
      </c>
      <c r="B42" s="1" t="s">
        <v>651</v>
      </c>
      <c r="C42" s="14" t="s">
        <v>278</v>
      </c>
      <c r="D42" s="14" t="s">
        <v>587</v>
      </c>
      <c r="E42">
        <v>1</v>
      </c>
      <c r="F42">
        <f t="shared" si="0"/>
        <v>25</v>
      </c>
      <c r="G42">
        <v>0</v>
      </c>
      <c r="H42">
        <f t="shared" si="1"/>
        <v>25</v>
      </c>
      <c r="I42">
        <v>25</v>
      </c>
      <c r="J42">
        <v>0</v>
      </c>
      <c r="K42">
        <v>3.3</v>
      </c>
      <c r="L42">
        <f t="shared" si="2"/>
        <v>82.5</v>
      </c>
    </row>
    <row r="43" spans="1:12" ht="25.5">
      <c r="A43">
        <v>40</v>
      </c>
      <c r="B43" s="1" t="s">
        <v>654</v>
      </c>
      <c r="C43" s="14" t="s">
        <v>278</v>
      </c>
      <c r="D43" s="14" t="s">
        <v>588</v>
      </c>
      <c r="E43">
        <v>1</v>
      </c>
      <c r="F43">
        <f t="shared" si="0"/>
        <v>25</v>
      </c>
      <c r="G43">
        <v>0</v>
      </c>
      <c r="H43">
        <f t="shared" si="1"/>
        <v>25</v>
      </c>
      <c r="I43">
        <v>25</v>
      </c>
      <c r="J43">
        <v>0</v>
      </c>
      <c r="K43">
        <v>3.39</v>
      </c>
      <c r="L43">
        <f t="shared" si="2"/>
        <v>84.75</v>
      </c>
    </row>
    <row r="44" spans="1:12" ht="12.75">
      <c r="A44">
        <v>41</v>
      </c>
      <c r="B44" s="1" t="s">
        <v>657</v>
      </c>
      <c r="C44" s="14" t="s">
        <v>278</v>
      </c>
      <c r="D44" s="14" t="s">
        <v>589</v>
      </c>
      <c r="E44">
        <v>2</v>
      </c>
      <c r="F44">
        <f t="shared" si="0"/>
        <v>50</v>
      </c>
      <c r="G44">
        <v>0</v>
      </c>
      <c r="H44">
        <f t="shared" si="1"/>
        <v>50</v>
      </c>
      <c r="I44">
        <v>50</v>
      </c>
      <c r="J44">
        <v>0</v>
      </c>
      <c r="K44">
        <v>2.79</v>
      </c>
      <c r="L44">
        <f t="shared" si="2"/>
        <v>139.5</v>
      </c>
    </row>
    <row r="45" spans="1:12" ht="12.75">
      <c r="A45">
        <v>42</v>
      </c>
      <c r="B45" s="1" t="s">
        <v>652</v>
      </c>
      <c r="C45" t="s">
        <v>285</v>
      </c>
      <c r="D45" t="s">
        <v>593</v>
      </c>
      <c r="E45">
        <v>2</v>
      </c>
      <c r="F45">
        <f t="shared" si="0"/>
        <v>50</v>
      </c>
      <c r="G45">
        <v>0</v>
      </c>
      <c r="H45">
        <f t="shared" si="1"/>
        <v>50</v>
      </c>
      <c r="I45">
        <v>51</v>
      </c>
      <c r="J45">
        <v>0</v>
      </c>
      <c r="K45">
        <v>1.64</v>
      </c>
      <c r="L45">
        <f t="shared" si="2"/>
        <v>83.64</v>
      </c>
    </row>
    <row r="46" spans="1:12" ht="25.5">
      <c r="A46">
        <v>43</v>
      </c>
      <c r="B46" s="1" t="s">
        <v>655</v>
      </c>
      <c r="C46" t="s">
        <v>285</v>
      </c>
      <c r="D46" t="s">
        <v>594</v>
      </c>
      <c r="E46">
        <v>2</v>
      </c>
      <c r="F46">
        <f t="shared" si="0"/>
        <v>50</v>
      </c>
      <c r="G46">
        <v>0</v>
      </c>
      <c r="H46">
        <f t="shared" si="1"/>
        <v>50</v>
      </c>
      <c r="I46">
        <v>50</v>
      </c>
      <c r="J46">
        <v>0</v>
      </c>
      <c r="K46">
        <v>1.65</v>
      </c>
      <c r="L46">
        <f t="shared" si="2"/>
        <v>82.5</v>
      </c>
    </row>
    <row r="47" spans="1:12" ht="12.75">
      <c r="A47" s="22">
        <v>44</v>
      </c>
      <c r="B47" s="1" t="s">
        <v>658</v>
      </c>
      <c r="C47" t="s">
        <v>285</v>
      </c>
      <c r="D47" t="s">
        <v>595</v>
      </c>
      <c r="E47">
        <v>6</v>
      </c>
      <c r="F47">
        <f t="shared" si="0"/>
        <v>150</v>
      </c>
      <c r="G47">
        <v>0</v>
      </c>
      <c r="H47">
        <f t="shared" si="1"/>
        <v>150</v>
      </c>
      <c r="I47">
        <v>150</v>
      </c>
      <c r="J47">
        <v>0</v>
      </c>
      <c r="K47">
        <v>1.18</v>
      </c>
      <c r="L47">
        <f t="shared" si="2"/>
        <v>177</v>
      </c>
    </row>
    <row r="48" spans="1:12" ht="12.75">
      <c r="A48">
        <v>45</v>
      </c>
      <c r="B48" s="1" t="s">
        <v>234</v>
      </c>
      <c r="C48" s="14" t="s">
        <v>549</v>
      </c>
      <c r="D48" s="14" t="s">
        <v>592</v>
      </c>
      <c r="E48">
        <v>6</v>
      </c>
      <c r="F48">
        <f t="shared" si="0"/>
        <v>150</v>
      </c>
      <c r="G48">
        <v>7</v>
      </c>
      <c r="H48">
        <f t="shared" si="1"/>
        <v>157</v>
      </c>
      <c r="I48">
        <v>157</v>
      </c>
      <c r="J48">
        <v>0</v>
      </c>
      <c r="K48">
        <v>0.0548</v>
      </c>
      <c r="L48">
        <f t="shared" si="2"/>
        <v>8.6036</v>
      </c>
    </row>
    <row r="49" spans="1:12" ht="12.75">
      <c r="A49">
        <v>46</v>
      </c>
      <c r="B49" s="1" t="s">
        <v>590</v>
      </c>
      <c r="C49" s="14" t="s">
        <v>603</v>
      </c>
      <c r="D49" s="14" t="s">
        <v>591</v>
      </c>
      <c r="E49">
        <v>1</v>
      </c>
      <c r="F49">
        <f t="shared" si="0"/>
        <v>25</v>
      </c>
      <c r="G49">
        <v>0</v>
      </c>
      <c r="H49">
        <f t="shared" si="1"/>
        <v>25</v>
      </c>
      <c r="I49">
        <v>0</v>
      </c>
      <c r="J49">
        <v>25</v>
      </c>
      <c r="L49">
        <f t="shared" si="2"/>
        <v>0</v>
      </c>
    </row>
    <row r="50" spans="2:12" ht="12.75">
      <c r="B50" s="1" t="s">
        <v>729</v>
      </c>
      <c r="C50" s="14"/>
      <c r="D50" s="14"/>
      <c r="I50">
        <v>2</v>
      </c>
      <c r="K50">
        <f>6000/25</f>
        <v>240</v>
      </c>
      <c r="L50">
        <f t="shared" si="2"/>
        <v>480</v>
      </c>
    </row>
    <row r="51" spans="2:12" ht="12.75">
      <c r="B51" s="1" t="s">
        <v>730</v>
      </c>
      <c r="C51" s="14"/>
      <c r="D51" s="14"/>
      <c r="I51">
        <v>1</v>
      </c>
      <c r="K51">
        <f>0.15*SUM(L4:L50)</f>
        <v>1020.9344099999998</v>
      </c>
      <c r="L51">
        <f t="shared" si="2"/>
        <v>1020.9344099999998</v>
      </c>
    </row>
    <row r="52" spans="2:12" ht="12.75">
      <c r="B52" s="1" t="s">
        <v>731</v>
      </c>
      <c r="C52" s="14"/>
      <c r="D52" s="14"/>
      <c r="I52">
        <v>1</v>
      </c>
      <c r="K52">
        <f>0.1*SUM(L4:L50)</f>
        <v>680.62294</v>
      </c>
      <c r="L52">
        <f t="shared" si="2"/>
        <v>680.62294</v>
      </c>
    </row>
    <row r="53" spans="2:12" ht="12.75">
      <c r="B53" s="1" t="s">
        <v>732</v>
      </c>
      <c r="C53" s="14"/>
      <c r="D53" s="14"/>
      <c r="L53">
        <f>SUM(L4:L52)</f>
        <v>8507.78675</v>
      </c>
    </row>
    <row r="55" spans="2:9" ht="12.75">
      <c r="B55" s="1" t="s">
        <v>607</v>
      </c>
      <c r="I55">
        <v>1</v>
      </c>
    </row>
    <row r="57" ht="25.5">
      <c r="B57" s="1" t="s">
        <v>632</v>
      </c>
    </row>
    <row r="58" spans="2:9" ht="12.75">
      <c r="B58" s="1" t="s">
        <v>608</v>
      </c>
      <c r="I58">
        <v>1</v>
      </c>
    </row>
    <row r="59" spans="2:9" ht="12.75">
      <c r="B59" s="14" t="s">
        <v>610</v>
      </c>
      <c r="I59">
        <v>1</v>
      </c>
    </row>
    <row r="60" spans="2:9" ht="12.75">
      <c r="B60" s="14" t="s">
        <v>278</v>
      </c>
      <c r="I60">
        <v>1</v>
      </c>
    </row>
    <row r="61" spans="2:9" ht="12.75">
      <c r="B61" s="14" t="s">
        <v>611</v>
      </c>
      <c r="I61">
        <v>1</v>
      </c>
    </row>
    <row r="62" spans="2:9" ht="12.75">
      <c r="B62" s="14" t="s">
        <v>612</v>
      </c>
      <c r="I62">
        <v>1</v>
      </c>
    </row>
    <row r="63" spans="2:9" ht="12.75">
      <c r="B63" s="14" t="s">
        <v>613</v>
      </c>
      <c r="I63">
        <v>1</v>
      </c>
    </row>
    <row r="64" spans="2:9" ht="12.75">
      <c r="B64" s="14" t="s">
        <v>614</v>
      </c>
      <c r="I64">
        <v>1</v>
      </c>
    </row>
    <row r="65" spans="2:9" ht="12.75">
      <c r="B65" s="14" t="s">
        <v>615</v>
      </c>
      <c r="I65">
        <v>1</v>
      </c>
    </row>
    <row r="66" spans="2:9" ht="12.75">
      <c r="B66" s="14" t="s">
        <v>616</v>
      </c>
      <c r="I66">
        <v>1</v>
      </c>
    </row>
    <row r="67" spans="2:9" ht="12.75">
      <c r="B67" s="14" t="s">
        <v>617</v>
      </c>
      <c r="I67">
        <v>1</v>
      </c>
    </row>
    <row r="68" spans="2:9" ht="12.75">
      <c r="B68" s="14" t="s">
        <v>618</v>
      </c>
      <c r="I68">
        <v>1</v>
      </c>
    </row>
    <row r="69" spans="2:9" ht="12.75">
      <c r="B69" s="14" t="s">
        <v>633</v>
      </c>
      <c r="I69">
        <v>1</v>
      </c>
    </row>
    <row r="70" spans="2:9" ht="12.75">
      <c r="B70" s="14" t="s">
        <v>264</v>
      </c>
      <c r="I70">
        <v>1</v>
      </c>
    </row>
    <row r="71" spans="2:9" ht="12.75">
      <c r="B71" s="14" t="s">
        <v>267</v>
      </c>
      <c r="I71">
        <v>1</v>
      </c>
    </row>
    <row r="72" spans="2:9" ht="12.75">
      <c r="B72" s="14" t="s">
        <v>272</v>
      </c>
      <c r="I72">
        <v>1</v>
      </c>
    </row>
    <row r="73" spans="2:9" ht="12.75">
      <c r="B73" s="14" t="s">
        <v>273</v>
      </c>
      <c r="I73">
        <v>1</v>
      </c>
    </row>
    <row r="74" spans="2:9" ht="12.75">
      <c r="B74" s="14" t="s">
        <v>619</v>
      </c>
      <c r="I74">
        <v>1</v>
      </c>
    </row>
    <row r="75" spans="2:9" ht="12.75">
      <c r="B75" s="14" t="s">
        <v>725</v>
      </c>
      <c r="I75">
        <v>1</v>
      </c>
    </row>
    <row r="76" spans="2:9" ht="12.75">
      <c r="B76" s="14" t="s">
        <v>609</v>
      </c>
      <c r="I76">
        <v>1</v>
      </c>
    </row>
    <row r="77" spans="2:9" ht="12.75">
      <c r="B77" s="14" t="s">
        <v>726</v>
      </c>
      <c r="I77">
        <v>1</v>
      </c>
    </row>
    <row r="78" spans="2:9" ht="12.75">
      <c r="B78" s="14" t="s">
        <v>432</v>
      </c>
      <c r="I78">
        <v>1</v>
      </c>
    </row>
    <row r="79" spans="2:9" ht="12.75">
      <c r="B79" s="14" t="s">
        <v>294</v>
      </c>
      <c r="I79">
        <v>1</v>
      </c>
    </row>
    <row r="80" spans="2:9" ht="12.75">
      <c r="B80" s="14" t="s">
        <v>622</v>
      </c>
      <c r="I80">
        <v>1</v>
      </c>
    </row>
    <row r="81" spans="2:9" ht="12.75">
      <c r="B81" s="14" t="s">
        <v>276</v>
      </c>
      <c r="I81">
        <v>1</v>
      </c>
    </row>
    <row r="82" spans="2:9" ht="12.75">
      <c r="B82" s="14" t="s">
        <v>277</v>
      </c>
      <c r="I82">
        <v>1</v>
      </c>
    </row>
    <row r="83" spans="2:9" ht="12.75">
      <c r="B83" s="14" t="s">
        <v>623</v>
      </c>
      <c r="I83">
        <v>1</v>
      </c>
    </row>
    <row r="84" spans="2:9" ht="12.75">
      <c r="B84" t="s">
        <v>285</v>
      </c>
      <c r="I84">
        <v>1</v>
      </c>
    </row>
    <row r="85" spans="2:9" ht="12.75">
      <c r="B85" s="14" t="s">
        <v>624</v>
      </c>
      <c r="I85">
        <v>1</v>
      </c>
    </row>
    <row r="86" spans="2:10" ht="12.75">
      <c r="B86" s="14" t="s">
        <v>603</v>
      </c>
      <c r="I86">
        <v>0</v>
      </c>
      <c r="J86">
        <v>1</v>
      </c>
    </row>
    <row r="87" spans="2:9" ht="12.75">
      <c r="B87" s="14" t="s">
        <v>434</v>
      </c>
      <c r="I87">
        <v>1</v>
      </c>
    </row>
    <row r="88" spans="2:9" ht="12.75">
      <c r="B88" s="14" t="s">
        <v>599</v>
      </c>
      <c r="I88">
        <v>1</v>
      </c>
    </row>
  </sheetData>
  <printOptions gridLines="1"/>
  <pageMargins left="0.75" right="0.75" top="1" bottom="1" header="0.5" footer="0.5"/>
  <pageSetup fitToHeight="1" fitToWidth="1" horizontalDpi="600" verticalDpi="600" orientation="portrait" paperSize="3" scale="44" r:id="rId1"/>
  <headerFooter alignWithMargins="0">
    <oddHeader>&amp;L&amp;F&amp;R&amp;A</oddHeader>
    <oddFooter>&amp;LK. Kriesel&amp;C&amp;P of &amp;N&amp;R&amp;D  &amp;T</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S39"/>
  <sheetViews>
    <sheetView workbookViewId="0" topLeftCell="A2">
      <selection activeCell="H16" sqref="H16"/>
    </sheetView>
  </sheetViews>
  <sheetFormatPr defaultColWidth="9.140625" defaultRowHeight="12.75"/>
  <cols>
    <col min="1" max="1" width="27.140625" style="0" customWidth="1"/>
    <col min="2" max="2" width="14.140625" style="0" customWidth="1"/>
    <col min="16" max="16" width="11.28125" style="0" customWidth="1"/>
    <col min="17" max="17" width="8.7109375" style="0" customWidth="1"/>
    <col min="18" max="18" width="8.8515625" style="0" customWidth="1"/>
  </cols>
  <sheetData>
    <row r="2" spans="1:9" ht="12.75">
      <c r="A2" s="5" t="s">
        <v>868</v>
      </c>
      <c r="B2" s="14"/>
      <c r="E2" s="24"/>
      <c r="F2" s="24"/>
      <c r="G2" s="55" t="s">
        <v>863</v>
      </c>
      <c r="H2" s="89"/>
      <c r="I2" s="90">
        <v>1</v>
      </c>
    </row>
    <row r="3" spans="1:19" ht="63.75">
      <c r="A3" t="s">
        <v>311</v>
      </c>
      <c r="B3" s="14" t="s">
        <v>313</v>
      </c>
      <c r="C3" s="35" t="s">
        <v>262</v>
      </c>
      <c r="D3" s="36" t="s">
        <v>269</v>
      </c>
      <c r="E3" s="37" t="s">
        <v>314</v>
      </c>
      <c r="F3" s="48" t="s">
        <v>265</v>
      </c>
      <c r="G3" s="48" t="s">
        <v>268</v>
      </c>
      <c r="H3" s="47" t="s">
        <v>270</v>
      </c>
      <c r="I3" s="47" t="s">
        <v>325</v>
      </c>
      <c r="J3" s="47" t="s">
        <v>328</v>
      </c>
      <c r="K3" s="38" t="s">
        <v>315</v>
      </c>
      <c r="L3" s="32" t="s">
        <v>327</v>
      </c>
      <c r="M3" s="1" t="s">
        <v>326</v>
      </c>
      <c r="N3" s="1" t="s">
        <v>332</v>
      </c>
      <c r="O3" s="1" t="s">
        <v>329</v>
      </c>
      <c r="P3" s="59" t="s">
        <v>330</v>
      </c>
      <c r="Q3" t="s">
        <v>874</v>
      </c>
      <c r="R3" s="1" t="s">
        <v>875</v>
      </c>
      <c r="S3" s="1" t="s">
        <v>430</v>
      </c>
    </row>
    <row r="4" spans="1:19" ht="12.75">
      <c r="A4" t="s">
        <v>509</v>
      </c>
      <c r="B4" s="14"/>
      <c r="C4" s="39">
        <v>72</v>
      </c>
      <c r="D4" s="61">
        <v>72</v>
      </c>
      <c r="E4" s="27">
        <v>144</v>
      </c>
      <c r="F4" s="49">
        <v>36</v>
      </c>
      <c r="G4" s="49">
        <v>36</v>
      </c>
      <c r="H4" s="60">
        <v>36</v>
      </c>
      <c r="I4" s="60"/>
      <c r="J4" s="60"/>
      <c r="K4" s="41"/>
      <c r="L4" s="32"/>
      <c r="M4" s="1"/>
      <c r="N4" s="1"/>
      <c r="O4" s="1"/>
      <c r="P4" s="1"/>
      <c r="S4" s="1"/>
    </row>
    <row r="5" spans="1:19" ht="12.75">
      <c r="A5" t="s">
        <v>510</v>
      </c>
      <c r="B5" s="14"/>
      <c r="C5" s="39">
        <v>4</v>
      </c>
      <c r="D5" s="61">
        <v>4</v>
      </c>
      <c r="E5" s="27">
        <v>6</v>
      </c>
      <c r="F5" s="49">
        <v>2</v>
      </c>
      <c r="G5" s="49">
        <v>2</v>
      </c>
      <c r="H5" s="60">
        <v>2</v>
      </c>
      <c r="I5" s="60"/>
      <c r="J5" s="60"/>
      <c r="K5" s="41"/>
      <c r="L5" s="32"/>
      <c r="M5" s="1"/>
      <c r="N5" s="1"/>
      <c r="O5" s="1"/>
      <c r="P5" s="1"/>
      <c r="S5" s="1"/>
    </row>
    <row r="6" spans="1:19" ht="12.75">
      <c r="A6" t="s">
        <v>512</v>
      </c>
      <c r="B6" s="14"/>
      <c r="C6" s="39">
        <v>3</v>
      </c>
      <c r="D6" s="61">
        <v>3</v>
      </c>
      <c r="E6" s="27">
        <v>0</v>
      </c>
      <c r="F6" s="49">
        <v>2</v>
      </c>
      <c r="G6" s="49">
        <v>2</v>
      </c>
      <c r="H6" s="60">
        <v>2</v>
      </c>
      <c r="I6" s="60"/>
      <c r="J6" s="60"/>
      <c r="K6" s="41"/>
      <c r="L6" s="32"/>
      <c r="M6" s="1"/>
      <c r="N6" s="1"/>
      <c r="O6" s="1"/>
      <c r="P6" s="1"/>
      <c r="S6" s="1"/>
    </row>
    <row r="7" spans="1:12" ht="12.75">
      <c r="A7" t="s">
        <v>511</v>
      </c>
      <c r="B7" s="14"/>
      <c r="C7" s="39">
        <f>SUM(C4:C6)</f>
        <v>79</v>
      </c>
      <c r="D7" s="61">
        <f>SUM(D4:D6)</f>
        <v>79</v>
      </c>
      <c r="E7" s="61">
        <f>SUM(E4:E6)</f>
        <v>150</v>
      </c>
      <c r="F7" s="61">
        <f>SUM(F4:F6)</f>
        <v>40</v>
      </c>
      <c r="G7" s="61">
        <f>SUM(G4:G6)</f>
        <v>40</v>
      </c>
      <c r="H7" s="61">
        <f>SUM(H4:H6)*I2</f>
        <v>40</v>
      </c>
      <c r="I7" s="27"/>
      <c r="J7" s="27"/>
      <c r="K7" s="41"/>
      <c r="L7" s="32"/>
    </row>
    <row r="8" spans="2:12" ht="12.75">
      <c r="B8" s="14"/>
      <c r="C8" s="39"/>
      <c r="D8" s="40"/>
      <c r="E8" s="27"/>
      <c r="F8" s="49"/>
      <c r="G8" s="49"/>
      <c r="H8" s="27"/>
      <c r="I8" s="27"/>
      <c r="J8" s="27"/>
      <c r="K8" s="41"/>
      <c r="L8" s="32"/>
    </row>
    <row r="9" spans="1:19" ht="12.75">
      <c r="A9" t="s">
        <v>310</v>
      </c>
      <c r="B9" s="14" t="s">
        <v>312</v>
      </c>
      <c r="C9" s="99">
        <f>'ME 1-2'!L52</f>
        <v>855.5941372682747</v>
      </c>
      <c r="D9" s="49">
        <f>'ME 1-3'!L45</f>
        <v>855.5941372682747</v>
      </c>
      <c r="E9" s="27">
        <f>'ME2-2, 3-2'!P56</f>
        <v>1532.5768491536985</v>
      </c>
      <c r="F9" s="49">
        <f>'ME 2-1'!L59</f>
        <v>388.2528017856036</v>
      </c>
      <c r="G9" s="49">
        <f>'ME 3-1'!L55</f>
        <v>388.2528017856036</v>
      </c>
      <c r="H9" s="27">
        <f>G9*H7/G7</f>
        <v>388.2528017856036</v>
      </c>
      <c r="I9" s="27">
        <f>'ME2-2, 3-2'!S56</f>
        <v>255.42947485894976</v>
      </c>
      <c r="J9" s="27">
        <v>0</v>
      </c>
      <c r="K9" s="42">
        <f>SUM(C9:H9)-I9-J9</f>
        <v>4153.094054188108</v>
      </c>
      <c r="L9" s="4">
        <f>(1+L3)*K9</f>
        <v>4651.465340690682</v>
      </c>
      <c r="M9">
        <v>96</v>
      </c>
      <c r="N9" t="s">
        <v>333</v>
      </c>
      <c r="O9">
        <v>42</v>
      </c>
      <c r="P9" s="5">
        <f>L9-O9</f>
        <v>4609.465340690682</v>
      </c>
      <c r="Q9" s="4">
        <f>'ME 1-2'!L51*0.098*'extrusion requirements'!M9</f>
        <v>22.704842209684422</v>
      </c>
      <c r="R9" s="53">
        <f>L9</f>
        <v>4651.465340690682</v>
      </c>
      <c r="S9">
        <f>R9/Q9*7</f>
        <v>1434.0666666666666</v>
      </c>
    </row>
    <row r="10" spans="2:18" ht="12.75">
      <c r="B10" s="14"/>
      <c r="C10" s="39"/>
      <c r="D10" s="40"/>
      <c r="E10" s="27"/>
      <c r="F10" s="49"/>
      <c r="G10" s="49"/>
      <c r="H10" s="27"/>
      <c r="I10" s="27"/>
      <c r="J10" s="27"/>
      <c r="K10" s="41"/>
      <c r="Q10" s="4"/>
      <c r="R10" s="24"/>
    </row>
    <row r="11" spans="2:18" ht="38.25">
      <c r="B11" s="13" t="s">
        <v>862</v>
      </c>
      <c r="C11" s="39"/>
      <c r="D11" s="40"/>
      <c r="E11" s="27"/>
      <c r="F11" s="49"/>
      <c r="G11" s="49"/>
      <c r="H11" s="27"/>
      <c r="I11" s="27"/>
      <c r="J11" s="27"/>
      <c r="K11" s="41"/>
      <c r="Q11" s="4"/>
      <c r="R11" s="24"/>
    </row>
    <row r="12" spans="1:19" ht="12.75">
      <c r="A12" t="s">
        <v>316</v>
      </c>
      <c r="B12" s="33" t="s">
        <v>320</v>
      </c>
      <c r="C12" s="39"/>
      <c r="D12" s="40"/>
      <c r="E12" s="27">
        <f>4*E7</f>
        <v>600</v>
      </c>
      <c r="F12" s="49"/>
      <c r="G12" s="49"/>
      <c r="H12" s="27"/>
      <c r="I12" s="27">
        <v>100</v>
      </c>
      <c r="J12" s="27">
        <f>'Extrusion material inventory'!C4</f>
        <v>2</v>
      </c>
      <c r="K12" s="42">
        <f aca="true" t="shared" si="0" ref="K12:K21">SUM(C12:H12)-I12-J12</f>
        <v>498</v>
      </c>
      <c r="L12">
        <f>ROUND((1+L3)*K12,0)</f>
        <v>558</v>
      </c>
      <c r="M12">
        <v>130</v>
      </c>
      <c r="N12">
        <f>L12</f>
        <v>558</v>
      </c>
      <c r="O12">
        <v>0</v>
      </c>
      <c r="P12" s="5">
        <f>N12-O12</f>
        <v>558</v>
      </c>
      <c r="Q12" s="4">
        <f>M12*'ME 1-2'!K51*0.098</f>
        <v>10.799478175956352</v>
      </c>
      <c r="R12" s="24">
        <f>P12*Q12</f>
        <v>6026.108822183644</v>
      </c>
      <c r="S12">
        <f>R12/Q12*M12/12</f>
        <v>6045</v>
      </c>
    </row>
    <row r="13" spans="2:19" ht="12.75">
      <c r="B13" s="33" t="s">
        <v>322</v>
      </c>
      <c r="C13" s="39"/>
      <c r="D13" s="40"/>
      <c r="E13" s="27"/>
      <c r="F13" s="49">
        <f>4*F7</f>
        <v>160</v>
      </c>
      <c r="G13" s="49"/>
      <c r="H13" s="27"/>
      <c r="I13" s="27"/>
      <c r="J13" s="27"/>
      <c r="K13" s="42">
        <f t="shared" si="0"/>
        <v>160</v>
      </c>
      <c r="L13">
        <f>ROUND((1+L3)*K13,0)</f>
        <v>179</v>
      </c>
      <c r="M13" s="35">
        <v>78</v>
      </c>
      <c r="N13" s="38">
        <f>SUM(L13:L17)</f>
        <v>1226</v>
      </c>
      <c r="O13">
        <v>0</v>
      </c>
      <c r="P13" s="5">
        <f>N13+O21</f>
        <v>1403</v>
      </c>
      <c r="Q13" s="4">
        <f>M13*'ME 1-2'!K51*0.098</f>
        <v>6.4796869055738116</v>
      </c>
      <c r="R13" s="24">
        <f>P13*Q13</f>
        <v>9091.000728520057</v>
      </c>
      <c r="S13">
        <f>R13/Q13*M13/12</f>
        <v>9119.5</v>
      </c>
    </row>
    <row r="14" spans="2:18" ht="12.75">
      <c r="B14" s="33" t="s">
        <v>318</v>
      </c>
      <c r="C14" s="39">
        <f>4*C7</f>
        <v>316</v>
      </c>
      <c r="D14" s="40"/>
      <c r="E14" s="27"/>
      <c r="F14" s="49"/>
      <c r="G14" s="49"/>
      <c r="H14" s="27"/>
      <c r="I14" s="27"/>
      <c r="J14" s="27"/>
      <c r="K14" s="42">
        <f t="shared" si="0"/>
        <v>316</v>
      </c>
      <c r="L14">
        <f>ROUND((1+L3)*K14,0)</f>
        <v>354</v>
      </c>
      <c r="M14" s="39">
        <v>78</v>
      </c>
      <c r="N14" s="41"/>
      <c r="Q14" s="4"/>
      <c r="R14" s="24"/>
    </row>
    <row r="15" spans="2:18" ht="12.75">
      <c r="B15" s="33">
        <v>69.35</v>
      </c>
      <c r="C15" s="39"/>
      <c r="D15" s="40">
        <f>4*D7</f>
        <v>316</v>
      </c>
      <c r="E15" s="27"/>
      <c r="F15" s="49"/>
      <c r="G15" s="49"/>
      <c r="H15" s="27"/>
      <c r="I15" s="27"/>
      <c r="J15" s="27"/>
      <c r="K15" s="42">
        <f t="shared" si="0"/>
        <v>316</v>
      </c>
      <c r="L15">
        <f>ROUND((1+L3)*K15,0)</f>
        <v>354</v>
      </c>
      <c r="M15" s="39">
        <v>78</v>
      </c>
      <c r="N15" s="41"/>
      <c r="Q15" s="4"/>
      <c r="R15" s="24"/>
    </row>
    <row r="16" spans="2:18" ht="12.75">
      <c r="B16" s="33">
        <f>B17-7.974</f>
        <v>61.010999999999996</v>
      </c>
      <c r="C16" s="39"/>
      <c r="D16" s="40"/>
      <c r="E16" s="27"/>
      <c r="F16" s="49"/>
      <c r="G16" s="49"/>
      <c r="H16" s="27">
        <f>G17*H7/G7</f>
        <v>160</v>
      </c>
      <c r="I16" s="27"/>
      <c r="J16" s="27"/>
      <c r="K16" s="42">
        <f t="shared" si="0"/>
        <v>160</v>
      </c>
      <c r="L16">
        <f>ROUND((1+M2)*K16,0)</f>
        <v>160</v>
      </c>
      <c r="M16" s="39">
        <v>78</v>
      </c>
      <c r="N16" s="41"/>
      <c r="Q16" s="4"/>
      <c r="R16" s="24"/>
    </row>
    <row r="17" spans="2:18" ht="12.75">
      <c r="B17" s="33">
        <v>68.985</v>
      </c>
      <c r="C17" s="39"/>
      <c r="D17" s="40"/>
      <c r="E17" s="27"/>
      <c r="F17" s="49"/>
      <c r="G17" s="49">
        <f>4*G7</f>
        <v>160</v>
      </c>
      <c r="H17" s="27"/>
      <c r="I17" s="27"/>
      <c r="J17" s="27"/>
      <c r="K17" s="42">
        <f t="shared" si="0"/>
        <v>160</v>
      </c>
      <c r="L17">
        <f>ROUND((1+L3)*K17,0)</f>
        <v>179</v>
      </c>
      <c r="M17" s="39">
        <v>78</v>
      </c>
      <c r="N17" s="41"/>
      <c r="Q17" s="4"/>
      <c r="R17" s="24"/>
    </row>
    <row r="18" spans="2:19" ht="12.75">
      <c r="B18" s="33" t="s">
        <v>321</v>
      </c>
      <c r="C18" s="39"/>
      <c r="D18" s="40"/>
      <c r="E18" s="27">
        <f>2*E7</f>
        <v>300</v>
      </c>
      <c r="F18" s="49"/>
      <c r="G18" s="49"/>
      <c r="H18" s="27"/>
      <c r="I18" s="27">
        <v>54</v>
      </c>
      <c r="J18" s="27">
        <f>'Extrusion material inventory'!C8</f>
        <v>2</v>
      </c>
      <c r="K18" s="42">
        <f t="shared" si="0"/>
        <v>244</v>
      </c>
      <c r="L18">
        <f>ROUND((1+L3)*K18,0)</f>
        <v>273</v>
      </c>
      <c r="M18" s="35">
        <v>53</v>
      </c>
      <c r="N18" s="38">
        <f>SUM(L18:L19)</f>
        <v>542</v>
      </c>
      <c r="O18">
        <v>0</v>
      </c>
      <c r="P18" s="5">
        <f>N18-O18</f>
        <v>542</v>
      </c>
      <c r="Q18" s="4">
        <f>M18*'ME 1-2'!K51*0.098</f>
        <v>4.402864179428359</v>
      </c>
      <c r="R18" s="24">
        <f>P18*Q18</f>
        <v>2386.3523852501708</v>
      </c>
      <c r="S18">
        <f>R18/Q18*M18/12</f>
        <v>2393.8333333333335</v>
      </c>
    </row>
    <row r="19" spans="2:18" ht="12.75">
      <c r="B19" s="33" t="s">
        <v>319</v>
      </c>
      <c r="C19" s="39"/>
      <c r="D19" s="40"/>
      <c r="E19" s="27"/>
      <c r="F19" s="49">
        <f>2*F7</f>
        <v>80</v>
      </c>
      <c r="G19" s="49">
        <f>2*G7</f>
        <v>80</v>
      </c>
      <c r="H19" s="27">
        <f>G19*H7/G7</f>
        <v>80</v>
      </c>
      <c r="I19" s="27"/>
      <c r="J19" s="27"/>
      <c r="K19" s="42">
        <f t="shared" si="0"/>
        <v>240</v>
      </c>
      <c r="L19">
        <f>ROUND((1+L3)*K19,0)</f>
        <v>269</v>
      </c>
      <c r="M19" s="43">
        <v>53</v>
      </c>
      <c r="N19" s="46"/>
      <c r="Q19" s="4"/>
      <c r="R19" s="24"/>
    </row>
    <row r="20" spans="2:18" ht="12.75">
      <c r="B20" s="33">
        <v>38.2</v>
      </c>
      <c r="C20" s="39"/>
      <c r="D20" s="40">
        <f>2*D7</f>
        <v>158</v>
      </c>
      <c r="E20" s="27"/>
      <c r="F20" s="49"/>
      <c r="G20" s="49"/>
      <c r="H20" s="27"/>
      <c r="I20" s="27"/>
      <c r="J20" s="27"/>
      <c r="K20" s="42">
        <f t="shared" si="0"/>
        <v>158</v>
      </c>
      <c r="L20">
        <f>ROUND((1+L3)*K20,0)</f>
        <v>177</v>
      </c>
      <c r="M20" s="35">
        <v>39</v>
      </c>
      <c r="N20" s="38">
        <f>SUM(L20:L21)</f>
        <v>354</v>
      </c>
      <c r="O20" t="s">
        <v>345</v>
      </c>
      <c r="Q20" s="4"/>
      <c r="R20" s="24"/>
    </row>
    <row r="21" spans="2:18" ht="12.75">
      <c r="B21" s="33">
        <v>34.9</v>
      </c>
      <c r="C21" s="39">
        <f>2*C7</f>
        <v>158</v>
      </c>
      <c r="D21" s="40"/>
      <c r="E21" s="27"/>
      <c r="F21" s="49"/>
      <c r="G21" s="49"/>
      <c r="H21" s="27"/>
      <c r="I21" s="27"/>
      <c r="J21" s="27"/>
      <c r="K21" s="42">
        <f t="shared" si="0"/>
        <v>158</v>
      </c>
      <c r="L21">
        <f>ROUND((1+L3)*K21,0)</f>
        <v>177</v>
      </c>
      <c r="M21" s="43">
        <v>39</v>
      </c>
      <c r="N21" s="46"/>
      <c r="O21">
        <f>N20/2</f>
        <v>177</v>
      </c>
      <c r="Q21" s="4"/>
      <c r="R21" s="24"/>
    </row>
    <row r="22" spans="2:18" ht="12.75">
      <c r="B22" s="33"/>
      <c r="C22" s="39"/>
      <c r="D22" s="40"/>
      <c r="E22" s="27"/>
      <c r="F22" s="49"/>
      <c r="G22" s="49"/>
      <c r="H22" s="27"/>
      <c r="I22" s="27"/>
      <c r="J22" s="27"/>
      <c r="K22" s="42"/>
      <c r="Q22" s="4" t="s">
        <v>334</v>
      </c>
      <c r="R22" s="53">
        <f>SUM(R12:R20)</f>
        <v>17503.461935953874</v>
      </c>
    </row>
    <row r="23" spans="2:18" ht="12.75">
      <c r="B23" s="33"/>
      <c r="C23" s="39"/>
      <c r="D23" s="40"/>
      <c r="E23" s="27"/>
      <c r="F23" s="49"/>
      <c r="G23" s="49"/>
      <c r="H23" s="27"/>
      <c r="I23" s="27"/>
      <c r="J23" s="27"/>
      <c r="K23" s="41"/>
      <c r="O23" t="s">
        <v>873</v>
      </c>
      <c r="P23" t="s">
        <v>331</v>
      </c>
      <c r="R23" s="24"/>
    </row>
    <row r="24" spans="1:18" ht="12.75">
      <c r="A24" t="s">
        <v>317</v>
      </c>
      <c r="B24" s="33">
        <v>35.84</v>
      </c>
      <c r="C24" s="39"/>
      <c r="D24" s="40"/>
      <c r="E24" s="27">
        <f>2*E7</f>
        <v>300</v>
      </c>
      <c r="F24" s="49"/>
      <c r="G24" s="49"/>
      <c r="H24" s="27"/>
      <c r="I24" s="27">
        <v>50</v>
      </c>
      <c r="J24" s="27">
        <f>'Extrusion material inventory'!C16</f>
        <v>24</v>
      </c>
      <c r="K24" s="42">
        <f aca="true" t="shared" si="1" ref="K24:K29">SUM(C24:H24)-I24-J24</f>
        <v>226</v>
      </c>
      <c r="L24">
        <f>ROUND((1+L3)*K24,0)</f>
        <v>253</v>
      </c>
      <c r="M24">
        <v>37</v>
      </c>
      <c r="N24" s="4">
        <f aca="true" t="shared" si="2" ref="N24:N29">L24/O24</f>
        <v>84.33333333333333</v>
      </c>
      <c r="O24">
        <v>3</v>
      </c>
      <c r="P24" s="2">
        <f aca="true" t="shared" si="3" ref="P24:P29">O24*M24</f>
        <v>111</v>
      </c>
      <c r="R24" s="24"/>
    </row>
    <row r="25" spans="2:18" ht="12.75">
      <c r="B25" s="33" t="s">
        <v>323</v>
      </c>
      <c r="C25" s="39"/>
      <c r="D25" s="40"/>
      <c r="E25" s="27"/>
      <c r="F25" s="49">
        <f>2*F7</f>
        <v>80</v>
      </c>
      <c r="G25" s="49"/>
      <c r="H25" s="27"/>
      <c r="I25" s="27"/>
      <c r="J25" s="27"/>
      <c r="K25" s="42">
        <f t="shared" si="1"/>
        <v>80</v>
      </c>
      <c r="L25">
        <f>ROUND((1+L3)*K25,0)</f>
        <v>90</v>
      </c>
      <c r="M25">
        <v>32</v>
      </c>
      <c r="N25" s="4">
        <f t="shared" si="2"/>
        <v>30</v>
      </c>
      <c r="O25">
        <v>3</v>
      </c>
      <c r="P25" s="2">
        <f t="shared" si="3"/>
        <v>96</v>
      </c>
      <c r="R25" s="24"/>
    </row>
    <row r="26" spans="2:18" ht="12.75">
      <c r="B26" s="4">
        <f>30-1.78-1.78</f>
        <v>26.439999999999998</v>
      </c>
      <c r="C26" s="39"/>
      <c r="D26" s="40">
        <f>2*D7</f>
        <v>158</v>
      </c>
      <c r="E26" s="27"/>
      <c r="F26" s="49"/>
      <c r="G26" s="49"/>
      <c r="H26" s="27"/>
      <c r="I26" s="27"/>
      <c r="J26" s="27"/>
      <c r="K26" s="42">
        <f t="shared" si="1"/>
        <v>158</v>
      </c>
      <c r="L26">
        <f>ROUND((1+L3)*K26,0)</f>
        <v>177</v>
      </c>
      <c r="M26">
        <v>27.5</v>
      </c>
      <c r="N26" s="4">
        <f t="shared" si="2"/>
        <v>44.25</v>
      </c>
      <c r="O26">
        <v>4</v>
      </c>
      <c r="P26" s="2">
        <f t="shared" si="3"/>
        <v>110</v>
      </c>
      <c r="R26" s="24"/>
    </row>
    <row r="27" spans="2:18" ht="12.75">
      <c r="B27" s="33">
        <f>B28+2.918</f>
        <v>36.998</v>
      </c>
      <c r="C27" s="39"/>
      <c r="D27" s="40"/>
      <c r="E27" s="27"/>
      <c r="F27" s="49"/>
      <c r="G27" s="49"/>
      <c r="H27" s="27">
        <f>G28*H7/G7</f>
        <v>80</v>
      </c>
      <c r="I27" s="27"/>
      <c r="J27" s="27"/>
      <c r="K27" s="42">
        <f t="shared" si="1"/>
        <v>80</v>
      </c>
      <c r="L27">
        <f>ROUND((1+M2)*K27,0)</f>
        <v>80</v>
      </c>
      <c r="M27">
        <v>37.5</v>
      </c>
      <c r="N27" s="4">
        <f t="shared" si="2"/>
        <v>26.666666666666668</v>
      </c>
      <c r="O27">
        <v>3</v>
      </c>
      <c r="P27" s="2">
        <f t="shared" si="3"/>
        <v>112.5</v>
      </c>
      <c r="R27" s="24"/>
    </row>
    <row r="28" spans="2:18" ht="12.75">
      <c r="B28" s="33">
        <v>34.08</v>
      </c>
      <c r="C28" s="39"/>
      <c r="D28" s="40"/>
      <c r="E28" s="27"/>
      <c r="F28" s="49"/>
      <c r="G28" s="49">
        <f>2*G7</f>
        <v>80</v>
      </c>
      <c r="H28" s="27"/>
      <c r="I28" s="27"/>
      <c r="J28" s="27"/>
      <c r="K28" s="42">
        <f t="shared" si="1"/>
        <v>80</v>
      </c>
      <c r="L28">
        <f>ROUND((1+L3)*K28,0)</f>
        <v>90</v>
      </c>
      <c r="M28">
        <v>35</v>
      </c>
      <c r="N28" s="4">
        <f t="shared" si="2"/>
        <v>30</v>
      </c>
      <c r="O28">
        <v>3</v>
      </c>
      <c r="P28" s="2">
        <f t="shared" si="3"/>
        <v>105</v>
      </c>
      <c r="R28" s="24"/>
    </row>
    <row r="29" spans="2:18" ht="12.75">
      <c r="B29" s="33" t="s">
        <v>324</v>
      </c>
      <c r="C29" s="39">
        <f>2*C7</f>
        <v>158</v>
      </c>
      <c r="D29" s="40"/>
      <c r="E29" s="27"/>
      <c r="F29" s="49"/>
      <c r="G29" s="49"/>
      <c r="H29" s="27"/>
      <c r="I29" s="27"/>
      <c r="J29" s="27"/>
      <c r="K29" s="42">
        <f t="shared" si="1"/>
        <v>158</v>
      </c>
      <c r="L29">
        <f>ROUND((1+L3)*K29,0)</f>
        <v>177</v>
      </c>
      <c r="M29">
        <v>22.5</v>
      </c>
      <c r="N29" s="4">
        <f t="shared" si="2"/>
        <v>35.4</v>
      </c>
      <c r="O29">
        <v>5</v>
      </c>
      <c r="P29" s="2">
        <f t="shared" si="3"/>
        <v>112.5</v>
      </c>
      <c r="Q29" s="2">
        <f>MAX(P24:P29)</f>
        <v>112.5</v>
      </c>
      <c r="R29" s="24"/>
    </row>
    <row r="30" spans="2:19" ht="12.75">
      <c r="B30" s="14"/>
      <c r="C30" s="43"/>
      <c r="D30" s="50"/>
      <c r="E30" s="45"/>
      <c r="F30" s="45"/>
      <c r="G30" s="45"/>
      <c r="H30" s="45"/>
      <c r="I30" s="45"/>
      <c r="J30" s="45"/>
      <c r="K30" s="46"/>
      <c r="N30" s="55"/>
      <c r="O30" s="56" t="s">
        <v>336</v>
      </c>
      <c r="P30" s="62">
        <f>INT(SUM(N24:N29))</f>
        <v>250</v>
      </c>
      <c r="Q30" s="4">
        <f>Q29*'ME 1-2'!K51*0.098</f>
        <v>9.345702267654536</v>
      </c>
      <c r="R30" s="53">
        <f>P30*Q30</f>
        <v>2336.425566913634</v>
      </c>
      <c r="S30">
        <f>R30/Q30*Q29/12</f>
        <v>2343.7500000000005</v>
      </c>
    </row>
    <row r="31" spans="2:17" ht="12.75">
      <c r="B31" s="54" t="s">
        <v>354</v>
      </c>
      <c r="C31" s="14" t="s">
        <v>538</v>
      </c>
      <c r="D31" s="14" t="s">
        <v>541</v>
      </c>
      <c r="E31" s="14" t="s">
        <v>333</v>
      </c>
      <c r="F31" s="14" t="s">
        <v>542</v>
      </c>
      <c r="G31" s="14" t="s">
        <v>538</v>
      </c>
      <c r="H31" s="54" t="s">
        <v>428</v>
      </c>
      <c r="Q31" s="24"/>
    </row>
    <row r="32" spans="2:16" ht="12.75">
      <c r="B32" s="54" t="s">
        <v>545</v>
      </c>
      <c r="E32" s="24"/>
      <c r="F32" s="24"/>
      <c r="G32" s="24"/>
      <c r="H32" s="24"/>
      <c r="L32" s="35"/>
      <c r="M32" s="93"/>
      <c r="N32" s="93"/>
      <c r="O32" s="93" t="s">
        <v>335</v>
      </c>
      <c r="P32" s="94">
        <f>SUM(R9,R22,R30)</f>
        <v>24491.35284355819</v>
      </c>
    </row>
    <row r="33" spans="2:16" ht="12.75">
      <c r="B33" s="54" t="s">
        <v>539</v>
      </c>
      <c r="C33">
        <v>10</v>
      </c>
      <c r="E33" s="24">
        <v>25</v>
      </c>
      <c r="F33" s="24">
        <v>10</v>
      </c>
      <c r="G33" s="24"/>
      <c r="H33" s="24"/>
      <c r="L33" s="39"/>
      <c r="M33" s="61"/>
      <c r="N33" s="61"/>
      <c r="O33" s="95" t="s">
        <v>337</v>
      </c>
      <c r="P33" s="96">
        <f>(24.56/Q12+18/Q18+15.2/Q30*3+956/300)/4</f>
        <v>3.6070866413986575</v>
      </c>
    </row>
    <row r="34" spans="2:19" ht="12.75">
      <c r="B34" s="54" t="s">
        <v>540</v>
      </c>
      <c r="C34" s="14" t="s">
        <v>543</v>
      </c>
      <c r="D34" s="14"/>
      <c r="E34" s="14" t="s">
        <v>546</v>
      </c>
      <c r="F34" s="14" t="s">
        <v>544</v>
      </c>
      <c r="G34" s="14"/>
      <c r="H34" s="14"/>
      <c r="L34" s="43"/>
      <c r="M34" s="44"/>
      <c r="N34" s="44"/>
      <c r="O34" s="97" t="s">
        <v>872</v>
      </c>
      <c r="P34" s="98">
        <f>P32*P33</f>
        <v>88342.43167177978</v>
      </c>
      <c r="S34">
        <f>SUM(S9:S30)</f>
        <v>21336.149999999998</v>
      </c>
    </row>
    <row r="35" spans="2:19" ht="12.75">
      <c r="B35" s="14"/>
      <c r="E35" s="24"/>
      <c r="F35" s="24"/>
      <c r="G35" s="24"/>
      <c r="H35" s="24"/>
      <c r="R35" s="55" t="s">
        <v>431</v>
      </c>
      <c r="S35" s="57">
        <f>S34/5280</f>
        <v>4.040937499999999</v>
      </c>
    </row>
    <row r="36" spans="2:8" ht="12.75">
      <c r="B36" s="14"/>
      <c r="E36" s="24"/>
      <c r="F36" s="24"/>
      <c r="G36" s="24"/>
      <c r="H36" s="24"/>
    </row>
    <row r="37" spans="2:8" ht="12.75">
      <c r="B37" s="14"/>
      <c r="E37" s="24"/>
      <c r="F37" s="24"/>
      <c r="G37" s="24"/>
      <c r="H37" s="24"/>
    </row>
    <row r="38" spans="2:19" ht="12.75">
      <c r="B38" s="14"/>
      <c r="E38" s="24"/>
      <c r="F38" s="24"/>
      <c r="G38" s="24"/>
      <c r="H38" s="24"/>
      <c r="M38" s="55" t="s">
        <v>866</v>
      </c>
      <c r="N38" s="91"/>
      <c r="O38" s="91"/>
      <c r="P38" s="91" t="s">
        <v>864</v>
      </c>
      <c r="Q38" s="89">
        <f>R30+R22</f>
        <v>19839.887502867507</v>
      </c>
      <c r="R38" s="91" t="s">
        <v>867</v>
      </c>
      <c r="S38" s="92" t="s">
        <v>871</v>
      </c>
    </row>
    <row r="39" spans="13:19" ht="12.75">
      <c r="M39" s="55" t="s">
        <v>484</v>
      </c>
      <c r="N39" s="91"/>
      <c r="O39" s="91"/>
      <c r="P39" s="91" t="s">
        <v>865</v>
      </c>
      <c r="Q39" s="89">
        <f>R9</f>
        <v>4651.465340690682</v>
      </c>
      <c r="R39" s="91" t="s">
        <v>867</v>
      </c>
      <c r="S39" s="92" t="s">
        <v>870</v>
      </c>
    </row>
  </sheetData>
  <printOptions gridLines="1" headings="1"/>
  <pageMargins left="0.75" right="0.75" top="1" bottom="1" header="0.5" footer="0.5"/>
  <pageSetup fitToHeight="1" fitToWidth="1" horizontalDpi="600" verticalDpi="600" orientation="landscape" paperSize="17" r:id="rId1"/>
  <headerFooter alignWithMargins="0">
    <oddHeader>&amp;L&amp;F&amp;R&amp;A</oddHeader>
    <oddFooter>&amp;Lkkriesel&amp;CPage &amp;P of &amp;N&amp;R&amp;D &amp;T</oddFooter>
  </headerFooter>
</worksheet>
</file>

<file path=xl/worksheets/sheet9.xml><?xml version="1.0" encoding="utf-8"?>
<worksheet xmlns="http://schemas.openxmlformats.org/spreadsheetml/2006/main" xmlns:r="http://schemas.openxmlformats.org/officeDocument/2006/relationships">
  <dimension ref="A1:N34"/>
  <sheetViews>
    <sheetView workbookViewId="0" topLeftCell="A1">
      <selection activeCell="L23" sqref="L23"/>
    </sheetView>
  </sheetViews>
  <sheetFormatPr defaultColWidth="9.140625" defaultRowHeight="12.75"/>
  <cols>
    <col min="1" max="1" width="23.28125" style="0" customWidth="1"/>
    <col min="7" max="7" width="55.421875" style="0" customWidth="1"/>
  </cols>
  <sheetData>
    <row r="1" ht="18">
      <c r="A1" s="110" t="s">
        <v>298</v>
      </c>
    </row>
    <row r="2" spans="1:10" ht="90" thickBot="1">
      <c r="A2" s="71"/>
      <c r="B2" s="71"/>
      <c r="C2" s="83" t="s">
        <v>878</v>
      </c>
      <c r="D2" s="83" t="s">
        <v>882</v>
      </c>
      <c r="E2" s="83" t="s">
        <v>883</v>
      </c>
      <c r="F2" s="71" t="s">
        <v>493</v>
      </c>
      <c r="G2" s="71" t="s">
        <v>887</v>
      </c>
      <c r="H2" s="83" t="s">
        <v>912</v>
      </c>
      <c r="I2" s="83" t="s">
        <v>950</v>
      </c>
      <c r="J2" s="83" t="s">
        <v>951</v>
      </c>
    </row>
    <row r="3" spans="1:14" ht="13.5" thickBot="1">
      <c r="A3" s="105" t="s">
        <v>876</v>
      </c>
      <c r="B3" s="106" t="s">
        <v>300</v>
      </c>
      <c r="C3" s="105" t="s">
        <v>869</v>
      </c>
      <c r="D3" s="105" t="s">
        <v>869</v>
      </c>
      <c r="E3" s="105" t="s">
        <v>869</v>
      </c>
      <c r="F3" s="105" t="s">
        <v>869</v>
      </c>
      <c r="G3" s="107"/>
      <c r="H3" s="107"/>
      <c r="I3" s="107"/>
      <c r="J3" s="107"/>
      <c r="K3" s="24"/>
      <c r="L3" s="3"/>
      <c r="M3" s="24"/>
      <c r="N3" s="24"/>
    </row>
    <row r="4" spans="1:14" ht="12.75">
      <c r="A4" t="s">
        <v>299</v>
      </c>
      <c r="B4" s="14" t="s">
        <v>301</v>
      </c>
      <c r="C4">
        <v>2</v>
      </c>
      <c r="F4" s="24">
        <f>SUM(C4:E4)</f>
        <v>2</v>
      </c>
      <c r="G4" s="24" t="s">
        <v>897</v>
      </c>
      <c r="H4" s="24"/>
      <c r="I4" s="24">
        <v>2</v>
      </c>
      <c r="J4" s="24">
        <f>F4-H4-I4</f>
        <v>0</v>
      </c>
      <c r="K4" s="24"/>
      <c r="L4" s="2"/>
      <c r="M4" s="24"/>
      <c r="N4" s="24"/>
    </row>
    <row r="5" spans="2:14" ht="12.75">
      <c r="B5" s="14" t="s">
        <v>877</v>
      </c>
      <c r="D5">
        <v>50</v>
      </c>
      <c r="E5">
        <v>508</v>
      </c>
      <c r="F5" s="24">
        <f aca="true" t="shared" si="0" ref="F5:F12">SUM(C5:E5)</f>
        <v>558</v>
      </c>
      <c r="G5" s="24" t="s">
        <v>890</v>
      </c>
      <c r="H5" s="24"/>
      <c r="I5" s="24">
        <v>50</v>
      </c>
      <c r="J5" s="24">
        <f aca="true" t="shared" si="1" ref="J5:J12">F5-H5-I5</f>
        <v>508</v>
      </c>
      <c r="K5" s="24"/>
      <c r="L5" s="2"/>
      <c r="M5" s="24"/>
      <c r="N5" s="24"/>
    </row>
    <row r="6" spans="2:14" ht="12.75">
      <c r="B6" s="14" t="s">
        <v>884</v>
      </c>
      <c r="D6">
        <v>20</v>
      </c>
      <c r="E6">
        <v>1367</v>
      </c>
      <c r="F6" s="24">
        <f t="shared" si="0"/>
        <v>1387</v>
      </c>
      <c r="G6" s="24"/>
      <c r="H6" s="24"/>
      <c r="I6" s="24">
        <v>20</v>
      </c>
      <c r="J6" s="24">
        <f t="shared" si="1"/>
        <v>1367</v>
      </c>
      <c r="K6" s="24"/>
      <c r="L6" s="2"/>
      <c r="M6" s="24"/>
      <c r="N6" s="24"/>
    </row>
    <row r="7" spans="2:14" ht="12.75">
      <c r="B7" s="14" t="s">
        <v>413</v>
      </c>
      <c r="C7">
        <v>4</v>
      </c>
      <c r="F7" s="24">
        <f t="shared" si="0"/>
        <v>4</v>
      </c>
      <c r="G7" s="24" t="s">
        <v>891</v>
      </c>
      <c r="H7" s="24"/>
      <c r="I7" s="24">
        <v>4</v>
      </c>
      <c r="J7" s="24">
        <f t="shared" si="1"/>
        <v>0</v>
      </c>
      <c r="K7" s="24"/>
      <c r="M7" s="24"/>
      <c r="N7" s="24"/>
    </row>
    <row r="8" spans="2:14" ht="12.75">
      <c r="B8" s="14" t="s">
        <v>302</v>
      </c>
      <c r="C8">
        <v>2</v>
      </c>
      <c r="F8" s="24">
        <f t="shared" si="0"/>
        <v>2</v>
      </c>
      <c r="G8" s="24"/>
      <c r="H8" s="24"/>
      <c r="I8" s="24">
        <v>2</v>
      </c>
      <c r="J8" s="24">
        <f t="shared" si="1"/>
        <v>0</v>
      </c>
      <c r="K8" s="24"/>
      <c r="L8" s="2"/>
      <c r="M8" s="24"/>
      <c r="N8" s="24"/>
    </row>
    <row r="9" spans="2:14" ht="12.75">
      <c r="B9" s="14" t="s">
        <v>881</v>
      </c>
      <c r="D9">
        <v>10</v>
      </c>
      <c r="E9">
        <v>524</v>
      </c>
      <c r="F9" s="24">
        <f t="shared" si="0"/>
        <v>534</v>
      </c>
      <c r="G9" s="24"/>
      <c r="H9" s="24"/>
      <c r="I9" s="24">
        <v>10</v>
      </c>
      <c r="J9" s="24">
        <f t="shared" si="1"/>
        <v>524</v>
      </c>
      <c r="K9" s="24"/>
      <c r="L9" s="2"/>
      <c r="M9" s="24"/>
      <c r="N9" s="24"/>
    </row>
    <row r="10" spans="2:14" ht="12.75">
      <c r="B10" s="14" t="s">
        <v>303</v>
      </c>
      <c r="C10">
        <v>1</v>
      </c>
      <c r="F10" s="24">
        <f t="shared" si="0"/>
        <v>1</v>
      </c>
      <c r="G10" s="24"/>
      <c r="H10" s="24"/>
      <c r="I10" s="24">
        <v>1</v>
      </c>
      <c r="J10" s="24">
        <f t="shared" si="1"/>
        <v>0</v>
      </c>
      <c r="K10" s="24"/>
      <c r="M10" s="24"/>
      <c r="N10" s="24"/>
    </row>
    <row r="11" spans="2:14" ht="12.75">
      <c r="B11" s="14" t="s">
        <v>304</v>
      </c>
      <c r="C11">
        <v>6</v>
      </c>
      <c r="F11" s="24">
        <f t="shared" si="0"/>
        <v>6</v>
      </c>
      <c r="G11" s="24"/>
      <c r="H11" s="24"/>
      <c r="I11" s="24">
        <v>6</v>
      </c>
      <c r="J11" s="24">
        <f t="shared" si="1"/>
        <v>0</v>
      </c>
      <c r="K11" s="24"/>
      <c r="M11" s="24"/>
      <c r="N11" s="24"/>
    </row>
    <row r="12" spans="2:14" ht="12.75">
      <c r="B12" s="14" t="s">
        <v>414</v>
      </c>
      <c r="C12">
        <v>2</v>
      </c>
      <c r="F12" s="24">
        <f t="shared" si="0"/>
        <v>2</v>
      </c>
      <c r="G12" s="24"/>
      <c r="H12" s="24"/>
      <c r="I12" s="24">
        <v>2</v>
      </c>
      <c r="J12" s="24">
        <f t="shared" si="1"/>
        <v>0</v>
      </c>
      <c r="K12" s="24"/>
      <c r="M12" s="24"/>
      <c r="N12" s="24"/>
    </row>
    <row r="13" spans="2:14" ht="13.5" thickBot="1">
      <c r="B13" s="14"/>
      <c r="F13" s="24"/>
      <c r="G13" s="24"/>
      <c r="H13" s="24"/>
      <c r="I13" s="24"/>
      <c r="J13" s="72"/>
      <c r="K13" s="24"/>
      <c r="M13" s="24"/>
      <c r="N13" s="24"/>
    </row>
    <row r="14" spans="1:14" ht="12.75">
      <c r="A14" s="73" t="s">
        <v>305</v>
      </c>
      <c r="B14" s="108" t="s">
        <v>879</v>
      </c>
      <c r="C14" s="73"/>
      <c r="D14" s="73">
        <v>25</v>
      </c>
      <c r="E14" s="73">
        <v>220</v>
      </c>
      <c r="F14" s="74">
        <f>SUM(C14:E14)</f>
        <v>245</v>
      </c>
      <c r="G14" s="74" t="s">
        <v>897</v>
      </c>
      <c r="H14" s="74"/>
      <c r="I14" s="74">
        <v>25</v>
      </c>
      <c r="J14" s="24">
        <f>F14-H14-I14</f>
        <v>220</v>
      </c>
      <c r="K14" s="24"/>
      <c r="M14" s="24"/>
      <c r="N14" s="24"/>
    </row>
    <row r="15" spans="2:14" ht="12.75">
      <c r="B15" s="14" t="s">
        <v>880</v>
      </c>
      <c r="C15">
        <v>1</v>
      </c>
      <c r="F15" s="24">
        <f>SUM(C15:E15)</f>
        <v>1</v>
      </c>
      <c r="G15" s="24"/>
      <c r="H15" s="24"/>
      <c r="I15" s="24">
        <v>1</v>
      </c>
      <c r="J15" s="24">
        <f>F15-H15-I15</f>
        <v>0</v>
      </c>
      <c r="K15" s="24"/>
      <c r="M15" s="24"/>
      <c r="N15" s="24"/>
    </row>
    <row r="16" spans="2:14" ht="12.75">
      <c r="B16" s="14" t="s">
        <v>306</v>
      </c>
      <c r="C16">
        <v>24</v>
      </c>
      <c r="F16" s="24">
        <f>SUM(C16:E16)</f>
        <v>24</v>
      </c>
      <c r="G16" s="24" t="s">
        <v>889</v>
      </c>
      <c r="H16" s="24">
        <v>24</v>
      </c>
      <c r="I16" s="24"/>
      <c r="J16" s="24">
        <f>F16-H16-I16</f>
        <v>0</v>
      </c>
      <c r="K16" s="24"/>
      <c r="M16" s="24"/>
      <c r="N16" s="24"/>
    </row>
    <row r="17" spans="2:14" ht="12.75">
      <c r="B17" s="14" t="s">
        <v>307</v>
      </c>
      <c r="C17">
        <v>4</v>
      </c>
      <c r="F17" s="24">
        <f>SUM(C17:E17)</f>
        <v>4</v>
      </c>
      <c r="G17" s="24"/>
      <c r="H17" s="24">
        <v>4</v>
      </c>
      <c r="I17" s="24"/>
      <c r="J17" s="24">
        <f>F17-H17-I17</f>
        <v>0</v>
      </c>
      <c r="K17" s="24"/>
      <c r="M17" s="24"/>
      <c r="N17" s="24"/>
    </row>
    <row r="18" spans="2:14" ht="12.75">
      <c r="B18" s="14"/>
      <c r="F18" s="24"/>
      <c r="G18" s="24"/>
      <c r="H18" s="24"/>
      <c r="I18" s="24"/>
      <c r="J18" s="24"/>
      <c r="K18" s="24"/>
      <c r="M18" s="24"/>
      <c r="N18" s="24"/>
    </row>
    <row r="19" spans="2:14" ht="13.5" thickBot="1">
      <c r="B19" s="14"/>
      <c r="F19" s="24"/>
      <c r="G19" s="24"/>
      <c r="H19" s="24"/>
      <c r="I19" s="24"/>
      <c r="J19" s="72"/>
      <c r="K19" s="24"/>
      <c r="M19" s="24"/>
      <c r="N19" s="24"/>
    </row>
    <row r="20" spans="1:14" ht="89.25">
      <c r="A20" s="73" t="s">
        <v>308</v>
      </c>
      <c r="B20" s="108" t="s">
        <v>309</v>
      </c>
      <c r="C20" s="73">
        <v>3</v>
      </c>
      <c r="D20" s="73"/>
      <c r="E20" s="73"/>
      <c r="F20" s="74"/>
      <c r="G20" s="109" t="s">
        <v>888</v>
      </c>
      <c r="H20" s="74"/>
      <c r="I20" s="74">
        <f>C20-H20</f>
        <v>3</v>
      </c>
      <c r="J20" s="24">
        <v>0</v>
      </c>
      <c r="K20" s="24"/>
      <c r="M20" s="24"/>
      <c r="N20" s="24"/>
    </row>
    <row r="21" spans="2:14" ht="12.75">
      <c r="B21" s="14" t="s">
        <v>885</v>
      </c>
      <c r="C21" t="s">
        <v>886</v>
      </c>
      <c r="F21" s="24"/>
      <c r="G21" s="24"/>
      <c r="H21" s="24"/>
      <c r="I21" s="24" t="s">
        <v>913</v>
      </c>
      <c r="J21" s="24">
        <v>0</v>
      </c>
      <c r="K21" s="24"/>
      <c r="M21" s="24"/>
      <c r="N21" s="24"/>
    </row>
    <row r="22" spans="2:14" ht="12.75">
      <c r="B22" s="14"/>
      <c r="F22" s="24"/>
      <c r="G22" s="24"/>
      <c r="H22" s="24"/>
      <c r="I22" s="24"/>
      <c r="J22" s="24"/>
      <c r="K22" s="24"/>
      <c r="M22" s="24"/>
      <c r="N22" s="24"/>
    </row>
    <row r="23" ht="12.75">
      <c r="N23" s="24"/>
    </row>
    <row r="24" ht="12.75">
      <c r="N24" s="24"/>
    </row>
    <row r="25" ht="12.75">
      <c r="N25" s="24"/>
    </row>
    <row r="26" ht="12.75">
      <c r="N26" s="24"/>
    </row>
    <row r="27" ht="12.75">
      <c r="N27" s="24"/>
    </row>
    <row r="28" ht="12.75">
      <c r="N28" s="24"/>
    </row>
    <row r="29" ht="12.75">
      <c r="N29" s="24"/>
    </row>
    <row r="30" ht="12.75">
      <c r="N30" s="24"/>
    </row>
    <row r="31" ht="12.75">
      <c r="N31" s="24"/>
    </row>
    <row r="32" ht="12.75">
      <c r="N32" s="24"/>
    </row>
    <row r="33" ht="12.75">
      <c r="N33" s="24"/>
    </row>
    <row r="34" ht="12.75">
      <c r="N34" s="24"/>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UW-Madison PSL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kkriesel</dc:creator>
  <cp:keywords/>
  <dc:description/>
  <cp:lastModifiedBy>chester</cp:lastModifiedBy>
  <cp:lastPrinted>2000-07-11T16:24:36Z</cp:lastPrinted>
  <dcterms:created xsi:type="dcterms:W3CDTF">1997-08-12T16:06:33Z</dcterms:created>
  <cp:category/>
  <cp:version/>
  <cp:contentType/>
  <cp:contentStatus/>
</cp:coreProperties>
</file>