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4940" windowHeight="8700" tabRatio="878" activeTab="9"/>
  </bookViews>
  <sheets>
    <sheet name="Data" sheetId="1" r:id="rId1"/>
    <sheet name="Multiplied Out" sheetId="2" r:id="rId2"/>
    <sheet name="Integral" sheetId="3" r:id="rId3"/>
    <sheet name="94&amp;97" sheetId="4" r:id="rId4"/>
    <sheet name="Ratio" sheetId="5" r:id="rId5"/>
    <sheet name="Ratio Graph" sheetId="6" r:id="rId6"/>
    <sheet name="Depth Correction" sheetId="7" r:id="rId7"/>
    <sheet name="Depth Graph" sheetId="8" r:id="rId8"/>
    <sheet name="Ar Attenuation" sheetId="9" r:id="rId9"/>
    <sheet name="Length" sheetId="10" r:id="rId10"/>
    <sheet name="Flux and Length" sheetId="11" r:id="rId11"/>
    <sheet name="BOTTOM LINE" sheetId="12" r:id="rId12"/>
    <sheet name="94 mu_+" sheetId="13" r:id="rId13"/>
    <sheet name="94 mu_-" sheetId="14" r:id="rId14"/>
    <sheet name="94" sheetId="15" r:id="rId15"/>
    <sheet name="97 mu_+" sheetId="16" r:id="rId16"/>
    <sheet name="97 mu_-" sheetId="17" r:id="rId17"/>
    <sheet name="97" sheetId="18" r:id="rId18"/>
  </sheets>
  <definedNames/>
  <calcPr fullCalcOnLoad="1"/>
</workbook>
</file>

<file path=xl/sharedStrings.xml><?xml version="1.0" encoding="utf-8"?>
<sst xmlns="http://schemas.openxmlformats.org/spreadsheetml/2006/main" count="740" uniqueCount="89">
  <si>
    <t>Momentum interval GeV/c</t>
  </si>
  <si>
    <t>Mean momentum GeV/c</t>
  </si>
  <si>
    <t>mu_+</t>
  </si>
  <si>
    <t>mu_-</t>
  </si>
  <si>
    <t>-</t>
  </si>
  <si>
    <t>±</t>
  </si>
  <si>
    <t>´</t>
  </si>
  <si>
    <t>(</t>
  </si>
  <si>
    <t>)</t>
  </si>
  <si>
    <t xml:space="preserve"> @atmospheric depth of 1000 g/cm^2                                   CAPRICE94 (GeV/c m^2 sr s)^-1</t>
  </si>
  <si>
    <t xml:space="preserve"> @atmospheric depth of 886 g/cm^2                                    CAPRICE94 (GeV/c m^2 sr s)^-1</t>
  </si>
  <si>
    <t xml:space="preserve"> @atmospheric depth of 1000 g/cm^2 CAPRICE94 (GeV/c m^2 sr s)^-1 Combined</t>
  </si>
  <si>
    <t xml:space="preserve"> @atmospheric depth of 886 g/cm^2 CAPRICE97 (GeV/c m^2 sr s)^-1 Combined</t>
  </si>
  <si>
    <t xml:space="preserve"> @atmospheric depth of 886 g/cm^2                                    CAPRICE97 (GeV/c m^2 sr s)^-1</t>
  </si>
  <si>
    <t xml:space="preserve"> @atmospheric depth of 886 g/cm^2 CAPRICE97 (GeV/c m^2 sr s)^-1</t>
  </si>
  <si>
    <t xml:space="preserve"> @atmospheric depth of 1000 g/cm^2 CAPRICE94</t>
  </si>
  <si>
    <t>mu_+ (GeV/c m^2 sr s)^-1</t>
  </si>
  <si>
    <t>mu_- (GeV/c m^2 sr s)^-1</t>
  </si>
  <si>
    <t>Combined (GeV/c m^2 sr s)^-1</t>
  </si>
  <si>
    <t xml:space="preserve"> @atmospheric depth of 1000 g/cm^2 CAPRICE94 Combined</t>
  </si>
  <si>
    <t xml:space="preserve"> @atmospheric depth of 886 g/cm^2 CAPRICE97 Combined</t>
  </si>
  <si>
    <t>mu_+ Integral (m^2 sr s)^-1</t>
  </si>
  <si>
    <t>mu_- Integral (m^2 sr s)^-1</t>
  </si>
  <si>
    <t>Integral (m^2 sr s)^-1</t>
  </si>
  <si>
    <t>Data have been multiplied by factor given in original table</t>
  </si>
  <si>
    <t>Note that this point has been ADDED to the data so that the graphs/integral make more sense,</t>
  </si>
  <si>
    <t>it is not part of the original data</t>
  </si>
  <si>
    <t>Data from Kremer et al., "Measurements of Ground-Level Muons at Two Geomagnetic Locations," PRL 1999, Vol 83, No. 21, pp. 4241</t>
  </si>
  <si>
    <t>Ratio of Integrals; 97/94</t>
  </si>
  <si>
    <t>AVERAGE:</t>
  </si>
  <si>
    <t>Integrals</t>
  </si>
  <si>
    <t>Location Data</t>
  </si>
  <si>
    <t>Altitude (m)</t>
  </si>
  <si>
    <t>Depth (g/cm^2)</t>
  </si>
  <si>
    <t>Ratio (97/94)</t>
  </si>
  <si>
    <t>Ratio (94/97)</t>
  </si>
  <si>
    <t>&gt;10 GeV</t>
  </si>
  <si>
    <t>&gt;31.1 GeV</t>
  </si>
  <si>
    <t>&gt;1.0 GeV</t>
  </si>
  <si>
    <t>&gt;4.12 GeV</t>
  </si>
  <si>
    <t>% Difference (97/94)</t>
  </si>
  <si>
    <t>p (MeV/c)</t>
  </si>
  <si>
    <t>Density dependent dE/dx (MeV cm^2/g)</t>
  </si>
  <si>
    <t>True dE/dx (MeV/cm)</t>
  </si>
  <si>
    <t>Total distance from energy (cm)</t>
  </si>
  <si>
    <t>Less than 40m?</t>
  </si>
  <si>
    <t xml:space="preserve">Less than 40*SQRT(2)= 57m? </t>
  </si>
  <si>
    <t>Integral Executed by Rectangular Method</t>
  </si>
  <si>
    <t>From "Atomic Nuclear Properties: Table 289: Muons in liquid argon"</t>
  </si>
  <si>
    <t>Mean Track Length Over Bin (m)</t>
  </si>
  <si>
    <t>94 Integral Flux AT VALUE (m^2 sr s)^-1</t>
  </si>
  <si>
    <t>97 Integral Flux AT VALUE (m^2 sr s)^-1</t>
  </si>
  <si>
    <t>94 Integral Flux at value (m^2 sr s)^-1</t>
  </si>
  <si>
    <t>97 Integral flux at value(m^2 sr s)^-1</t>
  </si>
  <si>
    <t>94 Total Length Over Bin per Area per second per Solid Angle (m sr s)^-1</t>
  </si>
  <si>
    <t>97 Total Length Over Bin per Area per second per Solid Angle (m sr s)^-1</t>
  </si>
  <si>
    <t>94 Total Length Over Bin thru 40m diameter top per second per solid angle m(sr s)^-1</t>
  </si>
  <si>
    <t>94 Integral GeV/c(m sr s)^-1</t>
  </si>
  <si>
    <t>97 Integral GeV/c(m sr s)^-1</t>
  </si>
  <si>
    <t>94 Integral thru top GeV/c(m sr s)^-1</t>
  </si>
  <si>
    <t>97 Integral thru top GeV/c(m sr s)^-1</t>
  </si>
  <si>
    <t>94 attenuation factor</t>
  </si>
  <si>
    <t>97 attenuation factor</t>
  </si>
  <si>
    <t>97/94 to fix 94</t>
  </si>
  <si>
    <t>Fixed 94</t>
  </si>
  <si>
    <t>attenuation length (g/cm^2)</t>
  </si>
  <si>
    <r>
      <t>Atmospheric depth corrected for 0.3&lt;p&lt;8 GeV/c by Attenuation Length (g/cm^2) = (269</t>
    </r>
    <r>
      <rPr>
        <sz val="20"/>
        <rFont val="Symbol"/>
        <family val="1"/>
      </rPr>
      <t>±</t>
    </r>
    <r>
      <rPr>
        <sz val="20"/>
        <rFont val="Arial"/>
        <family val="0"/>
      </rPr>
      <t>17)+(180</t>
    </r>
    <r>
      <rPr>
        <sz val="20"/>
        <rFont val="Symbol"/>
        <family val="1"/>
      </rPr>
      <t>±</t>
    </r>
    <r>
      <rPr>
        <sz val="20"/>
        <rFont val="Arial"/>
        <family val="0"/>
      </rPr>
      <t>17)*p [M. Boezio]</t>
    </r>
  </si>
  <si>
    <t>T (MeV)</t>
  </si>
  <si>
    <t>94 Differential Flux dN/dP;(GeV/c m^2 sr s)-1</t>
  </si>
  <si>
    <t>97 Differential Flux dN/dP;(GeV/c m^2 sr s)-1</t>
  </si>
  <si>
    <t>dx/dE</t>
  </si>
  <si>
    <t>x (cm) to lower level as trapezoidal Integral of (dx/dE)*dE</t>
  </si>
  <si>
    <t>Total distance from energy; x(p or E); (m)</t>
  </si>
  <si>
    <t>97 (dN*x(p))/dp</t>
  </si>
  <si>
    <t>94 (dN*x(p))/dp</t>
  </si>
  <si>
    <t>94 N*x(p) from zero to p</t>
  </si>
  <si>
    <t>97 N*x(p) from zero to p</t>
  </si>
  <si>
    <t>Negative range of a bin (GeV/c)</t>
  </si>
  <si>
    <t>Positive range of a bin (GeV/c)</t>
  </si>
  <si>
    <t>Italic rows represent least-squares quadratic interpolated 'Mean Track…' with respect to surrounding 'Mean momentum…' and 'Mean Track…'</t>
  </si>
  <si>
    <t>Bold row 'Mean Track…' is calculated by a linear fit between the 1.5 GeV/c and 2.1 GeV/c from Table 289 calculations</t>
  </si>
  <si>
    <t>Calculations with respect to Integral Flux:</t>
  </si>
  <si>
    <t>Calculations with respect to Differential Flux:</t>
  </si>
  <si>
    <t>Data Set</t>
  </si>
  <si>
    <t>Total N</t>
  </si>
  <si>
    <t>Total N*x(p)</t>
  </si>
  <si>
    <t>The Bottom Line:</t>
  </si>
  <si>
    <t>Averages:</t>
  </si>
  <si>
    <t>Average x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</si>
</sst>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  <numFmt numFmtId="167" formatCode="0.00000"/>
    <numFmt numFmtId="168" formatCode="0.000000"/>
    <numFmt numFmtId="169" formatCode="0.0000000"/>
    <numFmt numFmtId="170" formatCode="0.00000000"/>
    <numFmt numFmtId="171" formatCode="0.000000000"/>
    <numFmt numFmtId="172" formatCode="0.0000000000"/>
    <numFmt numFmtId="173" formatCode="0.00000000000"/>
    <numFmt numFmtId="174" formatCode="0.E+00"/>
    <numFmt numFmtId="175" formatCode="0.0.E+00"/>
  </numFmts>
  <fonts count="14">
    <font>
      <sz val="10"/>
      <name val="Arial"/>
      <family val="0"/>
    </font>
    <font>
      <sz val="8"/>
      <name val="Arial"/>
      <family val="0"/>
    </font>
    <font>
      <sz val="10"/>
      <name val="Symbol"/>
      <family val="1"/>
    </font>
    <font>
      <b/>
      <sz val="12"/>
      <name val="Arial"/>
      <family val="0"/>
    </font>
    <font>
      <b/>
      <sz val="10"/>
      <name val="Arial"/>
      <family val="0"/>
    </font>
    <font>
      <sz val="20"/>
      <name val="Arial"/>
      <family val="0"/>
    </font>
    <font>
      <sz val="1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sz val="20"/>
      <name val="Symbol"/>
      <family val="1"/>
    </font>
    <font>
      <sz val="16"/>
      <name val="Arial"/>
      <family val="0"/>
    </font>
    <font>
      <sz val="26"/>
      <name val="Arial"/>
      <family val="0"/>
    </font>
    <font>
      <b/>
      <sz val="2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/>
    </xf>
    <xf numFmtId="0" fontId="2" fillId="0" borderId="4" xfId="0" applyFont="1" applyBorder="1" applyAlignment="1">
      <alignment/>
    </xf>
    <xf numFmtId="2" fontId="0" fillId="0" borderId="3" xfId="0" applyNumberFormat="1" applyBorder="1" applyAlignment="1">
      <alignment/>
    </xf>
    <xf numFmtId="165" fontId="0" fillId="0" borderId="3" xfId="0" applyNumberFormat="1" applyBorder="1" applyAlignment="1">
      <alignment/>
    </xf>
    <xf numFmtId="0" fontId="0" fillId="0" borderId="5" xfId="0" applyBorder="1" applyAlignment="1">
      <alignment horizontal="left"/>
    </xf>
    <xf numFmtId="2" fontId="0" fillId="0" borderId="4" xfId="0" applyNumberFormat="1" applyBorder="1" applyAlignment="1">
      <alignment/>
    </xf>
    <xf numFmtId="165" fontId="0" fillId="0" borderId="4" xfId="0" applyNumberFormat="1" applyBorder="1" applyAlignment="1">
      <alignment/>
    </xf>
    <xf numFmtId="0" fontId="0" fillId="0" borderId="4" xfId="0" applyFill="1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4" xfId="0" applyBorder="1" applyAlignment="1">
      <alignment horizontal="left"/>
    </xf>
    <xf numFmtId="2" fontId="0" fillId="0" borderId="5" xfId="0" applyNumberFormat="1" applyBorder="1" applyAlignment="1">
      <alignment horizontal="left"/>
    </xf>
    <xf numFmtId="165" fontId="0" fillId="0" borderId="5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2" fontId="0" fillId="0" borderId="0" xfId="0" applyNumberFormat="1" applyBorder="1" applyAlignment="1">
      <alignment horizontal="left"/>
    </xf>
    <xf numFmtId="2" fontId="0" fillId="0" borderId="0" xfId="0" applyNumberFormat="1" applyBorder="1" applyAlignment="1">
      <alignment/>
    </xf>
    <xf numFmtId="165" fontId="0" fillId="0" borderId="0" xfId="0" applyNumberFormat="1" applyBorder="1" applyAlignment="1">
      <alignment horizontal="left"/>
    </xf>
    <xf numFmtId="165" fontId="0" fillId="0" borderId="0" xfId="0" applyNumberForma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6" xfId="0" applyBorder="1" applyAlignment="1">
      <alignment wrapText="1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right"/>
    </xf>
    <xf numFmtId="0" fontId="4" fillId="0" borderId="6" xfId="0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 wrapText="1"/>
    </xf>
    <xf numFmtId="2" fontId="0" fillId="0" borderId="4" xfId="0" applyNumberFormat="1" applyBorder="1" applyAlignment="1">
      <alignment horizontal="left"/>
    </xf>
    <xf numFmtId="165" fontId="0" fillId="0" borderId="4" xfId="0" applyNumberFormat="1" applyBorder="1" applyAlignment="1">
      <alignment horizontal="left"/>
    </xf>
    <xf numFmtId="0" fontId="0" fillId="0" borderId="9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2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1" fontId="0" fillId="0" borderId="6" xfId="0" applyNumberFormat="1" applyBorder="1" applyAlignment="1">
      <alignment horizontal="center" wrapText="1"/>
    </xf>
    <xf numFmtId="0" fontId="0" fillId="0" borderId="3" xfId="0" applyBorder="1" applyAlignment="1">
      <alignment horizontal="right" wrapText="1"/>
    </xf>
    <xf numFmtId="0" fontId="0" fillId="0" borderId="5" xfId="0" applyBorder="1" applyAlignment="1">
      <alignment horizontal="left" wrapText="1"/>
    </xf>
    <xf numFmtId="0" fontId="0" fillId="0" borderId="10" xfId="0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0" fontId="0" fillId="0" borderId="3" xfId="0" applyNumberFormat="1" applyBorder="1" applyAlignment="1">
      <alignment/>
    </xf>
    <xf numFmtId="10" fontId="0" fillId="0" borderId="5" xfId="0" applyNumberFormat="1" applyBorder="1" applyAlignment="1">
      <alignment horizontal="left"/>
    </xf>
    <xf numFmtId="0" fontId="5" fillId="0" borderId="2" xfId="0" applyFont="1" applyBorder="1" applyAlignment="1">
      <alignment/>
    </xf>
    <xf numFmtId="0" fontId="0" fillId="0" borderId="2" xfId="0" applyBorder="1" applyAlignment="1">
      <alignment wrapText="1"/>
    </xf>
    <xf numFmtId="175" fontId="0" fillId="0" borderId="6" xfId="0" applyNumberFormat="1" applyBorder="1" applyAlignment="1">
      <alignment horizontal="center" wrapText="1"/>
    </xf>
    <xf numFmtId="11" fontId="0" fillId="0" borderId="6" xfId="0" applyNumberForma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0" fillId="0" borderId="8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6" xfId="0" applyFill="1" applyBorder="1" applyAlignment="1">
      <alignment wrapText="1"/>
    </xf>
    <xf numFmtId="0" fontId="0" fillId="0" borderId="6" xfId="0" applyBorder="1" applyAlignment="1">
      <alignment horizontal="left"/>
    </xf>
    <xf numFmtId="2" fontId="0" fillId="0" borderId="6" xfId="0" applyNumberFormat="1" applyBorder="1" applyAlignment="1">
      <alignment horizontal="left"/>
    </xf>
    <xf numFmtId="2" fontId="0" fillId="0" borderId="6" xfId="0" applyNumberFormat="1" applyBorder="1" applyAlignment="1">
      <alignment/>
    </xf>
    <xf numFmtId="165" fontId="0" fillId="0" borderId="6" xfId="0" applyNumberFormat="1" applyBorder="1" applyAlignment="1">
      <alignment horizontal="left"/>
    </xf>
    <xf numFmtId="165" fontId="0" fillId="0" borderId="6" xfId="0" applyNumberFormat="1" applyBorder="1" applyAlignment="1">
      <alignment/>
    </xf>
    <xf numFmtId="0" fontId="0" fillId="0" borderId="6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9" fillId="0" borderId="3" xfId="0" applyFont="1" applyBorder="1" applyAlignment="1">
      <alignment/>
    </xf>
    <xf numFmtId="0" fontId="9" fillId="0" borderId="4" xfId="0" applyFont="1" applyBorder="1" applyAlignment="1">
      <alignment horizontal="center"/>
    </xf>
    <xf numFmtId="2" fontId="9" fillId="0" borderId="5" xfId="0" applyNumberFormat="1" applyFont="1" applyBorder="1" applyAlignment="1">
      <alignment horizontal="left"/>
    </xf>
    <xf numFmtId="0" fontId="9" fillId="0" borderId="6" xfId="0" applyFont="1" applyBorder="1" applyAlignment="1">
      <alignment horizontal="center"/>
    </xf>
    <xf numFmtId="0" fontId="9" fillId="0" borderId="6" xfId="0" applyFont="1" applyBorder="1" applyAlignment="1">
      <alignment wrapText="1"/>
    </xf>
    <xf numFmtId="0" fontId="9" fillId="0" borderId="0" xfId="0" applyFont="1" applyAlignment="1">
      <alignment wrapText="1"/>
    </xf>
    <xf numFmtId="2" fontId="9" fillId="0" borderId="3" xfId="0" applyNumberFormat="1" applyFont="1" applyBorder="1" applyAlignment="1">
      <alignment/>
    </xf>
    <xf numFmtId="0" fontId="9" fillId="0" borderId="5" xfId="0" applyFont="1" applyBorder="1" applyAlignment="1">
      <alignment horizontal="left"/>
    </xf>
    <xf numFmtId="165" fontId="9" fillId="0" borderId="5" xfId="0" applyNumberFormat="1" applyFont="1" applyBorder="1" applyAlignment="1">
      <alignment horizontal="left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 horizontal="center"/>
    </xf>
    <xf numFmtId="165" fontId="4" fillId="0" borderId="5" xfId="0" applyNumberFormat="1" applyFont="1" applyBorder="1" applyAlignment="1">
      <alignment horizontal="left"/>
    </xf>
    <xf numFmtId="0" fontId="4" fillId="0" borderId="6" xfId="0" applyFont="1" applyBorder="1" applyAlignment="1">
      <alignment wrapText="1"/>
    </xf>
    <xf numFmtId="0" fontId="4" fillId="0" borderId="0" xfId="0" applyFont="1" applyAlignment="1">
      <alignment wrapText="1"/>
    </xf>
    <xf numFmtId="165" fontId="9" fillId="0" borderId="3" xfId="0" applyNumberFormat="1" applyFont="1" applyBorder="1" applyAlignment="1">
      <alignment/>
    </xf>
    <xf numFmtId="0" fontId="9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>
      <alignment/>
    </xf>
    <xf numFmtId="0" fontId="4" fillId="0" borderId="0" xfId="0" applyFont="1" applyAlignment="1">
      <alignment horizontal="left"/>
    </xf>
    <xf numFmtId="0" fontId="12" fillId="0" borderId="2" xfId="0" applyFont="1" applyBorder="1" applyAlignment="1">
      <alignment horizontal="left"/>
    </xf>
    <xf numFmtId="0" fontId="5" fillId="0" borderId="6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13" fillId="0" borderId="6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chartsheet" Target="chartsheets/sheet3.xml" /><Relationship Id="rId9" Type="http://schemas.openxmlformats.org/officeDocument/2006/relationships/worksheet" Target="worksheets/sheet6.xml" /><Relationship Id="rId10" Type="http://schemas.openxmlformats.org/officeDocument/2006/relationships/chartsheet" Target="chartsheets/sheet4.xml" /><Relationship Id="rId11" Type="http://schemas.openxmlformats.org/officeDocument/2006/relationships/chartsheet" Target="chartsheets/sheet5.xml" /><Relationship Id="rId12" Type="http://schemas.openxmlformats.org/officeDocument/2006/relationships/worksheet" Target="worksheets/sheet7.xml" /><Relationship Id="rId13" Type="http://schemas.openxmlformats.org/officeDocument/2006/relationships/chartsheet" Target="chartsheets/sheet6.xml" /><Relationship Id="rId14" Type="http://schemas.openxmlformats.org/officeDocument/2006/relationships/chartsheet" Target="chartsheets/sheet7.xml" /><Relationship Id="rId15" Type="http://schemas.openxmlformats.org/officeDocument/2006/relationships/chartsheet" Target="chartsheets/sheet8.xml" /><Relationship Id="rId16" Type="http://schemas.openxmlformats.org/officeDocument/2006/relationships/chartsheet" Target="chartsheets/sheet9.xml" /><Relationship Id="rId17" Type="http://schemas.openxmlformats.org/officeDocument/2006/relationships/chartsheet" Target="chartsheets/sheet10.xml" /><Relationship Id="rId18" Type="http://schemas.openxmlformats.org/officeDocument/2006/relationships/chartsheet" Target="chartsheets/sheet11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CAPRICE 94&amp;97 all data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0525"/>
          <c:w val="0.8695"/>
          <c:h val="0.8395"/>
        </c:manualLayout>
      </c:layout>
      <c:scatterChart>
        <c:scatterStyle val="lineMarker"/>
        <c:varyColors val="0"/>
        <c:ser>
          <c:idx val="0"/>
          <c:order val="0"/>
          <c:tx>
            <c:v>94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'Multiplied Out'!$D$30:$D$51</c:f>
              <c:numCache>
                <c:ptCount val="22"/>
                <c:pt idx="0">
                  <c:v>0.25</c:v>
                </c:pt>
                <c:pt idx="1">
                  <c:v>0.35</c:v>
                </c:pt>
                <c:pt idx="2">
                  <c:v>0.47</c:v>
                </c:pt>
                <c:pt idx="3">
                  <c:v>0.62</c:v>
                </c:pt>
                <c:pt idx="4">
                  <c:v>0.78</c:v>
                </c:pt>
                <c:pt idx="5">
                  <c:v>0.92</c:v>
                </c:pt>
                <c:pt idx="6">
                  <c:v>1.1</c:v>
                </c:pt>
                <c:pt idx="7">
                  <c:v>1.2999999999999998</c:v>
                </c:pt>
                <c:pt idx="8">
                  <c:v>1.5</c:v>
                </c:pt>
                <c:pt idx="9">
                  <c:v>1.84</c:v>
                </c:pt>
                <c:pt idx="10">
                  <c:v>2.49</c:v>
                </c:pt>
                <c:pt idx="11">
                  <c:v>3.49</c:v>
                </c:pt>
                <c:pt idx="12">
                  <c:v>4.78</c:v>
                </c:pt>
                <c:pt idx="13">
                  <c:v>6.21</c:v>
                </c:pt>
                <c:pt idx="14">
                  <c:v>8.37</c:v>
                </c:pt>
                <c:pt idx="15">
                  <c:v>12.42</c:v>
                </c:pt>
                <c:pt idx="16">
                  <c:v>18.85</c:v>
                </c:pt>
                <c:pt idx="17">
                  <c:v>26.68</c:v>
                </c:pt>
                <c:pt idx="18">
                  <c:v>36.69</c:v>
                </c:pt>
                <c:pt idx="19">
                  <c:v>51.47</c:v>
                </c:pt>
                <c:pt idx="20">
                  <c:v>72.08</c:v>
                </c:pt>
                <c:pt idx="21">
                  <c:v>100.96</c:v>
                </c:pt>
              </c:numCache>
            </c:numRef>
          </c:xVal>
          <c:yVal>
            <c:numRef>
              <c:f>'Multiplied Out'!$E$30:$E$51</c:f>
              <c:numCache>
                <c:ptCount val="22"/>
                <c:pt idx="0">
                  <c:v>25</c:v>
                </c:pt>
                <c:pt idx="1">
                  <c:v>30.400000000000002</c:v>
                </c:pt>
                <c:pt idx="2">
                  <c:v>31.599999999999998</c:v>
                </c:pt>
                <c:pt idx="3">
                  <c:v>30.099999999999998</c:v>
                </c:pt>
                <c:pt idx="4">
                  <c:v>28.900000000000002</c:v>
                </c:pt>
                <c:pt idx="5">
                  <c:v>26.9</c:v>
                </c:pt>
                <c:pt idx="6">
                  <c:v>24</c:v>
                </c:pt>
                <c:pt idx="7">
                  <c:v>22.1</c:v>
                </c:pt>
                <c:pt idx="8">
                  <c:v>18.9</c:v>
                </c:pt>
                <c:pt idx="9">
                  <c:v>16.4</c:v>
                </c:pt>
                <c:pt idx="10">
                  <c:v>11.8</c:v>
                </c:pt>
                <c:pt idx="11">
                  <c:v>7.5</c:v>
                </c:pt>
                <c:pt idx="12">
                  <c:v>4.51</c:v>
                </c:pt>
                <c:pt idx="13">
                  <c:v>2.8600000000000003</c:v>
                </c:pt>
                <c:pt idx="14">
                  <c:v>1.59</c:v>
                </c:pt>
                <c:pt idx="15">
                  <c:v>0.698</c:v>
                </c:pt>
                <c:pt idx="16">
                  <c:v>0.246</c:v>
                </c:pt>
                <c:pt idx="17">
                  <c:v>0.109</c:v>
                </c:pt>
                <c:pt idx="18">
                  <c:v>0.047</c:v>
                </c:pt>
                <c:pt idx="19">
                  <c:v>0.017</c:v>
                </c:pt>
                <c:pt idx="20">
                  <c:v>0.0066</c:v>
                </c:pt>
                <c:pt idx="21">
                  <c:v>0.0026</c:v>
                </c:pt>
              </c:numCache>
            </c:numRef>
          </c:yVal>
          <c:smooth val="0"/>
        </c:ser>
        <c:ser>
          <c:idx val="1"/>
          <c:order val="1"/>
          <c:tx>
            <c:v>97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'Multiplied Out'!$D$30:$D$51</c:f>
              <c:numCache>
                <c:ptCount val="22"/>
                <c:pt idx="0">
                  <c:v>0.25</c:v>
                </c:pt>
                <c:pt idx="1">
                  <c:v>0.35</c:v>
                </c:pt>
                <c:pt idx="2">
                  <c:v>0.47</c:v>
                </c:pt>
                <c:pt idx="3">
                  <c:v>0.62</c:v>
                </c:pt>
                <c:pt idx="4">
                  <c:v>0.78</c:v>
                </c:pt>
                <c:pt idx="5">
                  <c:v>0.92</c:v>
                </c:pt>
                <c:pt idx="6">
                  <c:v>1.1</c:v>
                </c:pt>
                <c:pt idx="7">
                  <c:v>1.2999999999999998</c:v>
                </c:pt>
                <c:pt idx="8">
                  <c:v>1.5</c:v>
                </c:pt>
                <c:pt idx="9">
                  <c:v>1.84</c:v>
                </c:pt>
                <c:pt idx="10">
                  <c:v>2.49</c:v>
                </c:pt>
                <c:pt idx="11">
                  <c:v>3.49</c:v>
                </c:pt>
                <c:pt idx="12">
                  <c:v>4.78</c:v>
                </c:pt>
                <c:pt idx="13">
                  <c:v>6.21</c:v>
                </c:pt>
                <c:pt idx="14">
                  <c:v>8.37</c:v>
                </c:pt>
                <c:pt idx="15">
                  <c:v>12.42</c:v>
                </c:pt>
                <c:pt idx="16">
                  <c:v>18.85</c:v>
                </c:pt>
                <c:pt idx="17">
                  <c:v>26.68</c:v>
                </c:pt>
                <c:pt idx="18">
                  <c:v>36.69</c:v>
                </c:pt>
                <c:pt idx="19">
                  <c:v>51.47</c:v>
                </c:pt>
                <c:pt idx="20">
                  <c:v>72.08</c:v>
                </c:pt>
                <c:pt idx="21">
                  <c:v>100.96</c:v>
                </c:pt>
              </c:numCache>
            </c:numRef>
          </c:xVal>
          <c:yVal>
            <c:numRef>
              <c:f>'Multiplied Out'!$F$30:$F$51</c:f>
              <c:numCache>
                <c:ptCount val="22"/>
                <c:pt idx="0">
                  <c:v>22.700000000000003</c:v>
                </c:pt>
                <c:pt idx="1">
                  <c:v>32.2</c:v>
                </c:pt>
                <c:pt idx="2">
                  <c:v>38.199999999999996</c:v>
                </c:pt>
                <c:pt idx="3">
                  <c:v>39.800000000000004</c:v>
                </c:pt>
                <c:pt idx="4">
                  <c:v>38</c:v>
                </c:pt>
                <c:pt idx="5">
                  <c:v>35.599999999999994</c:v>
                </c:pt>
                <c:pt idx="6">
                  <c:v>32.5</c:v>
                </c:pt>
                <c:pt idx="7">
                  <c:v>28.3</c:v>
                </c:pt>
                <c:pt idx="8">
                  <c:v>25.3</c:v>
                </c:pt>
                <c:pt idx="9">
                  <c:v>19.2</c:v>
                </c:pt>
                <c:pt idx="10">
                  <c:v>12.7</c:v>
                </c:pt>
                <c:pt idx="11">
                  <c:v>8.66</c:v>
                </c:pt>
                <c:pt idx="12">
                  <c:v>5.25</c:v>
                </c:pt>
                <c:pt idx="13">
                  <c:v>3.1500000000000004</c:v>
                </c:pt>
                <c:pt idx="14">
                  <c:v>1.8</c:v>
                </c:pt>
                <c:pt idx="15">
                  <c:v>0.734</c:v>
                </c:pt>
                <c:pt idx="16">
                  <c:v>0.27</c:v>
                </c:pt>
                <c:pt idx="17">
                  <c:v>0.109</c:v>
                </c:pt>
                <c:pt idx="18">
                  <c:v>0.048299999999999996</c:v>
                </c:pt>
                <c:pt idx="19">
                  <c:v>0.0179</c:v>
                </c:pt>
                <c:pt idx="20">
                  <c:v>0.0074</c:v>
                </c:pt>
                <c:pt idx="21">
                  <c:v>0.0026</c:v>
                </c:pt>
              </c:numCache>
            </c:numRef>
          </c:yVal>
          <c:smooth val="0"/>
        </c:ser>
        <c:axId val="66740504"/>
        <c:axId val="63793625"/>
      </c:scatterChart>
      <c:scatterChart>
        <c:scatterStyle val="lineMarker"/>
        <c:varyColors val="0"/>
        <c:ser>
          <c:idx val="2"/>
          <c:order val="2"/>
          <c:tx>
            <c:v>94 integral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Integral!$D$31:$D$52</c:f>
              <c:numCache>
                <c:ptCount val="22"/>
                <c:pt idx="0">
                  <c:v>0.25</c:v>
                </c:pt>
                <c:pt idx="1">
                  <c:v>0.35</c:v>
                </c:pt>
                <c:pt idx="2">
                  <c:v>0.47</c:v>
                </c:pt>
                <c:pt idx="3">
                  <c:v>0.62</c:v>
                </c:pt>
                <c:pt idx="4">
                  <c:v>0.78</c:v>
                </c:pt>
                <c:pt idx="5">
                  <c:v>0.92</c:v>
                </c:pt>
                <c:pt idx="6">
                  <c:v>1.1</c:v>
                </c:pt>
                <c:pt idx="7">
                  <c:v>1.2999999999999998</c:v>
                </c:pt>
                <c:pt idx="8">
                  <c:v>1.5</c:v>
                </c:pt>
                <c:pt idx="9">
                  <c:v>1.84</c:v>
                </c:pt>
                <c:pt idx="10">
                  <c:v>2.49</c:v>
                </c:pt>
                <c:pt idx="11">
                  <c:v>3.49</c:v>
                </c:pt>
                <c:pt idx="12">
                  <c:v>4.78</c:v>
                </c:pt>
                <c:pt idx="13">
                  <c:v>6.21</c:v>
                </c:pt>
                <c:pt idx="14">
                  <c:v>8.37</c:v>
                </c:pt>
                <c:pt idx="15">
                  <c:v>12.42</c:v>
                </c:pt>
                <c:pt idx="16">
                  <c:v>18.85</c:v>
                </c:pt>
                <c:pt idx="17">
                  <c:v>26.68</c:v>
                </c:pt>
                <c:pt idx="18">
                  <c:v>36.69</c:v>
                </c:pt>
                <c:pt idx="19">
                  <c:v>51.47</c:v>
                </c:pt>
                <c:pt idx="20">
                  <c:v>72.08</c:v>
                </c:pt>
                <c:pt idx="21">
                  <c:v>100.96</c:v>
                </c:pt>
              </c:numCache>
            </c:numRef>
          </c:xVal>
          <c:yVal>
            <c:numRef>
              <c:f>Integral!$F$31:$F$52</c:f>
              <c:numCache>
                <c:ptCount val="22"/>
                <c:pt idx="0">
                  <c:v>2.4999999999999996</c:v>
                </c:pt>
                <c:pt idx="1">
                  <c:v>5.540000000000001</c:v>
                </c:pt>
                <c:pt idx="2">
                  <c:v>10.280000000000001</c:v>
                </c:pt>
                <c:pt idx="3">
                  <c:v>14.794999999999998</c:v>
                </c:pt>
                <c:pt idx="4">
                  <c:v>19.13</c:v>
                </c:pt>
                <c:pt idx="5">
                  <c:v>23.165</c:v>
                </c:pt>
                <c:pt idx="6">
                  <c:v>27.964999999999996</c:v>
                </c:pt>
                <c:pt idx="7">
                  <c:v>32.385</c:v>
                </c:pt>
                <c:pt idx="8">
                  <c:v>36.165</c:v>
                </c:pt>
                <c:pt idx="9">
                  <c:v>44.364999999999995</c:v>
                </c:pt>
                <c:pt idx="10">
                  <c:v>54.276999999999994</c:v>
                </c:pt>
                <c:pt idx="11">
                  <c:v>63.126999999999995</c:v>
                </c:pt>
                <c:pt idx="12">
                  <c:v>69.35079999999999</c:v>
                </c:pt>
                <c:pt idx="13">
                  <c:v>73.6408</c:v>
                </c:pt>
                <c:pt idx="14">
                  <c:v>78.4108</c:v>
                </c:pt>
                <c:pt idx="15">
                  <c:v>82.2498</c:v>
                </c:pt>
                <c:pt idx="16">
                  <c:v>84.09479999999999</c:v>
                </c:pt>
                <c:pt idx="17">
                  <c:v>84.9777</c:v>
                </c:pt>
                <c:pt idx="18">
                  <c:v>85.5652</c:v>
                </c:pt>
                <c:pt idx="19">
                  <c:v>85.8627</c:v>
                </c:pt>
                <c:pt idx="20">
                  <c:v>86.0244</c:v>
                </c:pt>
                <c:pt idx="21">
                  <c:v>86.11384</c:v>
                </c:pt>
              </c:numCache>
            </c:numRef>
          </c:yVal>
          <c:smooth val="0"/>
        </c:ser>
        <c:ser>
          <c:idx val="3"/>
          <c:order val="3"/>
          <c:tx>
            <c:v>97 integral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Integral!$D$31:$D$52</c:f>
              <c:numCache>
                <c:ptCount val="22"/>
                <c:pt idx="0">
                  <c:v>0.25</c:v>
                </c:pt>
                <c:pt idx="1">
                  <c:v>0.35</c:v>
                </c:pt>
                <c:pt idx="2">
                  <c:v>0.47</c:v>
                </c:pt>
                <c:pt idx="3">
                  <c:v>0.62</c:v>
                </c:pt>
                <c:pt idx="4">
                  <c:v>0.78</c:v>
                </c:pt>
                <c:pt idx="5">
                  <c:v>0.92</c:v>
                </c:pt>
                <c:pt idx="6">
                  <c:v>1.1</c:v>
                </c:pt>
                <c:pt idx="7">
                  <c:v>1.2999999999999998</c:v>
                </c:pt>
                <c:pt idx="8">
                  <c:v>1.5</c:v>
                </c:pt>
                <c:pt idx="9">
                  <c:v>1.84</c:v>
                </c:pt>
                <c:pt idx="10">
                  <c:v>2.49</c:v>
                </c:pt>
                <c:pt idx="11">
                  <c:v>3.49</c:v>
                </c:pt>
                <c:pt idx="12">
                  <c:v>4.78</c:v>
                </c:pt>
                <c:pt idx="13">
                  <c:v>6.21</c:v>
                </c:pt>
                <c:pt idx="14">
                  <c:v>8.37</c:v>
                </c:pt>
                <c:pt idx="15">
                  <c:v>12.42</c:v>
                </c:pt>
                <c:pt idx="16">
                  <c:v>18.85</c:v>
                </c:pt>
                <c:pt idx="17">
                  <c:v>26.68</c:v>
                </c:pt>
                <c:pt idx="18">
                  <c:v>36.69</c:v>
                </c:pt>
                <c:pt idx="19">
                  <c:v>51.47</c:v>
                </c:pt>
                <c:pt idx="20">
                  <c:v>72.08</c:v>
                </c:pt>
                <c:pt idx="21">
                  <c:v>100.96</c:v>
                </c:pt>
              </c:numCache>
            </c:numRef>
          </c:xVal>
          <c:yVal>
            <c:numRef>
              <c:f>Integral!$H$31:$H$52</c:f>
              <c:numCache>
                <c:ptCount val="22"/>
                <c:pt idx="0">
                  <c:v>2.2699999999999996</c:v>
                </c:pt>
                <c:pt idx="1">
                  <c:v>5.490000000000001</c:v>
                </c:pt>
                <c:pt idx="2">
                  <c:v>11.220000000000002</c:v>
                </c:pt>
                <c:pt idx="3">
                  <c:v>17.189999999999998</c:v>
                </c:pt>
                <c:pt idx="4">
                  <c:v>22.89</c:v>
                </c:pt>
                <c:pt idx="5">
                  <c:v>28.23</c:v>
                </c:pt>
                <c:pt idx="6">
                  <c:v>34.73</c:v>
                </c:pt>
                <c:pt idx="7">
                  <c:v>40.38999999999999</c:v>
                </c:pt>
                <c:pt idx="8">
                  <c:v>45.449999999999996</c:v>
                </c:pt>
                <c:pt idx="9">
                  <c:v>55.05</c:v>
                </c:pt>
                <c:pt idx="10">
                  <c:v>65.71799999999999</c:v>
                </c:pt>
                <c:pt idx="11">
                  <c:v>75.93679999999999</c:v>
                </c:pt>
                <c:pt idx="12">
                  <c:v>83.1818</c:v>
                </c:pt>
                <c:pt idx="13">
                  <c:v>87.90679999999999</c:v>
                </c:pt>
                <c:pt idx="14">
                  <c:v>93.3068</c:v>
                </c:pt>
                <c:pt idx="15">
                  <c:v>97.3438</c:v>
                </c:pt>
                <c:pt idx="16">
                  <c:v>99.36880000000001</c:v>
                </c:pt>
                <c:pt idx="17">
                  <c:v>100.25170000000001</c:v>
                </c:pt>
                <c:pt idx="18">
                  <c:v>100.85545000000002</c:v>
                </c:pt>
                <c:pt idx="19">
                  <c:v>101.16870000000002</c:v>
                </c:pt>
                <c:pt idx="20">
                  <c:v>101.35000000000001</c:v>
                </c:pt>
                <c:pt idx="21">
                  <c:v>101.43944</c:v>
                </c:pt>
              </c:numCache>
            </c:numRef>
          </c:yVal>
          <c:smooth val="0"/>
        </c:ser>
        <c:axId val="37271714"/>
        <c:axId val="67009971"/>
      </c:scatterChart>
      <c:valAx>
        <c:axId val="66740504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p; GeV/c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63793625"/>
        <c:crossesAt val="1E-06"/>
        <c:crossBetween val="midCat"/>
        <c:dispUnits/>
      </c:valAx>
      <c:valAx>
        <c:axId val="63793625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dN/dp; (GeV/c m^2 sr s)^-1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66740504"/>
        <c:crossesAt val="0.001"/>
        <c:crossBetween val="midCat"/>
        <c:dispUnits/>
      </c:valAx>
      <c:valAx>
        <c:axId val="37271714"/>
        <c:scaling>
          <c:logBase val="10"/>
          <c:orientation val="minMax"/>
        </c:scaling>
        <c:axPos val="b"/>
        <c:delete val="1"/>
        <c:majorTickMark val="in"/>
        <c:minorTickMark val="none"/>
        <c:tickLblPos val="nextTo"/>
        <c:crossAx val="67009971"/>
        <c:crosses val="max"/>
        <c:crossBetween val="midCat"/>
        <c:dispUnits/>
      </c:valAx>
      <c:valAx>
        <c:axId val="67009971"/>
        <c:scaling>
          <c:orientation val="minMax"/>
          <c:max val="1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 (as integral from ~0 to p) (m^2 sr s)^-1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7271714"/>
        <c:crosses val="max"/>
        <c:crossBetween val="midCat"/>
        <c:dispUnits/>
        <c:majorUnit val="22"/>
        <c:minorUnit val="1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725"/>
          <c:y val="0.38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CAPRICE97 mu_-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'Multiplied Out'!$D$4:$D$25</c:f>
              <c:numCache>
                <c:ptCount val="22"/>
                <c:pt idx="0">
                  <c:v>0.25</c:v>
                </c:pt>
                <c:pt idx="1">
                  <c:v>0.35</c:v>
                </c:pt>
                <c:pt idx="2">
                  <c:v>0.47</c:v>
                </c:pt>
                <c:pt idx="3">
                  <c:v>0.62</c:v>
                </c:pt>
                <c:pt idx="4">
                  <c:v>0.78</c:v>
                </c:pt>
                <c:pt idx="5">
                  <c:v>0.92</c:v>
                </c:pt>
                <c:pt idx="6">
                  <c:v>1.1</c:v>
                </c:pt>
                <c:pt idx="7">
                  <c:v>1.2999999999999998</c:v>
                </c:pt>
                <c:pt idx="8">
                  <c:v>1.5</c:v>
                </c:pt>
                <c:pt idx="9">
                  <c:v>1.84</c:v>
                </c:pt>
                <c:pt idx="10">
                  <c:v>2.49</c:v>
                </c:pt>
                <c:pt idx="11">
                  <c:v>3.49</c:v>
                </c:pt>
                <c:pt idx="12">
                  <c:v>4.78</c:v>
                </c:pt>
                <c:pt idx="13">
                  <c:v>6.21</c:v>
                </c:pt>
                <c:pt idx="14">
                  <c:v>8.37</c:v>
                </c:pt>
                <c:pt idx="15">
                  <c:v>12.42</c:v>
                </c:pt>
                <c:pt idx="16">
                  <c:v>18.85</c:v>
                </c:pt>
                <c:pt idx="17">
                  <c:v>26.68</c:v>
                </c:pt>
                <c:pt idx="18">
                  <c:v>36.69</c:v>
                </c:pt>
                <c:pt idx="19">
                  <c:v>51.47</c:v>
                </c:pt>
                <c:pt idx="20">
                  <c:v>72.08</c:v>
                </c:pt>
                <c:pt idx="21">
                  <c:v>100.96</c:v>
                </c:pt>
              </c:numCache>
            </c:numRef>
          </c:xVal>
          <c:yVal>
            <c:numRef>
              <c:f>'Multiplied Out'!$H$4:$H$25</c:f>
              <c:numCache>
                <c:ptCount val="22"/>
                <c:pt idx="0">
                  <c:v>10.700000000000001</c:v>
                </c:pt>
                <c:pt idx="1">
                  <c:v>15.2</c:v>
                </c:pt>
                <c:pt idx="2">
                  <c:v>17.9</c:v>
                </c:pt>
                <c:pt idx="3">
                  <c:v>18.6</c:v>
                </c:pt>
                <c:pt idx="4">
                  <c:v>17.6</c:v>
                </c:pt>
                <c:pt idx="5">
                  <c:v>16.4</c:v>
                </c:pt>
                <c:pt idx="6">
                  <c:v>14.8</c:v>
                </c:pt>
                <c:pt idx="7">
                  <c:v>12.8</c:v>
                </c:pt>
                <c:pt idx="8">
                  <c:v>11.4</c:v>
                </c:pt>
                <c:pt idx="9">
                  <c:v>9.2</c:v>
                </c:pt>
                <c:pt idx="10">
                  <c:v>5.7</c:v>
                </c:pt>
                <c:pt idx="11">
                  <c:v>3.86</c:v>
                </c:pt>
                <c:pt idx="12">
                  <c:v>2.31</c:v>
                </c:pt>
                <c:pt idx="13">
                  <c:v>1.37</c:v>
                </c:pt>
                <c:pt idx="14">
                  <c:v>0.78</c:v>
                </c:pt>
                <c:pt idx="15">
                  <c:v>0.32000000000000006</c:v>
                </c:pt>
                <c:pt idx="16">
                  <c:v>0.11599999999999999</c:v>
                </c:pt>
                <c:pt idx="17">
                  <c:v>0.045</c:v>
                </c:pt>
                <c:pt idx="18">
                  <c:v>0.0203</c:v>
                </c:pt>
                <c:pt idx="19">
                  <c:v>0.0077</c:v>
                </c:pt>
                <c:pt idx="20">
                  <c:v>0.0032</c:v>
                </c:pt>
                <c:pt idx="21">
                  <c:v>0.0011</c:v>
                </c:pt>
              </c:numCache>
            </c:numRef>
          </c:yVal>
          <c:smooth val="0"/>
        </c:ser>
        <c:axId val="58546254"/>
        <c:axId val="57154239"/>
      </c:scatterChart>
      <c:scatterChart>
        <c:scatterStyle val="lineMarker"/>
        <c:varyColors val="0"/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Integral!$D$4:$D$25</c:f>
              <c:numCache>
                <c:ptCount val="22"/>
                <c:pt idx="0">
                  <c:v>0.25</c:v>
                </c:pt>
                <c:pt idx="1">
                  <c:v>0.35</c:v>
                </c:pt>
                <c:pt idx="2">
                  <c:v>0.47</c:v>
                </c:pt>
                <c:pt idx="3">
                  <c:v>0.62</c:v>
                </c:pt>
                <c:pt idx="4">
                  <c:v>0.78</c:v>
                </c:pt>
                <c:pt idx="5">
                  <c:v>0.92</c:v>
                </c:pt>
                <c:pt idx="6">
                  <c:v>1.1</c:v>
                </c:pt>
                <c:pt idx="7">
                  <c:v>1.2999999999999998</c:v>
                </c:pt>
                <c:pt idx="8">
                  <c:v>1.5</c:v>
                </c:pt>
                <c:pt idx="9">
                  <c:v>1.84</c:v>
                </c:pt>
                <c:pt idx="10">
                  <c:v>2.49</c:v>
                </c:pt>
                <c:pt idx="11">
                  <c:v>3.49</c:v>
                </c:pt>
                <c:pt idx="12">
                  <c:v>4.78</c:v>
                </c:pt>
                <c:pt idx="13">
                  <c:v>6.21</c:v>
                </c:pt>
                <c:pt idx="14">
                  <c:v>8.37</c:v>
                </c:pt>
                <c:pt idx="15">
                  <c:v>12.42</c:v>
                </c:pt>
                <c:pt idx="16">
                  <c:v>18.85</c:v>
                </c:pt>
                <c:pt idx="17">
                  <c:v>26.68</c:v>
                </c:pt>
                <c:pt idx="18">
                  <c:v>36.69</c:v>
                </c:pt>
                <c:pt idx="19">
                  <c:v>51.47</c:v>
                </c:pt>
                <c:pt idx="20">
                  <c:v>72.08</c:v>
                </c:pt>
                <c:pt idx="21">
                  <c:v>100.96</c:v>
                </c:pt>
              </c:numCache>
            </c:numRef>
          </c:xVal>
          <c:yVal>
            <c:numRef>
              <c:f>Integral!$L$4:$L$25</c:f>
              <c:numCache>
                <c:ptCount val="22"/>
                <c:pt idx="0">
                  <c:v>1.0699999999999998</c:v>
                </c:pt>
                <c:pt idx="1">
                  <c:v>2.5900000000000003</c:v>
                </c:pt>
                <c:pt idx="2">
                  <c:v>5.275</c:v>
                </c:pt>
                <c:pt idx="3">
                  <c:v>8.065</c:v>
                </c:pt>
                <c:pt idx="4">
                  <c:v>10.705</c:v>
                </c:pt>
                <c:pt idx="5">
                  <c:v>13.165</c:v>
                </c:pt>
                <c:pt idx="6">
                  <c:v>16.125</c:v>
                </c:pt>
                <c:pt idx="7">
                  <c:v>18.685</c:v>
                </c:pt>
                <c:pt idx="8">
                  <c:v>20.965</c:v>
                </c:pt>
                <c:pt idx="9">
                  <c:v>25.564999999999998</c:v>
                </c:pt>
                <c:pt idx="10">
                  <c:v>30.352999999999998</c:v>
                </c:pt>
                <c:pt idx="11">
                  <c:v>34.907799999999995</c:v>
                </c:pt>
                <c:pt idx="12">
                  <c:v>38.0956</c:v>
                </c:pt>
                <c:pt idx="13">
                  <c:v>40.1506</c:v>
                </c:pt>
                <c:pt idx="14">
                  <c:v>42.4906</c:v>
                </c:pt>
                <c:pt idx="15">
                  <c:v>44.2506</c:v>
                </c:pt>
                <c:pt idx="16">
                  <c:v>45.120599999999996</c:v>
                </c:pt>
                <c:pt idx="17">
                  <c:v>45.485099999999996</c:v>
                </c:pt>
                <c:pt idx="18">
                  <c:v>45.73884999999999</c:v>
                </c:pt>
                <c:pt idx="19">
                  <c:v>45.87359999999999</c:v>
                </c:pt>
                <c:pt idx="20">
                  <c:v>45.95199999999999</c:v>
                </c:pt>
                <c:pt idx="21">
                  <c:v>45.989839999999994</c:v>
                </c:pt>
              </c:numCache>
            </c:numRef>
          </c:yVal>
          <c:smooth val="0"/>
        </c:ser>
        <c:axId val="44626104"/>
        <c:axId val="66090617"/>
      </c:scatterChart>
      <c:valAx>
        <c:axId val="58546254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p; GeV/c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57154239"/>
        <c:crossesAt val="0.001"/>
        <c:crossBetween val="midCat"/>
        <c:dispUnits/>
      </c:valAx>
      <c:valAx>
        <c:axId val="57154239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dN/dp; (GeV/c m^2 sr s)^-1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58546254"/>
        <c:crossesAt val="0.001"/>
        <c:crossBetween val="midCat"/>
        <c:dispUnits/>
      </c:valAx>
      <c:valAx>
        <c:axId val="44626104"/>
        <c:scaling>
          <c:logBase val="10"/>
          <c:orientation val="minMax"/>
        </c:scaling>
        <c:axPos val="b"/>
        <c:delete val="1"/>
        <c:majorTickMark val="in"/>
        <c:minorTickMark val="none"/>
        <c:tickLblPos val="nextTo"/>
        <c:crossAx val="66090617"/>
        <c:crosses val="max"/>
        <c:crossBetween val="midCat"/>
        <c:dispUnits/>
      </c:valAx>
      <c:valAx>
        <c:axId val="660906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NN (as integral from ~0 to p)(m^2 sr s)^-1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4626104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CAPRICE97 Combined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'Multiplied Out'!$D$30:$D$51</c:f>
              <c:numCache>
                <c:ptCount val="22"/>
                <c:pt idx="0">
                  <c:v>0.25</c:v>
                </c:pt>
                <c:pt idx="1">
                  <c:v>0.35</c:v>
                </c:pt>
                <c:pt idx="2">
                  <c:v>0.47</c:v>
                </c:pt>
                <c:pt idx="3">
                  <c:v>0.62</c:v>
                </c:pt>
                <c:pt idx="4">
                  <c:v>0.78</c:v>
                </c:pt>
                <c:pt idx="5">
                  <c:v>0.92</c:v>
                </c:pt>
                <c:pt idx="6">
                  <c:v>1.1</c:v>
                </c:pt>
                <c:pt idx="7">
                  <c:v>1.2999999999999998</c:v>
                </c:pt>
                <c:pt idx="8">
                  <c:v>1.5</c:v>
                </c:pt>
                <c:pt idx="9">
                  <c:v>1.84</c:v>
                </c:pt>
                <c:pt idx="10">
                  <c:v>2.49</c:v>
                </c:pt>
                <c:pt idx="11">
                  <c:v>3.49</c:v>
                </c:pt>
                <c:pt idx="12">
                  <c:v>4.78</c:v>
                </c:pt>
                <c:pt idx="13">
                  <c:v>6.21</c:v>
                </c:pt>
                <c:pt idx="14">
                  <c:v>8.37</c:v>
                </c:pt>
                <c:pt idx="15">
                  <c:v>12.42</c:v>
                </c:pt>
                <c:pt idx="16">
                  <c:v>18.85</c:v>
                </c:pt>
                <c:pt idx="17">
                  <c:v>26.68</c:v>
                </c:pt>
                <c:pt idx="18">
                  <c:v>36.69</c:v>
                </c:pt>
                <c:pt idx="19">
                  <c:v>51.47</c:v>
                </c:pt>
                <c:pt idx="20">
                  <c:v>72.08</c:v>
                </c:pt>
                <c:pt idx="21">
                  <c:v>100.96</c:v>
                </c:pt>
              </c:numCache>
            </c:numRef>
          </c:xVal>
          <c:yVal>
            <c:numRef>
              <c:f>'Multiplied Out'!$F$30:$F$51</c:f>
              <c:numCache>
                <c:ptCount val="22"/>
                <c:pt idx="0">
                  <c:v>22.700000000000003</c:v>
                </c:pt>
                <c:pt idx="1">
                  <c:v>32.2</c:v>
                </c:pt>
                <c:pt idx="2">
                  <c:v>38.199999999999996</c:v>
                </c:pt>
                <c:pt idx="3">
                  <c:v>39.800000000000004</c:v>
                </c:pt>
                <c:pt idx="4">
                  <c:v>38</c:v>
                </c:pt>
                <c:pt idx="5">
                  <c:v>35.599999999999994</c:v>
                </c:pt>
                <c:pt idx="6">
                  <c:v>32.5</c:v>
                </c:pt>
                <c:pt idx="7">
                  <c:v>28.3</c:v>
                </c:pt>
                <c:pt idx="8">
                  <c:v>25.3</c:v>
                </c:pt>
                <c:pt idx="9">
                  <c:v>19.2</c:v>
                </c:pt>
                <c:pt idx="10">
                  <c:v>12.7</c:v>
                </c:pt>
                <c:pt idx="11">
                  <c:v>8.66</c:v>
                </c:pt>
                <c:pt idx="12">
                  <c:v>5.25</c:v>
                </c:pt>
                <c:pt idx="13">
                  <c:v>3.1500000000000004</c:v>
                </c:pt>
                <c:pt idx="14">
                  <c:v>1.8</c:v>
                </c:pt>
                <c:pt idx="15">
                  <c:v>0.734</c:v>
                </c:pt>
                <c:pt idx="16">
                  <c:v>0.27</c:v>
                </c:pt>
                <c:pt idx="17">
                  <c:v>0.109</c:v>
                </c:pt>
                <c:pt idx="18">
                  <c:v>0.048299999999999996</c:v>
                </c:pt>
                <c:pt idx="19">
                  <c:v>0.0179</c:v>
                </c:pt>
                <c:pt idx="20">
                  <c:v>0.0074</c:v>
                </c:pt>
                <c:pt idx="21">
                  <c:v>0.0026</c:v>
                </c:pt>
              </c:numCache>
            </c:numRef>
          </c:yVal>
          <c:smooth val="0"/>
        </c:ser>
        <c:axId val="57944642"/>
        <c:axId val="51739731"/>
      </c:scatterChart>
      <c:scatterChart>
        <c:scatterStyle val="lineMarker"/>
        <c:varyColors val="0"/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Integral!$D$31:$D$52</c:f>
              <c:numCache>
                <c:ptCount val="22"/>
                <c:pt idx="0">
                  <c:v>0.25</c:v>
                </c:pt>
                <c:pt idx="1">
                  <c:v>0.35</c:v>
                </c:pt>
                <c:pt idx="2">
                  <c:v>0.47</c:v>
                </c:pt>
                <c:pt idx="3">
                  <c:v>0.62</c:v>
                </c:pt>
                <c:pt idx="4">
                  <c:v>0.78</c:v>
                </c:pt>
                <c:pt idx="5">
                  <c:v>0.92</c:v>
                </c:pt>
                <c:pt idx="6">
                  <c:v>1.1</c:v>
                </c:pt>
                <c:pt idx="7">
                  <c:v>1.2999999999999998</c:v>
                </c:pt>
                <c:pt idx="8">
                  <c:v>1.5</c:v>
                </c:pt>
                <c:pt idx="9">
                  <c:v>1.84</c:v>
                </c:pt>
                <c:pt idx="10">
                  <c:v>2.49</c:v>
                </c:pt>
                <c:pt idx="11">
                  <c:v>3.49</c:v>
                </c:pt>
                <c:pt idx="12">
                  <c:v>4.78</c:v>
                </c:pt>
                <c:pt idx="13">
                  <c:v>6.21</c:v>
                </c:pt>
                <c:pt idx="14">
                  <c:v>8.37</c:v>
                </c:pt>
                <c:pt idx="15">
                  <c:v>12.42</c:v>
                </c:pt>
                <c:pt idx="16">
                  <c:v>18.85</c:v>
                </c:pt>
                <c:pt idx="17">
                  <c:v>26.68</c:v>
                </c:pt>
                <c:pt idx="18">
                  <c:v>36.69</c:v>
                </c:pt>
                <c:pt idx="19">
                  <c:v>51.47</c:v>
                </c:pt>
                <c:pt idx="20">
                  <c:v>72.08</c:v>
                </c:pt>
                <c:pt idx="21">
                  <c:v>100.96</c:v>
                </c:pt>
              </c:numCache>
            </c:numRef>
          </c:xVal>
          <c:yVal>
            <c:numRef>
              <c:f>Integral!$H$31:$H$52</c:f>
              <c:numCache>
                <c:ptCount val="22"/>
                <c:pt idx="0">
                  <c:v>2.2699999999999996</c:v>
                </c:pt>
                <c:pt idx="1">
                  <c:v>5.490000000000001</c:v>
                </c:pt>
                <c:pt idx="2">
                  <c:v>11.220000000000002</c:v>
                </c:pt>
                <c:pt idx="3">
                  <c:v>17.189999999999998</c:v>
                </c:pt>
                <c:pt idx="4">
                  <c:v>22.89</c:v>
                </c:pt>
                <c:pt idx="5">
                  <c:v>28.23</c:v>
                </c:pt>
                <c:pt idx="6">
                  <c:v>34.73</c:v>
                </c:pt>
                <c:pt idx="7">
                  <c:v>40.38999999999999</c:v>
                </c:pt>
                <c:pt idx="8">
                  <c:v>45.449999999999996</c:v>
                </c:pt>
                <c:pt idx="9">
                  <c:v>55.05</c:v>
                </c:pt>
                <c:pt idx="10">
                  <c:v>65.71799999999999</c:v>
                </c:pt>
                <c:pt idx="11">
                  <c:v>75.93679999999999</c:v>
                </c:pt>
                <c:pt idx="12">
                  <c:v>83.1818</c:v>
                </c:pt>
                <c:pt idx="13">
                  <c:v>87.90679999999999</c:v>
                </c:pt>
                <c:pt idx="14">
                  <c:v>93.3068</c:v>
                </c:pt>
                <c:pt idx="15">
                  <c:v>97.3438</c:v>
                </c:pt>
                <c:pt idx="16">
                  <c:v>99.36880000000001</c:v>
                </c:pt>
                <c:pt idx="17">
                  <c:v>100.25170000000001</c:v>
                </c:pt>
                <c:pt idx="18">
                  <c:v>100.85545000000002</c:v>
                </c:pt>
                <c:pt idx="19">
                  <c:v>101.16870000000002</c:v>
                </c:pt>
                <c:pt idx="20">
                  <c:v>101.35000000000001</c:v>
                </c:pt>
                <c:pt idx="21">
                  <c:v>101.43944</c:v>
                </c:pt>
              </c:numCache>
            </c:numRef>
          </c:yVal>
          <c:smooth val="0"/>
        </c:ser>
        <c:axId val="63004396"/>
        <c:axId val="30168653"/>
      </c:scatterChart>
      <c:valAx>
        <c:axId val="57944642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p; GeV/c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51739731"/>
        <c:crossesAt val="0.001"/>
        <c:crossBetween val="midCat"/>
        <c:dispUnits/>
      </c:valAx>
      <c:valAx>
        <c:axId val="51739731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dN/dp; (GeV/c m^2 sr s)^-1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57944642"/>
        <c:crossesAt val="0.001"/>
        <c:crossBetween val="midCat"/>
        <c:dispUnits/>
      </c:valAx>
      <c:valAx>
        <c:axId val="63004396"/>
        <c:scaling>
          <c:logBase val="10"/>
          <c:orientation val="minMax"/>
        </c:scaling>
        <c:axPos val="b"/>
        <c:delete val="1"/>
        <c:majorTickMark val="in"/>
        <c:minorTickMark val="none"/>
        <c:tickLblPos val="nextTo"/>
        <c:crossAx val="30168653"/>
        <c:crosses val="max"/>
        <c:crossBetween val="midCat"/>
        <c:dispUnits/>
      </c:valAx>
      <c:valAx>
        <c:axId val="30168653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 (as integral from ~0 to p) (m^2 sr s)^-1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3004396"/>
        <c:crosses val="max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Ratios of Data: 97/94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errBars>
            <c:errDir val="y"/>
            <c:errBarType val="both"/>
            <c:errValType val="cust"/>
            <c:plus>
              <c:numRef>
                <c:f>Ratio!$M$3:$M$24</c:f>
                <c:numCache>
                  <c:ptCount val="22"/>
                  <c:pt idx="0">
                    <c:v>0.13284683511472906</c:v>
                  </c:pt>
                  <c:pt idx="1">
                    <c:v>0.07187583262254761</c:v>
                  </c:pt>
                  <c:pt idx="2">
                    <c:v>0.048960604518100144</c:v>
                  </c:pt>
                  <c:pt idx="3">
                    <c:v>0.04776088006831362</c:v>
                  </c:pt>
                  <c:pt idx="4">
                    <c:v>0.04702782647781929</c:v>
                  </c:pt>
                  <c:pt idx="5">
                    <c:v>0.044617698309421756</c:v>
                  </c:pt>
                  <c:pt idx="6">
                    <c:v>0.044685557455836765</c:v>
                  </c:pt>
                  <c:pt idx="7">
                    <c:v>0.03970436977487339</c:v>
                  </c:pt>
                  <c:pt idx="8">
                    <c:v>0.04099441464198448</c:v>
                  </c:pt>
                  <c:pt idx="9">
                    <c:v>0.024348679962022442</c:v>
                  </c:pt>
                  <c:pt idx="10">
                    <c:v>0.13669617051474584</c:v>
                  </c:pt>
                  <c:pt idx="11">
                    <c:v>0.03125010545838996</c:v>
                  </c:pt>
                  <c:pt idx="12">
                    <c:v>0.03368257268984283</c:v>
                  </c:pt>
                  <c:pt idx="13">
                    <c:v>0.033659333791053056</c:v>
                  </c:pt>
                  <c:pt idx="14">
                    <c:v>0.033002004596214454</c:v>
                  </c:pt>
                  <c:pt idx="15">
                    <c:v>0.03218900533424925</c:v>
                  </c:pt>
                  <c:pt idx="16">
                    <c:v>0.04225049327248502</c:v>
                  </c:pt>
                  <c:pt idx="17">
                    <c:v>0.058744259059016965</c:v>
                  </c:pt>
                  <c:pt idx="18">
                    <c:v>0.05812965637821221</c:v>
                  </c:pt>
                  <c:pt idx="19">
                    <c:v>0.09636432193563733</c:v>
                  </c:pt>
                  <c:pt idx="20">
                    <c:v>0.12699844032352073</c:v>
                  </c:pt>
                  <c:pt idx="21">
                    <c:v>0.17200522903844537</c:v>
                  </c:pt>
                </c:numCache>
              </c:numRef>
            </c:plus>
            <c:minus>
              <c:numRef>
                <c:f>Ratio!$M$3:$M$24</c:f>
                <c:numCache>
                  <c:ptCount val="22"/>
                  <c:pt idx="0">
                    <c:v>0.13284683511472906</c:v>
                  </c:pt>
                  <c:pt idx="1">
                    <c:v>0.07187583262254761</c:v>
                  </c:pt>
                  <c:pt idx="2">
                    <c:v>0.048960604518100144</c:v>
                  </c:pt>
                  <c:pt idx="3">
                    <c:v>0.04776088006831362</c:v>
                  </c:pt>
                  <c:pt idx="4">
                    <c:v>0.04702782647781929</c:v>
                  </c:pt>
                  <c:pt idx="5">
                    <c:v>0.044617698309421756</c:v>
                  </c:pt>
                  <c:pt idx="6">
                    <c:v>0.044685557455836765</c:v>
                  </c:pt>
                  <c:pt idx="7">
                    <c:v>0.03970436977487339</c:v>
                  </c:pt>
                  <c:pt idx="8">
                    <c:v>0.04099441464198448</c:v>
                  </c:pt>
                  <c:pt idx="9">
                    <c:v>0.024348679962022442</c:v>
                  </c:pt>
                  <c:pt idx="10">
                    <c:v>0.13669617051474584</c:v>
                  </c:pt>
                  <c:pt idx="11">
                    <c:v>0.03125010545838996</c:v>
                  </c:pt>
                  <c:pt idx="12">
                    <c:v>0.03368257268984283</c:v>
                  </c:pt>
                  <c:pt idx="13">
                    <c:v>0.033659333791053056</c:v>
                  </c:pt>
                  <c:pt idx="14">
                    <c:v>0.033002004596214454</c:v>
                  </c:pt>
                  <c:pt idx="15">
                    <c:v>0.03218900533424925</c:v>
                  </c:pt>
                  <c:pt idx="16">
                    <c:v>0.04225049327248502</c:v>
                  </c:pt>
                  <c:pt idx="17">
                    <c:v>0.058744259059016965</c:v>
                  </c:pt>
                  <c:pt idx="18">
                    <c:v>0.05812965637821221</c:v>
                  </c:pt>
                  <c:pt idx="19">
                    <c:v>0.09636432193563733</c:v>
                  </c:pt>
                  <c:pt idx="20">
                    <c:v>0.12699844032352073</c:v>
                  </c:pt>
                  <c:pt idx="21">
                    <c:v>0.17200522903844537</c:v>
                  </c:pt>
                </c:numCache>
              </c:numRef>
            </c:minus>
            <c:noEndCap val="0"/>
            <c:spPr>
              <a:ln w="38100">
                <a:solidFill/>
              </a:ln>
            </c:spPr>
          </c:errBars>
          <c:xVal>
            <c:numRef>
              <c:f>Ratio!$D$3:$D$24</c:f>
              <c:numCache>
                <c:ptCount val="22"/>
                <c:pt idx="0">
                  <c:v>0.25</c:v>
                </c:pt>
                <c:pt idx="1">
                  <c:v>0.35</c:v>
                </c:pt>
                <c:pt idx="2">
                  <c:v>0.47</c:v>
                </c:pt>
                <c:pt idx="3">
                  <c:v>0.62</c:v>
                </c:pt>
                <c:pt idx="4">
                  <c:v>0.78</c:v>
                </c:pt>
                <c:pt idx="5">
                  <c:v>0.92</c:v>
                </c:pt>
                <c:pt idx="6">
                  <c:v>1.1</c:v>
                </c:pt>
                <c:pt idx="7">
                  <c:v>1.2999999999999998</c:v>
                </c:pt>
                <c:pt idx="8">
                  <c:v>1.5</c:v>
                </c:pt>
                <c:pt idx="9">
                  <c:v>1.84</c:v>
                </c:pt>
                <c:pt idx="10">
                  <c:v>2.49</c:v>
                </c:pt>
                <c:pt idx="11">
                  <c:v>3.49</c:v>
                </c:pt>
                <c:pt idx="12">
                  <c:v>4.78</c:v>
                </c:pt>
                <c:pt idx="13">
                  <c:v>6.21</c:v>
                </c:pt>
                <c:pt idx="14">
                  <c:v>8.37</c:v>
                </c:pt>
                <c:pt idx="15">
                  <c:v>12.42</c:v>
                </c:pt>
                <c:pt idx="16">
                  <c:v>18.85</c:v>
                </c:pt>
                <c:pt idx="17">
                  <c:v>26.68</c:v>
                </c:pt>
                <c:pt idx="18">
                  <c:v>36.69</c:v>
                </c:pt>
                <c:pt idx="19">
                  <c:v>51.47</c:v>
                </c:pt>
                <c:pt idx="20">
                  <c:v>72.08</c:v>
                </c:pt>
                <c:pt idx="21">
                  <c:v>100.96</c:v>
                </c:pt>
              </c:numCache>
            </c:numRef>
          </c:xVal>
          <c:yVal>
            <c:numRef>
              <c:f>Ratio!$K$3:$K$24</c:f>
              <c:numCache>
                <c:ptCount val="22"/>
                <c:pt idx="0">
                  <c:v>-0.09199999999999986</c:v>
                </c:pt>
                <c:pt idx="1">
                  <c:v>0.0592105263157896</c:v>
                </c:pt>
                <c:pt idx="2">
                  <c:v>0.2088607594936709</c:v>
                </c:pt>
                <c:pt idx="3">
                  <c:v>0.3222591362126248</c:v>
                </c:pt>
                <c:pt idx="4">
                  <c:v>0.31487889273356395</c:v>
                </c:pt>
                <c:pt idx="5">
                  <c:v>0.3234200743494422</c:v>
                </c:pt>
                <c:pt idx="6">
                  <c:v>0.35416666666666674</c:v>
                </c:pt>
                <c:pt idx="7">
                  <c:v>0.28054298642533926</c:v>
                </c:pt>
                <c:pt idx="8">
                  <c:v>0.3386243386243388</c:v>
                </c:pt>
                <c:pt idx="9">
                  <c:v>0.17073170731707332</c:v>
                </c:pt>
                <c:pt idx="10">
                  <c:v>0.07627118644067776</c:v>
                </c:pt>
                <c:pt idx="11">
                  <c:v>0.15466666666666673</c:v>
                </c:pt>
                <c:pt idx="12">
                  <c:v>0.16407982261640797</c:v>
                </c:pt>
                <c:pt idx="13">
                  <c:v>0.10139860139860146</c:v>
                </c:pt>
                <c:pt idx="14">
                  <c:v>0.13207547169811318</c:v>
                </c:pt>
                <c:pt idx="15">
                  <c:v>0.05157593123209181</c:v>
                </c:pt>
                <c:pt idx="16">
                  <c:v>0.09756097560975618</c:v>
                </c:pt>
                <c:pt idx="17">
                  <c:v>0</c:v>
                </c:pt>
                <c:pt idx="18">
                  <c:v>0.02765957446808498</c:v>
                </c:pt>
                <c:pt idx="19">
                  <c:v>0.05294117647058805</c:v>
                </c:pt>
                <c:pt idx="20">
                  <c:v>0.12121212121212133</c:v>
                </c:pt>
                <c:pt idx="21">
                  <c:v>0</c:v>
                </c:pt>
              </c:numCache>
            </c:numRef>
          </c:yVal>
          <c:smooth val="0"/>
        </c:ser>
        <c:axId val="66218828"/>
        <c:axId val="59098541"/>
      </c:scatterChart>
      <c:valAx>
        <c:axId val="66218828"/>
        <c:scaling>
          <c:logBase val="10"/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p; GeV/c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59098541"/>
        <c:crossesAt val="-10"/>
        <c:crossBetween val="midCat"/>
        <c:dispUnits/>
      </c:valAx>
      <c:valAx>
        <c:axId val="59098541"/>
        <c:scaling>
          <c:orientation val="minMax"/>
          <c:max val="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Ratio of Data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66218828"/>
        <c:crossesAt val="1E-05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Differential Flux Adjusted to Account for Atmospheric Depth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94 Adjusted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'Multiplied Out'!$D$30:$D$51</c:f>
              <c:numCache>
                <c:ptCount val="22"/>
                <c:pt idx="0">
                  <c:v>0.25</c:v>
                </c:pt>
                <c:pt idx="1">
                  <c:v>0.35</c:v>
                </c:pt>
                <c:pt idx="2">
                  <c:v>0.47</c:v>
                </c:pt>
                <c:pt idx="3">
                  <c:v>0.62</c:v>
                </c:pt>
                <c:pt idx="4">
                  <c:v>0.78</c:v>
                </c:pt>
                <c:pt idx="5">
                  <c:v>0.92</c:v>
                </c:pt>
                <c:pt idx="6">
                  <c:v>1.1</c:v>
                </c:pt>
                <c:pt idx="7">
                  <c:v>1.2999999999999998</c:v>
                </c:pt>
                <c:pt idx="8">
                  <c:v>1.5</c:v>
                </c:pt>
                <c:pt idx="9">
                  <c:v>1.84</c:v>
                </c:pt>
                <c:pt idx="10">
                  <c:v>2.49</c:v>
                </c:pt>
                <c:pt idx="11">
                  <c:v>3.49</c:v>
                </c:pt>
                <c:pt idx="12">
                  <c:v>4.78</c:v>
                </c:pt>
                <c:pt idx="13">
                  <c:v>6.21</c:v>
                </c:pt>
                <c:pt idx="14">
                  <c:v>8.37</c:v>
                </c:pt>
                <c:pt idx="15">
                  <c:v>12.42</c:v>
                </c:pt>
                <c:pt idx="16">
                  <c:v>18.85</c:v>
                </c:pt>
                <c:pt idx="17">
                  <c:v>26.68</c:v>
                </c:pt>
                <c:pt idx="18">
                  <c:v>36.69</c:v>
                </c:pt>
                <c:pt idx="19">
                  <c:v>51.47</c:v>
                </c:pt>
                <c:pt idx="20">
                  <c:v>72.08</c:v>
                </c:pt>
                <c:pt idx="21">
                  <c:v>100.96</c:v>
                </c:pt>
              </c:numCache>
            </c:numRef>
          </c:xVal>
          <c:yVal>
            <c:numRef>
              <c:f>'Depth Correction'!$K$3:$K$24</c:f>
              <c:numCache>
                <c:ptCount val="22"/>
                <c:pt idx="1">
                  <c:v>42.85473335861517</c:v>
                </c:pt>
                <c:pt idx="2">
                  <c:v>43.621725199210715</c:v>
                </c:pt>
                <c:pt idx="3">
                  <c:v>40.611538847213495</c:v>
                </c:pt>
                <c:pt idx="4">
                  <c:v>38.17946755688753</c:v>
                </c:pt>
                <c:pt idx="5">
                  <c:v>34.96810837713005</c:v>
                </c:pt>
                <c:pt idx="6">
                  <c:v>30.63567499472431</c:v>
                </c:pt>
                <c:pt idx="7">
                  <c:v>27.721762860879515</c:v>
                </c:pt>
                <c:pt idx="8">
                  <c:v>23.351581336139876</c:v>
                </c:pt>
                <c:pt idx="9">
                  <c:v>19.830437852605954</c:v>
                </c:pt>
                <c:pt idx="10">
                  <c:v>13.832916553354574</c:v>
                </c:pt>
                <c:pt idx="11">
                  <c:v>8.516155368054962</c:v>
                </c:pt>
                <c:pt idx="12">
                  <c:v>4.9890010780179015</c:v>
                </c:pt>
                <c:pt idx="13">
                  <c:v>3.105035843433435</c:v>
                </c:pt>
                <c:pt idx="14">
                  <c:v>1.695432152736106</c:v>
                </c:pt>
              </c:numCache>
            </c:numRef>
          </c:yVal>
          <c:smooth val="0"/>
        </c:ser>
        <c:ser>
          <c:idx val="1"/>
          <c:order val="1"/>
          <c:tx>
            <c:v>97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'Multiplied Out'!$D$30:$D$51</c:f>
              <c:numCache>
                <c:ptCount val="22"/>
                <c:pt idx="0">
                  <c:v>0.25</c:v>
                </c:pt>
                <c:pt idx="1">
                  <c:v>0.35</c:v>
                </c:pt>
                <c:pt idx="2">
                  <c:v>0.47</c:v>
                </c:pt>
                <c:pt idx="3">
                  <c:v>0.62</c:v>
                </c:pt>
                <c:pt idx="4">
                  <c:v>0.78</c:v>
                </c:pt>
                <c:pt idx="5">
                  <c:v>0.92</c:v>
                </c:pt>
                <c:pt idx="6">
                  <c:v>1.1</c:v>
                </c:pt>
                <c:pt idx="7">
                  <c:v>1.2999999999999998</c:v>
                </c:pt>
                <c:pt idx="8">
                  <c:v>1.5</c:v>
                </c:pt>
                <c:pt idx="9">
                  <c:v>1.84</c:v>
                </c:pt>
                <c:pt idx="10">
                  <c:v>2.49</c:v>
                </c:pt>
                <c:pt idx="11">
                  <c:v>3.49</c:v>
                </c:pt>
                <c:pt idx="12">
                  <c:v>4.78</c:v>
                </c:pt>
                <c:pt idx="13">
                  <c:v>6.21</c:v>
                </c:pt>
                <c:pt idx="14">
                  <c:v>8.37</c:v>
                </c:pt>
                <c:pt idx="15">
                  <c:v>12.42</c:v>
                </c:pt>
                <c:pt idx="16">
                  <c:v>18.85</c:v>
                </c:pt>
                <c:pt idx="17">
                  <c:v>26.68</c:v>
                </c:pt>
                <c:pt idx="18">
                  <c:v>36.69</c:v>
                </c:pt>
                <c:pt idx="19">
                  <c:v>51.47</c:v>
                </c:pt>
                <c:pt idx="20">
                  <c:v>72.08</c:v>
                </c:pt>
                <c:pt idx="21">
                  <c:v>100.96</c:v>
                </c:pt>
              </c:numCache>
            </c:numRef>
          </c:xVal>
          <c:yVal>
            <c:numRef>
              <c:f>'Multiplied Out'!$F$30:$F$51</c:f>
              <c:numCache>
                <c:ptCount val="22"/>
                <c:pt idx="0">
                  <c:v>22.700000000000003</c:v>
                </c:pt>
                <c:pt idx="1">
                  <c:v>32.2</c:v>
                </c:pt>
                <c:pt idx="2">
                  <c:v>38.199999999999996</c:v>
                </c:pt>
                <c:pt idx="3">
                  <c:v>39.800000000000004</c:v>
                </c:pt>
                <c:pt idx="4">
                  <c:v>38</c:v>
                </c:pt>
                <c:pt idx="5">
                  <c:v>35.599999999999994</c:v>
                </c:pt>
                <c:pt idx="6">
                  <c:v>32.5</c:v>
                </c:pt>
                <c:pt idx="7">
                  <c:v>28.3</c:v>
                </c:pt>
                <c:pt idx="8">
                  <c:v>25.3</c:v>
                </c:pt>
                <c:pt idx="9">
                  <c:v>19.2</c:v>
                </c:pt>
                <c:pt idx="10">
                  <c:v>12.7</c:v>
                </c:pt>
                <c:pt idx="11">
                  <c:v>8.66</c:v>
                </c:pt>
                <c:pt idx="12">
                  <c:v>5.25</c:v>
                </c:pt>
                <c:pt idx="13">
                  <c:v>3.1500000000000004</c:v>
                </c:pt>
                <c:pt idx="14">
                  <c:v>1.8</c:v>
                </c:pt>
                <c:pt idx="15">
                  <c:v>0.734</c:v>
                </c:pt>
                <c:pt idx="16">
                  <c:v>0.27</c:v>
                </c:pt>
                <c:pt idx="17">
                  <c:v>0.109</c:v>
                </c:pt>
                <c:pt idx="18">
                  <c:v>0.048299999999999996</c:v>
                </c:pt>
                <c:pt idx="19">
                  <c:v>0.0179</c:v>
                </c:pt>
                <c:pt idx="20">
                  <c:v>0.0074</c:v>
                </c:pt>
                <c:pt idx="21">
                  <c:v>0.0026</c:v>
                </c:pt>
              </c:numCache>
            </c:numRef>
          </c:yVal>
          <c:smooth val="0"/>
        </c:ser>
        <c:ser>
          <c:idx val="2"/>
          <c:order val="2"/>
          <c:tx>
            <c:v>94 Original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'Multiplied Out'!$D$30:$D$51</c:f>
              <c:numCache>
                <c:ptCount val="22"/>
                <c:pt idx="0">
                  <c:v>0.25</c:v>
                </c:pt>
                <c:pt idx="1">
                  <c:v>0.35</c:v>
                </c:pt>
                <c:pt idx="2">
                  <c:v>0.47</c:v>
                </c:pt>
                <c:pt idx="3">
                  <c:v>0.62</c:v>
                </c:pt>
                <c:pt idx="4">
                  <c:v>0.78</c:v>
                </c:pt>
                <c:pt idx="5">
                  <c:v>0.92</c:v>
                </c:pt>
                <c:pt idx="6">
                  <c:v>1.1</c:v>
                </c:pt>
                <c:pt idx="7">
                  <c:v>1.2999999999999998</c:v>
                </c:pt>
                <c:pt idx="8">
                  <c:v>1.5</c:v>
                </c:pt>
                <c:pt idx="9">
                  <c:v>1.84</c:v>
                </c:pt>
                <c:pt idx="10">
                  <c:v>2.49</c:v>
                </c:pt>
                <c:pt idx="11">
                  <c:v>3.49</c:v>
                </c:pt>
                <c:pt idx="12">
                  <c:v>4.78</c:v>
                </c:pt>
                <c:pt idx="13">
                  <c:v>6.21</c:v>
                </c:pt>
                <c:pt idx="14">
                  <c:v>8.37</c:v>
                </c:pt>
                <c:pt idx="15">
                  <c:v>12.42</c:v>
                </c:pt>
                <c:pt idx="16">
                  <c:v>18.85</c:v>
                </c:pt>
                <c:pt idx="17">
                  <c:v>26.68</c:v>
                </c:pt>
                <c:pt idx="18">
                  <c:v>36.69</c:v>
                </c:pt>
                <c:pt idx="19">
                  <c:v>51.47</c:v>
                </c:pt>
                <c:pt idx="20">
                  <c:v>72.08</c:v>
                </c:pt>
                <c:pt idx="21">
                  <c:v>100.96</c:v>
                </c:pt>
              </c:numCache>
            </c:numRef>
          </c:xVal>
          <c:yVal>
            <c:numRef>
              <c:f>'Multiplied Out'!$E$30:$E$51</c:f>
              <c:numCache>
                <c:ptCount val="22"/>
                <c:pt idx="0">
                  <c:v>25</c:v>
                </c:pt>
                <c:pt idx="1">
                  <c:v>30.400000000000002</c:v>
                </c:pt>
                <c:pt idx="2">
                  <c:v>31.599999999999998</c:v>
                </c:pt>
                <c:pt idx="3">
                  <c:v>30.099999999999998</c:v>
                </c:pt>
                <c:pt idx="4">
                  <c:v>28.900000000000002</c:v>
                </c:pt>
                <c:pt idx="5">
                  <c:v>26.9</c:v>
                </c:pt>
                <c:pt idx="6">
                  <c:v>24</c:v>
                </c:pt>
                <c:pt idx="7">
                  <c:v>22.1</c:v>
                </c:pt>
                <c:pt idx="8">
                  <c:v>18.9</c:v>
                </c:pt>
                <c:pt idx="9">
                  <c:v>16.4</c:v>
                </c:pt>
                <c:pt idx="10">
                  <c:v>11.8</c:v>
                </c:pt>
                <c:pt idx="11">
                  <c:v>7.5</c:v>
                </c:pt>
                <c:pt idx="12">
                  <c:v>4.51</c:v>
                </c:pt>
                <c:pt idx="13">
                  <c:v>2.8600000000000003</c:v>
                </c:pt>
                <c:pt idx="14">
                  <c:v>1.59</c:v>
                </c:pt>
                <c:pt idx="15">
                  <c:v>0.698</c:v>
                </c:pt>
                <c:pt idx="16">
                  <c:v>0.246</c:v>
                </c:pt>
                <c:pt idx="17">
                  <c:v>0.109</c:v>
                </c:pt>
                <c:pt idx="18">
                  <c:v>0.047</c:v>
                </c:pt>
                <c:pt idx="19">
                  <c:v>0.017</c:v>
                </c:pt>
                <c:pt idx="20">
                  <c:v>0.0066</c:v>
                </c:pt>
                <c:pt idx="21">
                  <c:v>0.0026</c:v>
                </c:pt>
              </c:numCache>
            </c:numRef>
          </c:yVal>
          <c:smooth val="0"/>
        </c:ser>
        <c:axId val="62124822"/>
        <c:axId val="22252487"/>
      </c:scatterChart>
      <c:valAx>
        <c:axId val="62124822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p; (GeV/c)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252487"/>
        <c:crossesAt val="1E-07"/>
        <c:crossBetween val="midCat"/>
        <c:dispUnits/>
      </c:valAx>
      <c:valAx>
        <c:axId val="22252487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dN/dp; (GeV/c m^2 s sr)^-1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124822"/>
        <c:crossesAt val="1E-05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Mean Track Length Over Bin (m)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'Ar Attenuation'!$D$33:$D$54</c:f>
              <c:numCache>
                <c:ptCount val="22"/>
                <c:pt idx="0">
                  <c:v>0.25</c:v>
                </c:pt>
                <c:pt idx="1">
                  <c:v>0.35</c:v>
                </c:pt>
                <c:pt idx="2">
                  <c:v>0.47</c:v>
                </c:pt>
                <c:pt idx="3">
                  <c:v>0.62</c:v>
                </c:pt>
                <c:pt idx="4">
                  <c:v>0.78</c:v>
                </c:pt>
                <c:pt idx="5">
                  <c:v>0.92</c:v>
                </c:pt>
                <c:pt idx="6">
                  <c:v>1.1</c:v>
                </c:pt>
                <c:pt idx="7">
                  <c:v>1.2999999999999998</c:v>
                </c:pt>
                <c:pt idx="8">
                  <c:v>1.5</c:v>
                </c:pt>
                <c:pt idx="9">
                  <c:v>1.84</c:v>
                </c:pt>
                <c:pt idx="10">
                  <c:v>2.49</c:v>
                </c:pt>
                <c:pt idx="11">
                  <c:v>3.49</c:v>
                </c:pt>
                <c:pt idx="12">
                  <c:v>4.78</c:v>
                </c:pt>
                <c:pt idx="13">
                  <c:v>6.21</c:v>
                </c:pt>
                <c:pt idx="14">
                  <c:v>8.37</c:v>
                </c:pt>
                <c:pt idx="15">
                  <c:v>12.42</c:v>
                </c:pt>
                <c:pt idx="16">
                  <c:v>18.85</c:v>
                </c:pt>
                <c:pt idx="17">
                  <c:v>26.68</c:v>
                </c:pt>
                <c:pt idx="18">
                  <c:v>36.69</c:v>
                </c:pt>
                <c:pt idx="19">
                  <c:v>51.47</c:v>
                </c:pt>
                <c:pt idx="20">
                  <c:v>72.08</c:v>
                </c:pt>
                <c:pt idx="21">
                  <c:v>100.96</c:v>
                </c:pt>
              </c:numCache>
            </c:numRef>
          </c:xVal>
          <c:yVal>
            <c:numRef>
              <c:f>'Ar Attenuation'!$E$33:$E$54</c:f>
              <c:numCache>
                <c:ptCount val="22"/>
                <c:pt idx="0">
                  <c:v>0.6163469963653835</c:v>
                </c:pt>
                <c:pt idx="1">
                  <c:v>1.148602796997916</c:v>
                </c:pt>
                <c:pt idx="2">
                  <c:v>1.7012082867308476</c:v>
                </c:pt>
                <c:pt idx="3">
                  <c:v>2.2662985290676403</c:v>
                </c:pt>
                <c:pt idx="4">
                  <c:v>2.9469368923220403</c:v>
                </c:pt>
                <c:pt idx="5">
                  <c:v>3.52989884142984</c:v>
                </c:pt>
                <c:pt idx="6">
                  <c:v>4.410286196719718</c:v>
                </c:pt>
                <c:pt idx="7">
                  <c:v>5.2804971262409985</c:v>
                </c:pt>
                <c:pt idx="8">
                  <c:v>6.123950995688138</c:v>
                </c:pt>
                <c:pt idx="9">
                  <c:v>7.53180242208</c:v>
                </c:pt>
                <c:pt idx="10">
                  <c:v>10.25658762570873</c:v>
                </c:pt>
                <c:pt idx="11">
                  <c:v>14.533759948289392</c:v>
                </c:pt>
                <c:pt idx="12">
                  <c:v>19.442416806800004</c:v>
                </c:pt>
                <c:pt idx="13">
                  <c:v>25.1012410636</c:v>
                </c:pt>
                <c:pt idx="14">
                  <c:v>34.86045642624404</c:v>
                </c:pt>
                <c:pt idx="15">
                  <c:v>52.364500846113565</c:v>
                </c:pt>
                <c:pt idx="16">
                  <c:v>48.5</c:v>
                </c:pt>
                <c:pt idx="17">
                  <c:v>48.5</c:v>
                </c:pt>
                <c:pt idx="18">
                  <c:v>48.5</c:v>
                </c:pt>
                <c:pt idx="19">
                  <c:v>48.5</c:v>
                </c:pt>
                <c:pt idx="20">
                  <c:v>48.5</c:v>
                </c:pt>
                <c:pt idx="21">
                  <c:v>48.5</c:v>
                </c:pt>
              </c:numCache>
            </c:numRef>
          </c:yVal>
          <c:smooth val="0"/>
        </c:ser>
        <c:axId val="66054656"/>
        <c:axId val="57620993"/>
      </c:scatterChart>
      <c:valAx>
        <c:axId val="66054656"/>
        <c:scaling>
          <c:logBase val="10"/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p; (GeV/c)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57620993"/>
        <c:crosses val="autoZero"/>
        <c:crossBetween val="midCat"/>
        <c:dispUnits/>
      </c:valAx>
      <c:valAx>
        <c:axId val="576209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Length;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66054656"/>
        <c:crossesAt val="1E-07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Product of Differential Flux and Length AND Total Length through an Area, both as a function of Momentum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04"/>
          <c:w val="0.92625"/>
          <c:h val="0.840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'Ar Attenuation'!$I$60</c:f>
              <c:strCache>
                <c:ptCount val="1"/>
                <c:pt idx="0">
                  <c:v>94 (dN*x(p))/dp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'Ar Attenuation'!$D$61:$D$82</c:f>
              <c:numCache>
                <c:ptCount val="22"/>
                <c:pt idx="0">
                  <c:v>0.25</c:v>
                </c:pt>
                <c:pt idx="1">
                  <c:v>0.35</c:v>
                </c:pt>
                <c:pt idx="2">
                  <c:v>0.47</c:v>
                </c:pt>
                <c:pt idx="3">
                  <c:v>0.62</c:v>
                </c:pt>
                <c:pt idx="4">
                  <c:v>0.78</c:v>
                </c:pt>
                <c:pt idx="5">
                  <c:v>0.92</c:v>
                </c:pt>
                <c:pt idx="6">
                  <c:v>1.1</c:v>
                </c:pt>
                <c:pt idx="7">
                  <c:v>1.2999999999999998</c:v>
                </c:pt>
                <c:pt idx="8">
                  <c:v>1.5</c:v>
                </c:pt>
                <c:pt idx="9">
                  <c:v>1.84</c:v>
                </c:pt>
                <c:pt idx="10">
                  <c:v>2.49</c:v>
                </c:pt>
                <c:pt idx="11">
                  <c:v>3.49</c:v>
                </c:pt>
                <c:pt idx="12">
                  <c:v>4.78</c:v>
                </c:pt>
                <c:pt idx="13">
                  <c:v>6.21</c:v>
                </c:pt>
                <c:pt idx="14">
                  <c:v>8.37</c:v>
                </c:pt>
                <c:pt idx="15">
                  <c:v>12.42</c:v>
                </c:pt>
                <c:pt idx="16">
                  <c:v>18.85</c:v>
                </c:pt>
                <c:pt idx="17">
                  <c:v>26.68</c:v>
                </c:pt>
                <c:pt idx="18">
                  <c:v>36.69</c:v>
                </c:pt>
                <c:pt idx="19">
                  <c:v>51.47</c:v>
                </c:pt>
                <c:pt idx="20">
                  <c:v>72.08</c:v>
                </c:pt>
                <c:pt idx="21">
                  <c:v>100.96</c:v>
                </c:pt>
              </c:numCache>
            </c:numRef>
          </c:xVal>
          <c:yVal>
            <c:numRef>
              <c:f>'Ar Attenuation'!$I$61:$I$82</c:f>
              <c:numCache>
                <c:ptCount val="22"/>
                <c:pt idx="0">
                  <c:v>15.408674909134588</c:v>
                </c:pt>
                <c:pt idx="1">
                  <c:v>34.91752502873665</c:v>
                </c:pt>
                <c:pt idx="2">
                  <c:v>53.758181860694776</c:v>
                </c:pt>
                <c:pt idx="3">
                  <c:v>68.21558572493596</c:v>
                </c:pt>
                <c:pt idx="4">
                  <c:v>85.16647618810697</c:v>
                </c:pt>
                <c:pt idx="5">
                  <c:v>94.95427883446268</c:v>
                </c:pt>
                <c:pt idx="6">
                  <c:v>105.84686872127324</c:v>
                </c:pt>
                <c:pt idx="7">
                  <c:v>116.69898648992607</c:v>
                </c:pt>
                <c:pt idx="8">
                  <c:v>115.74267381850579</c:v>
                </c:pt>
                <c:pt idx="9">
                  <c:v>123.52155972211199</c:v>
                </c:pt>
                <c:pt idx="10">
                  <c:v>121.02773398336304</c:v>
                </c:pt>
                <c:pt idx="11">
                  <c:v>109.00319961217043</c:v>
                </c:pt>
                <c:pt idx="12">
                  <c:v>87.68529979866801</c:v>
                </c:pt>
                <c:pt idx="13">
                  <c:v>71.78954944189601</c:v>
                </c:pt>
                <c:pt idx="14">
                  <c:v>55.42812571772803</c:v>
                </c:pt>
                <c:pt idx="15">
                  <c:v>36.55042159058726</c:v>
                </c:pt>
                <c:pt idx="16">
                  <c:v>11.931</c:v>
                </c:pt>
                <c:pt idx="17">
                  <c:v>5.2865</c:v>
                </c:pt>
                <c:pt idx="18">
                  <c:v>2.2795</c:v>
                </c:pt>
                <c:pt idx="19">
                  <c:v>0.8245</c:v>
                </c:pt>
                <c:pt idx="20">
                  <c:v>0.3201</c:v>
                </c:pt>
                <c:pt idx="21">
                  <c:v>0.1261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'Ar Attenuation'!$J$60</c:f>
              <c:strCache>
                <c:ptCount val="1"/>
                <c:pt idx="0">
                  <c:v>97 (dN*x(p))/dp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'Ar Attenuation'!$D$61:$D$82</c:f>
              <c:numCache>
                <c:ptCount val="22"/>
                <c:pt idx="0">
                  <c:v>0.25</c:v>
                </c:pt>
                <c:pt idx="1">
                  <c:v>0.35</c:v>
                </c:pt>
                <c:pt idx="2">
                  <c:v>0.47</c:v>
                </c:pt>
                <c:pt idx="3">
                  <c:v>0.62</c:v>
                </c:pt>
                <c:pt idx="4">
                  <c:v>0.78</c:v>
                </c:pt>
                <c:pt idx="5">
                  <c:v>0.92</c:v>
                </c:pt>
                <c:pt idx="6">
                  <c:v>1.1</c:v>
                </c:pt>
                <c:pt idx="7">
                  <c:v>1.2999999999999998</c:v>
                </c:pt>
                <c:pt idx="8">
                  <c:v>1.5</c:v>
                </c:pt>
                <c:pt idx="9">
                  <c:v>1.84</c:v>
                </c:pt>
                <c:pt idx="10">
                  <c:v>2.49</c:v>
                </c:pt>
                <c:pt idx="11">
                  <c:v>3.49</c:v>
                </c:pt>
                <c:pt idx="12">
                  <c:v>4.78</c:v>
                </c:pt>
                <c:pt idx="13">
                  <c:v>6.21</c:v>
                </c:pt>
                <c:pt idx="14">
                  <c:v>8.37</c:v>
                </c:pt>
                <c:pt idx="15">
                  <c:v>12.42</c:v>
                </c:pt>
                <c:pt idx="16">
                  <c:v>18.85</c:v>
                </c:pt>
                <c:pt idx="17">
                  <c:v>26.68</c:v>
                </c:pt>
                <c:pt idx="18">
                  <c:v>36.69</c:v>
                </c:pt>
                <c:pt idx="19">
                  <c:v>51.47</c:v>
                </c:pt>
                <c:pt idx="20">
                  <c:v>72.08</c:v>
                </c:pt>
                <c:pt idx="21">
                  <c:v>100.96</c:v>
                </c:pt>
              </c:numCache>
            </c:numRef>
          </c:xVal>
          <c:yVal>
            <c:numRef>
              <c:f>'Ar Attenuation'!$J$61:$J$82</c:f>
              <c:numCache>
                <c:ptCount val="22"/>
                <c:pt idx="0">
                  <c:v>13.991076817494207</c:v>
                </c:pt>
                <c:pt idx="1">
                  <c:v>36.9850100633329</c:v>
                </c:pt>
                <c:pt idx="2">
                  <c:v>64.98615655311836</c:v>
                </c:pt>
                <c:pt idx="3">
                  <c:v>90.19868145689209</c:v>
                </c:pt>
                <c:pt idx="4">
                  <c:v>111.98360190823753</c:v>
                </c:pt>
                <c:pt idx="5">
                  <c:v>125.66439875490228</c:v>
                </c:pt>
                <c:pt idx="6">
                  <c:v>143.33430139339083</c:v>
                </c:pt>
                <c:pt idx="7">
                  <c:v>149.43806867262026</c:v>
                </c:pt>
                <c:pt idx="8">
                  <c:v>154.9359601909099</c:v>
                </c:pt>
                <c:pt idx="9">
                  <c:v>144.610606503936</c:v>
                </c:pt>
                <c:pt idx="10">
                  <c:v>130.25866284650087</c:v>
                </c:pt>
                <c:pt idx="11">
                  <c:v>125.86236115218614</c:v>
                </c:pt>
                <c:pt idx="12">
                  <c:v>102.07268823570003</c:v>
                </c:pt>
                <c:pt idx="13">
                  <c:v>79.06890935034001</c:v>
                </c:pt>
                <c:pt idx="14">
                  <c:v>62.748821567239276</c:v>
                </c:pt>
                <c:pt idx="15">
                  <c:v>38.43554362104736</c:v>
                </c:pt>
                <c:pt idx="16">
                  <c:v>13.095</c:v>
                </c:pt>
                <c:pt idx="17">
                  <c:v>5.2865</c:v>
                </c:pt>
                <c:pt idx="18">
                  <c:v>2.3425499999999997</c:v>
                </c:pt>
                <c:pt idx="19">
                  <c:v>0.86815</c:v>
                </c:pt>
                <c:pt idx="20">
                  <c:v>0.3589</c:v>
                </c:pt>
                <c:pt idx="21">
                  <c:v>0.1261</c:v>
                </c:pt>
              </c:numCache>
            </c:numRef>
          </c:yVal>
          <c:smooth val="0"/>
        </c:ser>
        <c:axId val="48826890"/>
        <c:axId val="36788827"/>
      </c:scatterChart>
      <c:scatterChart>
        <c:scatterStyle val="lineMarker"/>
        <c:varyColors val="0"/>
        <c:ser>
          <c:idx val="2"/>
          <c:order val="2"/>
          <c:tx>
            <c:strRef>
              <c:f>'Ar Attenuation'!$K$60</c:f>
              <c:strCache>
                <c:ptCount val="1"/>
                <c:pt idx="0">
                  <c:v>94 N*x(p) from zero to 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'Ar Attenuation'!$D$61:$D$83</c:f>
              <c:numCache>
                <c:ptCount val="22"/>
                <c:pt idx="0">
                  <c:v>0.25</c:v>
                </c:pt>
                <c:pt idx="1">
                  <c:v>0.35</c:v>
                </c:pt>
                <c:pt idx="2">
                  <c:v>0.47</c:v>
                </c:pt>
                <c:pt idx="3">
                  <c:v>0.62</c:v>
                </c:pt>
                <c:pt idx="4">
                  <c:v>0.78</c:v>
                </c:pt>
                <c:pt idx="5">
                  <c:v>0.92</c:v>
                </c:pt>
                <c:pt idx="6">
                  <c:v>1.1</c:v>
                </c:pt>
                <c:pt idx="7">
                  <c:v>1.2999999999999998</c:v>
                </c:pt>
                <c:pt idx="8">
                  <c:v>1.5</c:v>
                </c:pt>
                <c:pt idx="9">
                  <c:v>1.84</c:v>
                </c:pt>
                <c:pt idx="10">
                  <c:v>2.49</c:v>
                </c:pt>
                <c:pt idx="11">
                  <c:v>3.49</c:v>
                </c:pt>
                <c:pt idx="12">
                  <c:v>4.78</c:v>
                </c:pt>
                <c:pt idx="13">
                  <c:v>6.21</c:v>
                </c:pt>
                <c:pt idx="14">
                  <c:v>8.37</c:v>
                </c:pt>
                <c:pt idx="15">
                  <c:v>12.42</c:v>
                </c:pt>
                <c:pt idx="16">
                  <c:v>18.85</c:v>
                </c:pt>
                <c:pt idx="17">
                  <c:v>26.68</c:v>
                </c:pt>
                <c:pt idx="18">
                  <c:v>36.69</c:v>
                </c:pt>
                <c:pt idx="19">
                  <c:v>51.47</c:v>
                </c:pt>
                <c:pt idx="20">
                  <c:v>72.08</c:v>
                </c:pt>
                <c:pt idx="21">
                  <c:v>100.96</c:v>
                </c:pt>
              </c:numCache>
            </c:numRef>
          </c:xVal>
          <c:yVal>
            <c:numRef>
              <c:f>'Ar Attenuation'!$K$61:$K$82</c:f>
              <c:numCache>
                <c:ptCount val="22"/>
                <c:pt idx="0">
                  <c:v>1.5408674909134583</c:v>
                </c:pt>
                <c:pt idx="1">
                  <c:v>5.032619993787124</c:v>
                </c:pt>
                <c:pt idx="2">
                  <c:v>13.096347272891341</c:v>
                </c:pt>
                <c:pt idx="3">
                  <c:v>23.32868513163173</c:v>
                </c:pt>
                <c:pt idx="4">
                  <c:v>36.10365655984778</c:v>
                </c:pt>
                <c:pt idx="5">
                  <c:v>50.34679838501718</c:v>
                </c:pt>
                <c:pt idx="6">
                  <c:v>71.51617212927182</c:v>
                </c:pt>
                <c:pt idx="7">
                  <c:v>94.85596942725704</c:v>
                </c:pt>
                <c:pt idx="8">
                  <c:v>118.00450419095822</c:v>
                </c:pt>
                <c:pt idx="9">
                  <c:v>179.7652840520142</c:v>
                </c:pt>
                <c:pt idx="10">
                  <c:v>281.42858059803916</c:v>
                </c:pt>
                <c:pt idx="11">
                  <c:v>410.0523561404003</c:v>
                </c:pt>
                <c:pt idx="12">
                  <c:v>531.0580698625622</c:v>
                </c:pt>
                <c:pt idx="13">
                  <c:v>638.7423940254063</c:v>
                </c:pt>
                <c:pt idx="14">
                  <c:v>805.0267711785904</c:v>
                </c:pt>
                <c:pt idx="15">
                  <c:v>1006.0540899268203</c:v>
                </c:pt>
                <c:pt idx="16">
                  <c:v>1095.5365899268204</c:v>
                </c:pt>
                <c:pt idx="17">
                  <c:v>1138.3572399268205</c:v>
                </c:pt>
                <c:pt idx="18">
                  <c:v>1166.8509899268206</c:v>
                </c:pt>
                <c:pt idx="19">
                  <c:v>1181.2797399268206</c:v>
                </c:pt>
                <c:pt idx="20">
                  <c:v>1189.1221899268207</c:v>
                </c:pt>
                <c:pt idx="21">
                  <c:v>1193.4600299268207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'Ar Attenuation'!$L$60</c:f>
              <c:strCache>
                <c:ptCount val="1"/>
                <c:pt idx="0">
                  <c:v>97 N*x(p) from zero to 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'Ar Attenuation'!$D$61:$D$82</c:f>
              <c:numCache>
                <c:ptCount val="22"/>
                <c:pt idx="0">
                  <c:v>0.25</c:v>
                </c:pt>
                <c:pt idx="1">
                  <c:v>0.35</c:v>
                </c:pt>
                <c:pt idx="2">
                  <c:v>0.47</c:v>
                </c:pt>
                <c:pt idx="3">
                  <c:v>0.62</c:v>
                </c:pt>
                <c:pt idx="4">
                  <c:v>0.78</c:v>
                </c:pt>
                <c:pt idx="5">
                  <c:v>0.92</c:v>
                </c:pt>
                <c:pt idx="6">
                  <c:v>1.1</c:v>
                </c:pt>
                <c:pt idx="7">
                  <c:v>1.2999999999999998</c:v>
                </c:pt>
                <c:pt idx="8">
                  <c:v>1.5</c:v>
                </c:pt>
                <c:pt idx="9">
                  <c:v>1.84</c:v>
                </c:pt>
                <c:pt idx="10">
                  <c:v>2.49</c:v>
                </c:pt>
                <c:pt idx="11">
                  <c:v>3.49</c:v>
                </c:pt>
                <c:pt idx="12">
                  <c:v>4.78</c:v>
                </c:pt>
                <c:pt idx="13">
                  <c:v>6.21</c:v>
                </c:pt>
                <c:pt idx="14">
                  <c:v>8.37</c:v>
                </c:pt>
                <c:pt idx="15">
                  <c:v>12.42</c:v>
                </c:pt>
                <c:pt idx="16">
                  <c:v>18.85</c:v>
                </c:pt>
                <c:pt idx="17">
                  <c:v>26.68</c:v>
                </c:pt>
                <c:pt idx="18">
                  <c:v>36.69</c:v>
                </c:pt>
                <c:pt idx="19">
                  <c:v>51.47</c:v>
                </c:pt>
                <c:pt idx="20">
                  <c:v>72.08</c:v>
                </c:pt>
                <c:pt idx="21">
                  <c:v>100.96</c:v>
                </c:pt>
              </c:numCache>
            </c:numRef>
          </c:xVal>
          <c:yVal>
            <c:numRef>
              <c:f>'Ar Attenuation'!$L$61:$L$82</c:f>
              <c:numCache>
                <c:ptCount val="22"/>
                <c:pt idx="0">
                  <c:v>1.3991076817494204</c:v>
                </c:pt>
                <c:pt idx="1">
                  <c:v>5.097608688082712</c:v>
                </c:pt>
                <c:pt idx="2">
                  <c:v>14.845532171050468</c:v>
                </c:pt>
                <c:pt idx="3">
                  <c:v>28.375334389584275</c:v>
                </c:pt>
                <c:pt idx="4">
                  <c:v>45.172874675819905</c:v>
                </c:pt>
                <c:pt idx="5">
                  <c:v>64.02253448905525</c:v>
                </c:pt>
                <c:pt idx="6">
                  <c:v>92.6893947677334</c:v>
                </c:pt>
                <c:pt idx="7">
                  <c:v>122.57700850225746</c:v>
                </c:pt>
                <c:pt idx="8">
                  <c:v>153.56420054043946</c:v>
                </c:pt>
                <c:pt idx="9">
                  <c:v>225.86950379240744</c:v>
                </c:pt>
                <c:pt idx="10">
                  <c:v>335.28678058346816</c:v>
                </c:pt>
                <c:pt idx="11">
                  <c:v>483.8043667430478</c:v>
                </c:pt>
                <c:pt idx="12">
                  <c:v>624.6646765083138</c:v>
                </c:pt>
                <c:pt idx="13">
                  <c:v>743.2680405338239</c:v>
                </c:pt>
                <c:pt idx="14">
                  <c:v>931.5145052355417</c:v>
                </c:pt>
                <c:pt idx="15">
                  <c:v>1142.9099951513022</c:v>
                </c:pt>
                <c:pt idx="16">
                  <c:v>1241.1224951513022</c:v>
                </c:pt>
                <c:pt idx="17">
                  <c:v>1283.9431451513024</c:v>
                </c:pt>
                <c:pt idx="18">
                  <c:v>1313.2250201513023</c:v>
                </c:pt>
                <c:pt idx="19">
                  <c:v>1328.4176451513022</c:v>
                </c:pt>
                <c:pt idx="20">
                  <c:v>1337.2106951513022</c:v>
                </c:pt>
                <c:pt idx="21">
                  <c:v>1341.548535151302</c:v>
                </c:pt>
              </c:numCache>
            </c:numRef>
          </c:yVal>
          <c:smooth val="0"/>
        </c:ser>
        <c:axId val="62663988"/>
        <c:axId val="27104981"/>
      </c:scatterChart>
      <c:valAx>
        <c:axId val="48826890"/>
        <c:scaling>
          <c:logBase val="10"/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p; (GeV/c)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36788827"/>
        <c:crossesAt val="0.0001"/>
        <c:crossBetween val="midCat"/>
        <c:dispUnits/>
      </c:valAx>
      <c:valAx>
        <c:axId val="367888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(dN*x(p))/dp; (GeV/c m s sr)^-1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48826890"/>
        <c:crossesAt val="1E-06"/>
        <c:crossBetween val="midCat"/>
        <c:dispUnits/>
      </c:valAx>
      <c:valAx>
        <c:axId val="62663988"/>
        <c:scaling>
          <c:logBase val="10"/>
          <c:orientation val="minMax"/>
        </c:scaling>
        <c:axPos val="b"/>
        <c:delete val="1"/>
        <c:majorTickMark val="in"/>
        <c:minorTickMark val="none"/>
        <c:tickLblPos val="nextTo"/>
        <c:crossAx val="27104981"/>
        <c:crosses val="max"/>
        <c:crossBetween val="midCat"/>
        <c:dispUnits/>
      </c:valAx>
      <c:valAx>
        <c:axId val="271049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N*x(p) from zero to p; (m s sr)^-1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2663988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295"/>
          <c:y val="0.493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CAPRICE94 mu_+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'Multiplied Out'!$D$4:$D$25</c:f>
              <c:numCache>
                <c:ptCount val="22"/>
                <c:pt idx="0">
                  <c:v>0.25</c:v>
                </c:pt>
                <c:pt idx="1">
                  <c:v>0.35</c:v>
                </c:pt>
                <c:pt idx="2">
                  <c:v>0.47</c:v>
                </c:pt>
                <c:pt idx="3">
                  <c:v>0.62</c:v>
                </c:pt>
                <c:pt idx="4">
                  <c:v>0.78</c:v>
                </c:pt>
                <c:pt idx="5">
                  <c:v>0.92</c:v>
                </c:pt>
                <c:pt idx="6">
                  <c:v>1.1</c:v>
                </c:pt>
                <c:pt idx="7">
                  <c:v>1.2999999999999998</c:v>
                </c:pt>
                <c:pt idx="8">
                  <c:v>1.5</c:v>
                </c:pt>
                <c:pt idx="9">
                  <c:v>1.84</c:v>
                </c:pt>
                <c:pt idx="10">
                  <c:v>2.49</c:v>
                </c:pt>
                <c:pt idx="11">
                  <c:v>3.49</c:v>
                </c:pt>
                <c:pt idx="12">
                  <c:v>4.78</c:v>
                </c:pt>
                <c:pt idx="13">
                  <c:v>6.21</c:v>
                </c:pt>
                <c:pt idx="14">
                  <c:v>8.37</c:v>
                </c:pt>
                <c:pt idx="15">
                  <c:v>12.42</c:v>
                </c:pt>
                <c:pt idx="16">
                  <c:v>18.85</c:v>
                </c:pt>
                <c:pt idx="17">
                  <c:v>26.68</c:v>
                </c:pt>
                <c:pt idx="18">
                  <c:v>36.69</c:v>
                </c:pt>
                <c:pt idx="19">
                  <c:v>51.47</c:v>
                </c:pt>
                <c:pt idx="20">
                  <c:v>72.08</c:v>
                </c:pt>
                <c:pt idx="21">
                  <c:v>100.96</c:v>
                </c:pt>
              </c:numCache>
            </c:numRef>
          </c:xVal>
          <c:yVal>
            <c:numRef>
              <c:f>'Multiplied Out'!$E$4:$E$25</c:f>
              <c:numCache>
                <c:ptCount val="22"/>
                <c:pt idx="0">
                  <c:v>14</c:v>
                </c:pt>
                <c:pt idx="1">
                  <c:v>16.8</c:v>
                </c:pt>
                <c:pt idx="2">
                  <c:v>17.2</c:v>
                </c:pt>
                <c:pt idx="3">
                  <c:v>16.599999999999998</c:v>
                </c:pt>
                <c:pt idx="4">
                  <c:v>15.600000000000001</c:v>
                </c:pt>
                <c:pt idx="5">
                  <c:v>14.8</c:v>
                </c:pt>
                <c:pt idx="6">
                  <c:v>13</c:v>
                </c:pt>
                <c:pt idx="7">
                  <c:v>12</c:v>
                </c:pt>
                <c:pt idx="8">
                  <c:v>10.2</c:v>
                </c:pt>
                <c:pt idx="9">
                  <c:v>9.1</c:v>
                </c:pt>
                <c:pt idx="10">
                  <c:v>6.6</c:v>
                </c:pt>
                <c:pt idx="11">
                  <c:v>4.12</c:v>
                </c:pt>
                <c:pt idx="12">
                  <c:v>2.53</c:v>
                </c:pt>
                <c:pt idx="13">
                  <c:v>1.61</c:v>
                </c:pt>
                <c:pt idx="14">
                  <c:v>0.9</c:v>
                </c:pt>
                <c:pt idx="15">
                  <c:v>0.389</c:v>
                </c:pt>
                <c:pt idx="16">
                  <c:v>0.13799999999999998</c:v>
                </c:pt>
                <c:pt idx="17">
                  <c:v>0.063</c:v>
                </c:pt>
                <c:pt idx="18">
                  <c:v>0.027999999999999997</c:v>
                </c:pt>
                <c:pt idx="19">
                  <c:v>0.0099</c:v>
                </c:pt>
                <c:pt idx="20">
                  <c:v>0.0036000000000000003</c:v>
                </c:pt>
                <c:pt idx="21">
                  <c:v>0.0014</c:v>
                </c:pt>
              </c:numCache>
            </c:numRef>
          </c:yVal>
          <c:smooth val="0"/>
        </c:ser>
        <c:axId val="42618238"/>
        <c:axId val="48019823"/>
      </c:scatterChart>
      <c:scatterChart>
        <c:scatterStyle val="lineMarker"/>
        <c:varyColors val="0"/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Integral!$D$4:$D$25</c:f>
              <c:numCache>
                <c:ptCount val="22"/>
                <c:pt idx="0">
                  <c:v>0.25</c:v>
                </c:pt>
                <c:pt idx="1">
                  <c:v>0.35</c:v>
                </c:pt>
                <c:pt idx="2">
                  <c:v>0.47</c:v>
                </c:pt>
                <c:pt idx="3">
                  <c:v>0.62</c:v>
                </c:pt>
                <c:pt idx="4">
                  <c:v>0.78</c:v>
                </c:pt>
                <c:pt idx="5">
                  <c:v>0.92</c:v>
                </c:pt>
                <c:pt idx="6">
                  <c:v>1.1</c:v>
                </c:pt>
                <c:pt idx="7">
                  <c:v>1.2999999999999998</c:v>
                </c:pt>
                <c:pt idx="8">
                  <c:v>1.5</c:v>
                </c:pt>
                <c:pt idx="9">
                  <c:v>1.84</c:v>
                </c:pt>
                <c:pt idx="10">
                  <c:v>2.49</c:v>
                </c:pt>
                <c:pt idx="11">
                  <c:v>3.49</c:v>
                </c:pt>
                <c:pt idx="12">
                  <c:v>4.78</c:v>
                </c:pt>
                <c:pt idx="13">
                  <c:v>6.21</c:v>
                </c:pt>
                <c:pt idx="14">
                  <c:v>8.37</c:v>
                </c:pt>
                <c:pt idx="15">
                  <c:v>12.42</c:v>
                </c:pt>
                <c:pt idx="16">
                  <c:v>18.85</c:v>
                </c:pt>
                <c:pt idx="17">
                  <c:v>26.68</c:v>
                </c:pt>
                <c:pt idx="18">
                  <c:v>36.69</c:v>
                </c:pt>
                <c:pt idx="19">
                  <c:v>51.47</c:v>
                </c:pt>
                <c:pt idx="20">
                  <c:v>72.08</c:v>
                </c:pt>
                <c:pt idx="21">
                  <c:v>100.96</c:v>
                </c:pt>
              </c:numCache>
            </c:numRef>
          </c:xVal>
          <c:yVal>
            <c:numRef>
              <c:f>Integral!$F$4:$F$25</c:f>
              <c:numCache>
                <c:ptCount val="22"/>
                <c:pt idx="0">
                  <c:v>1.3999999999999997</c:v>
                </c:pt>
                <c:pt idx="1">
                  <c:v>3.08</c:v>
                </c:pt>
                <c:pt idx="2">
                  <c:v>5.66</c:v>
                </c:pt>
                <c:pt idx="3">
                  <c:v>8.149999999999999</c:v>
                </c:pt>
                <c:pt idx="4">
                  <c:v>10.489999999999998</c:v>
                </c:pt>
                <c:pt idx="5">
                  <c:v>12.709999999999999</c:v>
                </c:pt>
                <c:pt idx="6">
                  <c:v>15.309999999999999</c:v>
                </c:pt>
                <c:pt idx="7">
                  <c:v>17.709999999999997</c:v>
                </c:pt>
                <c:pt idx="8">
                  <c:v>19.75</c:v>
                </c:pt>
                <c:pt idx="9">
                  <c:v>24.3</c:v>
                </c:pt>
                <c:pt idx="10">
                  <c:v>29.844</c:v>
                </c:pt>
                <c:pt idx="11">
                  <c:v>34.705600000000004</c:v>
                </c:pt>
                <c:pt idx="12">
                  <c:v>38.197</c:v>
                </c:pt>
                <c:pt idx="13">
                  <c:v>40.612</c:v>
                </c:pt>
                <c:pt idx="14">
                  <c:v>43.312000000000005</c:v>
                </c:pt>
                <c:pt idx="15">
                  <c:v>45.4515</c:v>
                </c:pt>
                <c:pt idx="16">
                  <c:v>46.4865</c:v>
                </c:pt>
                <c:pt idx="17">
                  <c:v>46.9968</c:v>
                </c:pt>
                <c:pt idx="18">
                  <c:v>47.3468</c:v>
                </c:pt>
                <c:pt idx="19">
                  <c:v>47.520050000000005</c:v>
                </c:pt>
                <c:pt idx="20">
                  <c:v>47.608250000000005</c:v>
                </c:pt>
                <c:pt idx="21">
                  <c:v>47.65641000000001</c:v>
                </c:pt>
              </c:numCache>
            </c:numRef>
          </c:yVal>
          <c:smooth val="0"/>
        </c:ser>
        <c:axId val="29525224"/>
        <c:axId val="64400425"/>
      </c:scatterChart>
      <c:valAx>
        <c:axId val="42618238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p; GeV/c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48019823"/>
        <c:crossesAt val="0.001"/>
        <c:crossBetween val="midCat"/>
        <c:dispUnits/>
      </c:valAx>
      <c:valAx>
        <c:axId val="48019823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dN/dp; (GeV/c m^2 sr s)^-1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42618238"/>
        <c:crossesAt val="0.001"/>
        <c:crossBetween val="midCat"/>
        <c:dispUnits/>
      </c:valAx>
      <c:valAx>
        <c:axId val="29525224"/>
        <c:scaling>
          <c:logBase val="10"/>
          <c:orientation val="minMax"/>
        </c:scaling>
        <c:axPos val="b"/>
        <c:delete val="1"/>
        <c:majorTickMark val="in"/>
        <c:minorTickMark val="none"/>
        <c:tickLblPos val="nextTo"/>
        <c:crossAx val="64400425"/>
        <c:crosses val="max"/>
        <c:crossBetween val="midCat"/>
        <c:dispUnits/>
      </c:valAx>
      <c:valAx>
        <c:axId val="64400425"/>
        <c:scaling>
          <c:orientation val="minMax"/>
          <c:max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 (as integral from ~0 to p) (m^2 sr s)^-1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9525224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CAPRICE94 mu_-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'Multiplied Out'!$D$4:$D$25</c:f>
              <c:numCache>
                <c:ptCount val="22"/>
                <c:pt idx="0">
                  <c:v>0.25</c:v>
                </c:pt>
                <c:pt idx="1">
                  <c:v>0.35</c:v>
                </c:pt>
                <c:pt idx="2">
                  <c:v>0.47</c:v>
                </c:pt>
                <c:pt idx="3">
                  <c:v>0.62</c:v>
                </c:pt>
                <c:pt idx="4">
                  <c:v>0.78</c:v>
                </c:pt>
                <c:pt idx="5">
                  <c:v>0.92</c:v>
                </c:pt>
                <c:pt idx="6">
                  <c:v>1.1</c:v>
                </c:pt>
                <c:pt idx="7">
                  <c:v>1.2999999999999998</c:v>
                </c:pt>
                <c:pt idx="8">
                  <c:v>1.5</c:v>
                </c:pt>
                <c:pt idx="9">
                  <c:v>1.84</c:v>
                </c:pt>
                <c:pt idx="10">
                  <c:v>2.49</c:v>
                </c:pt>
                <c:pt idx="11">
                  <c:v>3.49</c:v>
                </c:pt>
                <c:pt idx="12">
                  <c:v>4.78</c:v>
                </c:pt>
                <c:pt idx="13">
                  <c:v>6.21</c:v>
                </c:pt>
                <c:pt idx="14">
                  <c:v>8.37</c:v>
                </c:pt>
                <c:pt idx="15">
                  <c:v>12.42</c:v>
                </c:pt>
                <c:pt idx="16">
                  <c:v>18.85</c:v>
                </c:pt>
                <c:pt idx="17">
                  <c:v>26.68</c:v>
                </c:pt>
                <c:pt idx="18">
                  <c:v>36.69</c:v>
                </c:pt>
                <c:pt idx="19">
                  <c:v>51.47</c:v>
                </c:pt>
                <c:pt idx="20">
                  <c:v>72.08</c:v>
                </c:pt>
                <c:pt idx="21">
                  <c:v>100.96</c:v>
                </c:pt>
              </c:numCache>
            </c:numRef>
          </c:xVal>
          <c:yVal>
            <c:numRef>
              <c:f>'Multiplied Out'!$F$4:$F$25</c:f>
              <c:numCache>
                <c:ptCount val="22"/>
                <c:pt idx="0">
                  <c:v>11</c:v>
                </c:pt>
                <c:pt idx="1">
                  <c:v>13.600000000000001</c:v>
                </c:pt>
                <c:pt idx="2">
                  <c:v>14.399999999999999</c:v>
                </c:pt>
                <c:pt idx="3">
                  <c:v>13.5</c:v>
                </c:pt>
                <c:pt idx="4">
                  <c:v>13.3</c:v>
                </c:pt>
                <c:pt idx="5">
                  <c:v>12.1</c:v>
                </c:pt>
                <c:pt idx="6">
                  <c:v>11</c:v>
                </c:pt>
                <c:pt idx="7">
                  <c:v>10.1</c:v>
                </c:pt>
                <c:pt idx="8">
                  <c:v>8.7</c:v>
                </c:pt>
                <c:pt idx="9">
                  <c:v>7.3</c:v>
                </c:pt>
                <c:pt idx="10">
                  <c:v>5.2</c:v>
                </c:pt>
                <c:pt idx="11">
                  <c:v>3.38</c:v>
                </c:pt>
                <c:pt idx="12">
                  <c:v>1.98</c:v>
                </c:pt>
                <c:pt idx="13">
                  <c:v>1.25</c:v>
                </c:pt>
                <c:pt idx="14">
                  <c:v>0.6900000000000001</c:v>
                </c:pt>
                <c:pt idx="15">
                  <c:v>0.309</c:v>
                </c:pt>
                <c:pt idx="16">
                  <c:v>0.10800000000000001</c:v>
                </c:pt>
                <c:pt idx="17">
                  <c:v>0.046</c:v>
                </c:pt>
                <c:pt idx="18">
                  <c:v>0.019</c:v>
                </c:pt>
                <c:pt idx="19">
                  <c:v>0.0070999999999999995</c:v>
                </c:pt>
                <c:pt idx="20">
                  <c:v>0.003</c:v>
                </c:pt>
                <c:pt idx="21">
                  <c:v>0.0012</c:v>
                </c:pt>
              </c:numCache>
            </c:numRef>
          </c:yVal>
          <c:smooth val="0"/>
        </c:ser>
        <c:axId val="42732914"/>
        <c:axId val="49051907"/>
      </c:scatterChart>
      <c:scatterChart>
        <c:scatterStyle val="lineMarker"/>
        <c:varyColors val="0"/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Integral!$D$4:$D$25</c:f>
              <c:numCache>
                <c:ptCount val="22"/>
                <c:pt idx="0">
                  <c:v>0.25</c:v>
                </c:pt>
                <c:pt idx="1">
                  <c:v>0.35</c:v>
                </c:pt>
                <c:pt idx="2">
                  <c:v>0.47</c:v>
                </c:pt>
                <c:pt idx="3">
                  <c:v>0.62</c:v>
                </c:pt>
                <c:pt idx="4">
                  <c:v>0.78</c:v>
                </c:pt>
                <c:pt idx="5">
                  <c:v>0.92</c:v>
                </c:pt>
                <c:pt idx="6">
                  <c:v>1.1</c:v>
                </c:pt>
                <c:pt idx="7">
                  <c:v>1.2999999999999998</c:v>
                </c:pt>
                <c:pt idx="8">
                  <c:v>1.5</c:v>
                </c:pt>
                <c:pt idx="9">
                  <c:v>1.84</c:v>
                </c:pt>
                <c:pt idx="10">
                  <c:v>2.49</c:v>
                </c:pt>
                <c:pt idx="11">
                  <c:v>3.49</c:v>
                </c:pt>
                <c:pt idx="12">
                  <c:v>4.78</c:v>
                </c:pt>
                <c:pt idx="13">
                  <c:v>6.21</c:v>
                </c:pt>
                <c:pt idx="14">
                  <c:v>8.37</c:v>
                </c:pt>
                <c:pt idx="15">
                  <c:v>12.42</c:v>
                </c:pt>
                <c:pt idx="16">
                  <c:v>18.85</c:v>
                </c:pt>
                <c:pt idx="17">
                  <c:v>26.68</c:v>
                </c:pt>
                <c:pt idx="18">
                  <c:v>36.69</c:v>
                </c:pt>
                <c:pt idx="19">
                  <c:v>51.47</c:v>
                </c:pt>
                <c:pt idx="20">
                  <c:v>72.08</c:v>
                </c:pt>
                <c:pt idx="21">
                  <c:v>100.96</c:v>
                </c:pt>
              </c:numCache>
            </c:numRef>
          </c:xVal>
          <c:yVal>
            <c:numRef>
              <c:f>Integral!$H$4:$H$25</c:f>
              <c:numCache>
                <c:ptCount val="22"/>
                <c:pt idx="0">
                  <c:v>1.0999999999999996</c:v>
                </c:pt>
                <c:pt idx="1">
                  <c:v>2.46</c:v>
                </c:pt>
                <c:pt idx="2">
                  <c:v>4.62</c:v>
                </c:pt>
                <c:pt idx="3">
                  <c:v>6.644999999999999</c:v>
                </c:pt>
                <c:pt idx="4">
                  <c:v>8.639999999999999</c:v>
                </c:pt>
                <c:pt idx="5">
                  <c:v>10.454999999999998</c:v>
                </c:pt>
                <c:pt idx="6">
                  <c:v>12.654999999999998</c:v>
                </c:pt>
                <c:pt idx="7">
                  <c:v>14.674999999999997</c:v>
                </c:pt>
                <c:pt idx="8">
                  <c:v>16.415</c:v>
                </c:pt>
                <c:pt idx="9">
                  <c:v>20.064999999999998</c:v>
                </c:pt>
                <c:pt idx="10">
                  <c:v>24.432999999999996</c:v>
                </c:pt>
                <c:pt idx="11">
                  <c:v>28.4214</c:v>
                </c:pt>
                <c:pt idx="12">
                  <c:v>31.153799999999997</c:v>
                </c:pt>
                <c:pt idx="13">
                  <c:v>33.0288</c:v>
                </c:pt>
                <c:pt idx="14">
                  <c:v>35.0988</c:v>
                </c:pt>
                <c:pt idx="15">
                  <c:v>36.7983</c:v>
                </c:pt>
                <c:pt idx="16">
                  <c:v>37.6083</c:v>
                </c:pt>
                <c:pt idx="17">
                  <c:v>37.9809</c:v>
                </c:pt>
                <c:pt idx="18">
                  <c:v>38.218399999999995</c:v>
                </c:pt>
                <c:pt idx="19">
                  <c:v>38.34265</c:v>
                </c:pt>
                <c:pt idx="20">
                  <c:v>38.41615</c:v>
                </c:pt>
                <c:pt idx="21">
                  <c:v>38.45743</c:v>
                </c:pt>
              </c:numCache>
            </c:numRef>
          </c:yVal>
          <c:smooth val="0"/>
        </c:ser>
        <c:axId val="38813980"/>
        <c:axId val="13781501"/>
      </c:scatterChart>
      <c:valAx>
        <c:axId val="42732914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p; GeV/c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49051907"/>
        <c:crossesAt val="0.001"/>
        <c:crossBetween val="midCat"/>
        <c:dispUnits/>
      </c:valAx>
      <c:valAx>
        <c:axId val="49051907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dN/dp; (GeV/c m^2 sr s)^-1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42732914"/>
        <c:crossesAt val="0.001"/>
        <c:crossBetween val="midCat"/>
        <c:dispUnits/>
      </c:valAx>
      <c:valAx>
        <c:axId val="38813980"/>
        <c:scaling>
          <c:logBase val="10"/>
          <c:orientation val="minMax"/>
        </c:scaling>
        <c:axPos val="b"/>
        <c:delete val="1"/>
        <c:majorTickMark val="in"/>
        <c:minorTickMark val="none"/>
        <c:tickLblPos val="nextTo"/>
        <c:crossAx val="13781501"/>
        <c:crosses val="max"/>
        <c:crossBetween val="midCat"/>
        <c:dispUnits/>
      </c:valAx>
      <c:valAx>
        <c:axId val="13781501"/>
        <c:scaling>
          <c:orientation val="minMax"/>
          <c:max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 (as integral from ~0 to p) (m^2 sr s)^-1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8813980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CAPRICE94 Combined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'Multiplied Out'!$D$30:$D$51</c:f>
              <c:numCache>
                <c:ptCount val="22"/>
                <c:pt idx="0">
                  <c:v>0.25</c:v>
                </c:pt>
                <c:pt idx="1">
                  <c:v>0.35</c:v>
                </c:pt>
                <c:pt idx="2">
                  <c:v>0.47</c:v>
                </c:pt>
                <c:pt idx="3">
                  <c:v>0.62</c:v>
                </c:pt>
                <c:pt idx="4">
                  <c:v>0.78</c:v>
                </c:pt>
                <c:pt idx="5">
                  <c:v>0.92</c:v>
                </c:pt>
                <c:pt idx="6">
                  <c:v>1.1</c:v>
                </c:pt>
                <c:pt idx="7">
                  <c:v>1.2999999999999998</c:v>
                </c:pt>
                <c:pt idx="8">
                  <c:v>1.5</c:v>
                </c:pt>
                <c:pt idx="9">
                  <c:v>1.84</c:v>
                </c:pt>
                <c:pt idx="10">
                  <c:v>2.49</c:v>
                </c:pt>
                <c:pt idx="11">
                  <c:v>3.49</c:v>
                </c:pt>
                <c:pt idx="12">
                  <c:v>4.78</c:v>
                </c:pt>
                <c:pt idx="13">
                  <c:v>6.21</c:v>
                </c:pt>
                <c:pt idx="14">
                  <c:v>8.37</c:v>
                </c:pt>
                <c:pt idx="15">
                  <c:v>12.42</c:v>
                </c:pt>
                <c:pt idx="16">
                  <c:v>18.85</c:v>
                </c:pt>
                <c:pt idx="17">
                  <c:v>26.68</c:v>
                </c:pt>
                <c:pt idx="18">
                  <c:v>36.69</c:v>
                </c:pt>
                <c:pt idx="19">
                  <c:v>51.47</c:v>
                </c:pt>
                <c:pt idx="20">
                  <c:v>72.08</c:v>
                </c:pt>
                <c:pt idx="21">
                  <c:v>100.96</c:v>
                </c:pt>
              </c:numCache>
            </c:numRef>
          </c:xVal>
          <c:yVal>
            <c:numRef>
              <c:f>'Multiplied Out'!$E$30:$E$51</c:f>
              <c:numCache>
                <c:ptCount val="22"/>
                <c:pt idx="0">
                  <c:v>25</c:v>
                </c:pt>
                <c:pt idx="1">
                  <c:v>30.400000000000002</c:v>
                </c:pt>
                <c:pt idx="2">
                  <c:v>31.599999999999998</c:v>
                </c:pt>
                <c:pt idx="3">
                  <c:v>30.099999999999998</c:v>
                </c:pt>
                <c:pt idx="4">
                  <c:v>28.900000000000002</c:v>
                </c:pt>
                <c:pt idx="5">
                  <c:v>26.9</c:v>
                </c:pt>
                <c:pt idx="6">
                  <c:v>24</c:v>
                </c:pt>
                <c:pt idx="7">
                  <c:v>22.1</c:v>
                </c:pt>
                <c:pt idx="8">
                  <c:v>18.9</c:v>
                </c:pt>
                <c:pt idx="9">
                  <c:v>16.4</c:v>
                </c:pt>
                <c:pt idx="10">
                  <c:v>11.8</c:v>
                </c:pt>
                <c:pt idx="11">
                  <c:v>7.5</c:v>
                </c:pt>
                <c:pt idx="12">
                  <c:v>4.51</c:v>
                </c:pt>
                <c:pt idx="13">
                  <c:v>2.8600000000000003</c:v>
                </c:pt>
                <c:pt idx="14">
                  <c:v>1.59</c:v>
                </c:pt>
                <c:pt idx="15">
                  <c:v>0.698</c:v>
                </c:pt>
                <c:pt idx="16">
                  <c:v>0.246</c:v>
                </c:pt>
                <c:pt idx="17">
                  <c:v>0.109</c:v>
                </c:pt>
                <c:pt idx="18">
                  <c:v>0.047</c:v>
                </c:pt>
                <c:pt idx="19">
                  <c:v>0.017</c:v>
                </c:pt>
                <c:pt idx="20">
                  <c:v>0.0066</c:v>
                </c:pt>
                <c:pt idx="21">
                  <c:v>0.0026</c:v>
                </c:pt>
              </c:numCache>
            </c:numRef>
          </c:yVal>
          <c:smooth val="0"/>
        </c:ser>
        <c:axId val="56924646"/>
        <c:axId val="42559767"/>
      </c:scatterChart>
      <c:scatterChart>
        <c:scatterStyle val="lineMarker"/>
        <c:varyColors val="0"/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Integral!$D$31:$D$52</c:f>
              <c:numCache>
                <c:ptCount val="22"/>
                <c:pt idx="0">
                  <c:v>0.25</c:v>
                </c:pt>
                <c:pt idx="1">
                  <c:v>0.35</c:v>
                </c:pt>
                <c:pt idx="2">
                  <c:v>0.47</c:v>
                </c:pt>
                <c:pt idx="3">
                  <c:v>0.62</c:v>
                </c:pt>
                <c:pt idx="4">
                  <c:v>0.78</c:v>
                </c:pt>
                <c:pt idx="5">
                  <c:v>0.92</c:v>
                </c:pt>
                <c:pt idx="6">
                  <c:v>1.1</c:v>
                </c:pt>
                <c:pt idx="7">
                  <c:v>1.2999999999999998</c:v>
                </c:pt>
                <c:pt idx="8">
                  <c:v>1.5</c:v>
                </c:pt>
                <c:pt idx="9">
                  <c:v>1.84</c:v>
                </c:pt>
                <c:pt idx="10">
                  <c:v>2.49</c:v>
                </c:pt>
                <c:pt idx="11">
                  <c:v>3.49</c:v>
                </c:pt>
                <c:pt idx="12">
                  <c:v>4.78</c:v>
                </c:pt>
                <c:pt idx="13">
                  <c:v>6.21</c:v>
                </c:pt>
                <c:pt idx="14">
                  <c:v>8.37</c:v>
                </c:pt>
                <c:pt idx="15">
                  <c:v>12.42</c:v>
                </c:pt>
                <c:pt idx="16">
                  <c:v>18.85</c:v>
                </c:pt>
                <c:pt idx="17">
                  <c:v>26.68</c:v>
                </c:pt>
                <c:pt idx="18">
                  <c:v>36.69</c:v>
                </c:pt>
                <c:pt idx="19">
                  <c:v>51.47</c:v>
                </c:pt>
                <c:pt idx="20">
                  <c:v>72.08</c:v>
                </c:pt>
                <c:pt idx="21">
                  <c:v>100.96</c:v>
                </c:pt>
              </c:numCache>
            </c:numRef>
          </c:xVal>
          <c:yVal>
            <c:numRef>
              <c:f>Integral!$F$31:$F$52</c:f>
              <c:numCache>
                <c:ptCount val="22"/>
                <c:pt idx="0">
                  <c:v>2.4999999999999996</c:v>
                </c:pt>
                <c:pt idx="1">
                  <c:v>5.540000000000001</c:v>
                </c:pt>
                <c:pt idx="2">
                  <c:v>10.280000000000001</c:v>
                </c:pt>
                <c:pt idx="3">
                  <c:v>14.794999999999998</c:v>
                </c:pt>
                <c:pt idx="4">
                  <c:v>19.13</c:v>
                </c:pt>
                <c:pt idx="5">
                  <c:v>23.165</c:v>
                </c:pt>
                <c:pt idx="6">
                  <c:v>27.964999999999996</c:v>
                </c:pt>
                <c:pt idx="7">
                  <c:v>32.385</c:v>
                </c:pt>
                <c:pt idx="8">
                  <c:v>36.165</c:v>
                </c:pt>
                <c:pt idx="9">
                  <c:v>44.364999999999995</c:v>
                </c:pt>
                <c:pt idx="10">
                  <c:v>54.276999999999994</c:v>
                </c:pt>
                <c:pt idx="11">
                  <c:v>63.126999999999995</c:v>
                </c:pt>
                <c:pt idx="12">
                  <c:v>69.35079999999999</c:v>
                </c:pt>
                <c:pt idx="13">
                  <c:v>73.6408</c:v>
                </c:pt>
                <c:pt idx="14">
                  <c:v>78.4108</c:v>
                </c:pt>
                <c:pt idx="15">
                  <c:v>82.2498</c:v>
                </c:pt>
                <c:pt idx="16">
                  <c:v>84.09479999999999</c:v>
                </c:pt>
                <c:pt idx="17">
                  <c:v>84.9777</c:v>
                </c:pt>
                <c:pt idx="18">
                  <c:v>85.5652</c:v>
                </c:pt>
                <c:pt idx="19">
                  <c:v>85.8627</c:v>
                </c:pt>
                <c:pt idx="20">
                  <c:v>86.0244</c:v>
                </c:pt>
                <c:pt idx="21">
                  <c:v>86.11384</c:v>
                </c:pt>
              </c:numCache>
            </c:numRef>
          </c:yVal>
          <c:smooth val="0"/>
        </c:ser>
        <c:axId val="47493584"/>
        <c:axId val="24789073"/>
      </c:scatterChart>
      <c:valAx>
        <c:axId val="56924646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p; GeV/c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42559767"/>
        <c:crossesAt val="0.001"/>
        <c:crossBetween val="midCat"/>
        <c:dispUnits/>
      </c:valAx>
      <c:valAx>
        <c:axId val="42559767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dN/dp; (GeV/c m^2 sr s)^-1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56924646"/>
        <c:crossesAt val="0.001"/>
        <c:crossBetween val="midCat"/>
        <c:dispUnits/>
      </c:valAx>
      <c:valAx>
        <c:axId val="47493584"/>
        <c:scaling>
          <c:logBase val="10"/>
          <c:orientation val="minMax"/>
        </c:scaling>
        <c:axPos val="b"/>
        <c:delete val="1"/>
        <c:majorTickMark val="in"/>
        <c:minorTickMark val="none"/>
        <c:tickLblPos val="nextTo"/>
        <c:crossAx val="24789073"/>
        <c:crosses val="max"/>
        <c:crossBetween val="midCat"/>
        <c:dispUnits/>
      </c:valAx>
      <c:valAx>
        <c:axId val="24789073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 (as integral from ~0 to p)(m^2 sr s)^-1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7493584"/>
        <c:crosses val="max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CAPRICE97 mu_+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'Multiplied Out'!$D$4:$D$25</c:f>
              <c:numCache>
                <c:ptCount val="22"/>
                <c:pt idx="0">
                  <c:v>0.25</c:v>
                </c:pt>
                <c:pt idx="1">
                  <c:v>0.35</c:v>
                </c:pt>
                <c:pt idx="2">
                  <c:v>0.47</c:v>
                </c:pt>
                <c:pt idx="3">
                  <c:v>0.62</c:v>
                </c:pt>
                <c:pt idx="4">
                  <c:v>0.78</c:v>
                </c:pt>
                <c:pt idx="5">
                  <c:v>0.92</c:v>
                </c:pt>
                <c:pt idx="6">
                  <c:v>1.1</c:v>
                </c:pt>
                <c:pt idx="7">
                  <c:v>1.2999999999999998</c:v>
                </c:pt>
                <c:pt idx="8">
                  <c:v>1.5</c:v>
                </c:pt>
                <c:pt idx="9">
                  <c:v>1.84</c:v>
                </c:pt>
                <c:pt idx="10">
                  <c:v>2.49</c:v>
                </c:pt>
                <c:pt idx="11">
                  <c:v>3.49</c:v>
                </c:pt>
                <c:pt idx="12">
                  <c:v>4.78</c:v>
                </c:pt>
                <c:pt idx="13">
                  <c:v>6.21</c:v>
                </c:pt>
                <c:pt idx="14">
                  <c:v>8.37</c:v>
                </c:pt>
                <c:pt idx="15">
                  <c:v>12.42</c:v>
                </c:pt>
                <c:pt idx="16">
                  <c:v>18.85</c:v>
                </c:pt>
                <c:pt idx="17">
                  <c:v>26.68</c:v>
                </c:pt>
                <c:pt idx="18">
                  <c:v>36.69</c:v>
                </c:pt>
                <c:pt idx="19">
                  <c:v>51.47</c:v>
                </c:pt>
                <c:pt idx="20">
                  <c:v>72.08</c:v>
                </c:pt>
                <c:pt idx="21">
                  <c:v>100.96</c:v>
                </c:pt>
              </c:numCache>
            </c:numRef>
          </c:xVal>
          <c:yVal>
            <c:numRef>
              <c:f>'Multiplied Out'!$G$4:$G$25</c:f>
              <c:numCache>
                <c:ptCount val="22"/>
                <c:pt idx="0">
                  <c:v>12</c:v>
                </c:pt>
                <c:pt idx="1">
                  <c:v>17</c:v>
                </c:pt>
                <c:pt idx="2">
                  <c:v>20.299999999999997</c:v>
                </c:pt>
                <c:pt idx="3">
                  <c:v>21.200000000000003</c:v>
                </c:pt>
                <c:pt idx="4">
                  <c:v>20.4</c:v>
                </c:pt>
                <c:pt idx="5">
                  <c:v>19.2</c:v>
                </c:pt>
                <c:pt idx="6">
                  <c:v>17.7</c:v>
                </c:pt>
                <c:pt idx="7">
                  <c:v>15.5</c:v>
                </c:pt>
                <c:pt idx="8">
                  <c:v>13.9</c:v>
                </c:pt>
                <c:pt idx="9">
                  <c:v>10</c:v>
                </c:pt>
                <c:pt idx="10">
                  <c:v>7</c:v>
                </c:pt>
                <c:pt idx="11">
                  <c:v>4.8</c:v>
                </c:pt>
                <c:pt idx="12">
                  <c:v>2.94</c:v>
                </c:pt>
                <c:pt idx="13">
                  <c:v>1.78</c:v>
                </c:pt>
                <c:pt idx="14">
                  <c:v>1.02</c:v>
                </c:pt>
                <c:pt idx="15">
                  <c:v>0.414</c:v>
                </c:pt>
                <c:pt idx="16">
                  <c:v>0.15400000000000003</c:v>
                </c:pt>
                <c:pt idx="17">
                  <c:v>0.064</c:v>
                </c:pt>
                <c:pt idx="18">
                  <c:v>0.027999999999999997</c:v>
                </c:pt>
                <c:pt idx="19">
                  <c:v>0.010199999999999999</c:v>
                </c:pt>
                <c:pt idx="20">
                  <c:v>0.004200000000000001</c:v>
                </c:pt>
                <c:pt idx="21">
                  <c:v>0.0015</c:v>
                </c:pt>
              </c:numCache>
            </c:numRef>
          </c:yVal>
          <c:smooth val="0"/>
        </c:ser>
        <c:axId val="21775066"/>
        <c:axId val="61757867"/>
      </c:scatterChart>
      <c:scatterChart>
        <c:scatterStyle val="lineMarker"/>
        <c:varyColors val="0"/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Integral!$D$4:$D$25</c:f>
              <c:numCache>
                <c:ptCount val="22"/>
                <c:pt idx="0">
                  <c:v>0.25</c:v>
                </c:pt>
                <c:pt idx="1">
                  <c:v>0.35</c:v>
                </c:pt>
                <c:pt idx="2">
                  <c:v>0.47</c:v>
                </c:pt>
                <c:pt idx="3">
                  <c:v>0.62</c:v>
                </c:pt>
                <c:pt idx="4">
                  <c:v>0.78</c:v>
                </c:pt>
                <c:pt idx="5">
                  <c:v>0.92</c:v>
                </c:pt>
                <c:pt idx="6">
                  <c:v>1.1</c:v>
                </c:pt>
                <c:pt idx="7">
                  <c:v>1.2999999999999998</c:v>
                </c:pt>
                <c:pt idx="8">
                  <c:v>1.5</c:v>
                </c:pt>
                <c:pt idx="9">
                  <c:v>1.84</c:v>
                </c:pt>
                <c:pt idx="10">
                  <c:v>2.49</c:v>
                </c:pt>
                <c:pt idx="11">
                  <c:v>3.49</c:v>
                </c:pt>
                <c:pt idx="12">
                  <c:v>4.78</c:v>
                </c:pt>
                <c:pt idx="13">
                  <c:v>6.21</c:v>
                </c:pt>
                <c:pt idx="14">
                  <c:v>8.37</c:v>
                </c:pt>
                <c:pt idx="15">
                  <c:v>12.42</c:v>
                </c:pt>
                <c:pt idx="16">
                  <c:v>18.85</c:v>
                </c:pt>
                <c:pt idx="17">
                  <c:v>26.68</c:v>
                </c:pt>
                <c:pt idx="18">
                  <c:v>36.69</c:v>
                </c:pt>
                <c:pt idx="19">
                  <c:v>51.47</c:v>
                </c:pt>
                <c:pt idx="20">
                  <c:v>72.08</c:v>
                </c:pt>
                <c:pt idx="21">
                  <c:v>100.96</c:v>
                </c:pt>
              </c:numCache>
            </c:numRef>
          </c:xVal>
          <c:yVal>
            <c:numRef>
              <c:f>Integral!$J$4:$J$25</c:f>
              <c:numCache>
                <c:ptCount val="22"/>
                <c:pt idx="0">
                  <c:v>1.1999999999999997</c:v>
                </c:pt>
                <c:pt idx="1">
                  <c:v>2.9000000000000004</c:v>
                </c:pt>
                <c:pt idx="2">
                  <c:v>5.945</c:v>
                </c:pt>
                <c:pt idx="3">
                  <c:v>9.124999999999998</c:v>
                </c:pt>
                <c:pt idx="4">
                  <c:v>12.184999999999999</c:v>
                </c:pt>
                <c:pt idx="5">
                  <c:v>15.065</c:v>
                </c:pt>
                <c:pt idx="6">
                  <c:v>18.604999999999997</c:v>
                </c:pt>
                <c:pt idx="7">
                  <c:v>21.704999999999995</c:v>
                </c:pt>
                <c:pt idx="8">
                  <c:v>24.484999999999996</c:v>
                </c:pt>
                <c:pt idx="9">
                  <c:v>29.484999999999996</c:v>
                </c:pt>
                <c:pt idx="10">
                  <c:v>35.364999999999995</c:v>
                </c:pt>
                <c:pt idx="11">
                  <c:v>41.028999999999996</c:v>
                </c:pt>
                <c:pt idx="12">
                  <c:v>45.0862</c:v>
                </c:pt>
                <c:pt idx="13">
                  <c:v>47.7562</c:v>
                </c:pt>
                <c:pt idx="14">
                  <c:v>50.8162</c:v>
                </c:pt>
                <c:pt idx="15">
                  <c:v>53.0932</c:v>
                </c:pt>
                <c:pt idx="16">
                  <c:v>54.248200000000004</c:v>
                </c:pt>
                <c:pt idx="17">
                  <c:v>54.766600000000004</c:v>
                </c:pt>
                <c:pt idx="18">
                  <c:v>55.116600000000005</c:v>
                </c:pt>
                <c:pt idx="19">
                  <c:v>55.295100000000005</c:v>
                </c:pt>
                <c:pt idx="20">
                  <c:v>55.398</c:v>
                </c:pt>
                <c:pt idx="21">
                  <c:v>55.449600000000004</c:v>
                </c:pt>
              </c:numCache>
            </c:numRef>
          </c:yVal>
          <c:smooth val="0"/>
        </c:ser>
        <c:axId val="18949892"/>
        <c:axId val="36331301"/>
      </c:scatterChart>
      <c:valAx>
        <c:axId val="21775066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p; GeV/c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61757867"/>
        <c:crossesAt val="0.001"/>
        <c:crossBetween val="midCat"/>
        <c:dispUnits/>
      </c:valAx>
      <c:valAx>
        <c:axId val="61757867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dN/dp; (GeV/c m^2 sr s)^-1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21775066"/>
        <c:crossesAt val="0.001"/>
        <c:crossBetween val="midCat"/>
        <c:dispUnits/>
      </c:valAx>
      <c:valAx>
        <c:axId val="18949892"/>
        <c:scaling>
          <c:logBase val="10"/>
          <c:orientation val="minMax"/>
        </c:scaling>
        <c:axPos val="b"/>
        <c:delete val="1"/>
        <c:majorTickMark val="in"/>
        <c:minorTickMark val="none"/>
        <c:tickLblPos val="nextTo"/>
        <c:crossAx val="36331301"/>
        <c:crosses val="max"/>
        <c:crossBetween val="midCat"/>
        <c:dispUnits/>
      </c:valAx>
      <c:valAx>
        <c:axId val="36331301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 (as integral from ~0 to p) (m^2 sr s)^-1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8949892"/>
        <c:crosses val="max"/>
        <c:crossBetween val="midCat"/>
        <c:dispUnits/>
        <c:majorUnit val="6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6"/>
  </sheetViews>
  <pageMargins left="0.75" right="0.75" top="1" bottom="1" header="0.5" footer="0.5"/>
  <pageSetup horizontalDpi="600" verticalDpi="600" orientation="landscape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pageSetup horizontalDpi="600" verticalDpi="600" orientation="landscape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36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36"/>
  </sheetViews>
  <pageMargins left="0.75" right="0.75" top="1" bottom="1" header="0.5" footer="0.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tabSelected="1" workbookViewId="0" zoomScale="136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6"/>
  </sheetViews>
  <pageMargins left="0.75" right="0.75" top="1" bottom="1" header="0.5" footer="0.5"/>
  <pageSetup horizontalDpi="600" verticalDpi="6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pageSetup horizontalDpi="600" verticalDpi="6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pageSetup horizontalDpi="600" verticalDpi="600" orientation="landscape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pageSetup horizontalDpi="600" verticalDpi="600" orientation="landscape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15025"/>
    <xdr:graphicFrame>
      <xdr:nvGraphicFramePr>
        <xdr:cNvPr id="1" name="Chart 1"/>
        <xdr:cNvGraphicFramePr/>
      </xdr:nvGraphicFramePr>
      <xdr:xfrm>
        <a:off x="0" y="0"/>
        <a:ext cx="86772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15025"/>
    <xdr:graphicFrame>
      <xdr:nvGraphicFramePr>
        <xdr:cNvPr id="1" name="Shape 1025"/>
        <xdr:cNvGraphicFramePr/>
      </xdr:nvGraphicFramePr>
      <xdr:xfrm>
        <a:off x="0" y="0"/>
        <a:ext cx="86772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15025"/>
    <xdr:graphicFrame>
      <xdr:nvGraphicFramePr>
        <xdr:cNvPr id="1" name="Shape 1025"/>
        <xdr:cNvGraphicFramePr/>
      </xdr:nvGraphicFramePr>
      <xdr:xfrm>
        <a:off x="0" y="0"/>
        <a:ext cx="86772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15025"/>
    <xdr:graphicFrame>
      <xdr:nvGraphicFramePr>
        <xdr:cNvPr id="1" name="Shape 1025"/>
        <xdr:cNvGraphicFramePr/>
      </xdr:nvGraphicFramePr>
      <xdr:xfrm>
        <a:off x="0" y="0"/>
        <a:ext cx="86772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15025"/>
    <xdr:graphicFrame>
      <xdr:nvGraphicFramePr>
        <xdr:cNvPr id="1" name="Shape 1025"/>
        <xdr:cNvGraphicFramePr/>
      </xdr:nvGraphicFramePr>
      <xdr:xfrm>
        <a:off x="0" y="0"/>
        <a:ext cx="86772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15025"/>
    <xdr:graphicFrame>
      <xdr:nvGraphicFramePr>
        <xdr:cNvPr id="1" name="Shape 1025"/>
        <xdr:cNvGraphicFramePr/>
      </xdr:nvGraphicFramePr>
      <xdr:xfrm>
        <a:off x="0" y="0"/>
        <a:ext cx="86772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15025"/>
    <xdr:graphicFrame>
      <xdr:nvGraphicFramePr>
        <xdr:cNvPr id="1" name="Shape 1025"/>
        <xdr:cNvGraphicFramePr/>
      </xdr:nvGraphicFramePr>
      <xdr:xfrm>
        <a:off x="0" y="0"/>
        <a:ext cx="86772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15025"/>
    <xdr:graphicFrame>
      <xdr:nvGraphicFramePr>
        <xdr:cNvPr id="1" name="Shape 1025"/>
        <xdr:cNvGraphicFramePr/>
      </xdr:nvGraphicFramePr>
      <xdr:xfrm>
        <a:off x="0" y="0"/>
        <a:ext cx="86772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15025"/>
    <xdr:graphicFrame>
      <xdr:nvGraphicFramePr>
        <xdr:cNvPr id="1" name="Shape 1025"/>
        <xdr:cNvGraphicFramePr/>
      </xdr:nvGraphicFramePr>
      <xdr:xfrm>
        <a:off x="0" y="0"/>
        <a:ext cx="86772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15025"/>
    <xdr:graphicFrame>
      <xdr:nvGraphicFramePr>
        <xdr:cNvPr id="1" name="Shape 1025"/>
        <xdr:cNvGraphicFramePr/>
      </xdr:nvGraphicFramePr>
      <xdr:xfrm>
        <a:off x="0" y="0"/>
        <a:ext cx="86772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15025"/>
    <xdr:graphicFrame>
      <xdr:nvGraphicFramePr>
        <xdr:cNvPr id="1" name="Shape 1025"/>
        <xdr:cNvGraphicFramePr/>
      </xdr:nvGraphicFramePr>
      <xdr:xfrm>
        <a:off x="0" y="0"/>
        <a:ext cx="86772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F27"/>
  <sheetViews>
    <sheetView workbookViewId="0" topLeftCell="A1">
      <selection activeCell="J47" sqref="J47"/>
    </sheetView>
  </sheetViews>
  <sheetFormatPr defaultColWidth="9.140625" defaultRowHeight="12.75"/>
  <cols>
    <col min="1" max="1" width="5.00390625" style="0" bestFit="1" customWidth="1"/>
    <col min="2" max="2" width="1.57421875" style="2" bestFit="1" customWidth="1"/>
    <col min="3" max="3" width="5.57421875" style="23" bestFit="1" customWidth="1"/>
    <col min="4" max="4" width="10.28125" style="2" customWidth="1"/>
    <col min="5" max="5" width="4.57421875" style="19" customWidth="1"/>
    <col min="6" max="6" width="5.00390625" style="0" bestFit="1" customWidth="1"/>
    <col min="7" max="7" width="2.00390625" style="0" bestFit="1" customWidth="1"/>
    <col min="8" max="8" width="5.00390625" style="2" bestFit="1" customWidth="1"/>
    <col min="9" max="9" width="1.57421875" style="2" bestFit="1" customWidth="1"/>
    <col min="10" max="10" width="2.00390625" style="0" bestFit="1" customWidth="1"/>
    <col min="11" max="11" width="8.28125" style="0" customWidth="1"/>
    <col min="12" max="12" width="5.28125" style="0" customWidth="1"/>
    <col min="13" max="13" width="5.00390625" style="0" bestFit="1" customWidth="1"/>
    <col min="14" max="14" width="2.00390625" style="0" bestFit="1" customWidth="1"/>
    <col min="15" max="15" width="5.00390625" style="0" bestFit="1" customWidth="1"/>
    <col min="16" max="16" width="1.57421875" style="0" bestFit="1" customWidth="1"/>
    <col min="17" max="17" width="2.00390625" style="0" bestFit="1" customWidth="1"/>
    <col min="19" max="19" width="4.140625" style="0" customWidth="1"/>
    <col min="20" max="20" width="5.00390625" style="0" bestFit="1" customWidth="1"/>
    <col min="21" max="21" width="2.00390625" style="0" bestFit="1" customWidth="1"/>
    <col min="22" max="22" width="5.00390625" style="23" bestFit="1" customWidth="1"/>
    <col min="23" max="23" width="1.57421875" style="0" bestFit="1" customWidth="1"/>
    <col min="24" max="24" width="2.00390625" style="0" bestFit="1" customWidth="1"/>
    <col min="26" max="26" width="6.140625" style="0" customWidth="1"/>
    <col min="27" max="27" width="5.57421875" style="0" bestFit="1" customWidth="1"/>
    <col min="28" max="28" width="2.00390625" style="0" bestFit="1" customWidth="1"/>
    <col min="29" max="29" width="5.00390625" style="23" bestFit="1" customWidth="1"/>
    <col min="30" max="30" width="1.57421875" style="0" bestFit="1" customWidth="1"/>
    <col min="31" max="31" width="2.00390625" style="0" bestFit="1" customWidth="1"/>
  </cols>
  <sheetData>
    <row r="1" ht="18">
      <c r="A1" s="44" t="s">
        <v>27</v>
      </c>
    </row>
    <row r="2" spans="1:32" s="1" customFormat="1" ht="25.5" customHeight="1">
      <c r="A2" s="74" t="s">
        <v>0</v>
      </c>
      <c r="B2" s="74"/>
      <c r="C2" s="74"/>
      <c r="D2" s="74" t="s">
        <v>1</v>
      </c>
      <c r="E2" s="74" t="s">
        <v>9</v>
      </c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 t="s">
        <v>10</v>
      </c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</row>
    <row r="3" spans="1:32" ht="12.75">
      <c r="A3" s="74"/>
      <c r="B3" s="74"/>
      <c r="C3" s="74"/>
      <c r="D3" s="74"/>
      <c r="E3" s="74" t="s">
        <v>2</v>
      </c>
      <c r="F3" s="74"/>
      <c r="G3" s="74"/>
      <c r="H3" s="74"/>
      <c r="I3" s="74"/>
      <c r="J3" s="74"/>
      <c r="K3" s="74"/>
      <c r="L3" s="76" t="s">
        <v>3</v>
      </c>
      <c r="M3" s="76"/>
      <c r="N3" s="76"/>
      <c r="O3" s="76"/>
      <c r="P3" s="76"/>
      <c r="Q3" s="76"/>
      <c r="R3" s="76"/>
      <c r="S3" s="76" t="s">
        <v>2</v>
      </c>
      <c r="T3" s="76"/>
      <c r="U3" s="76"/>
      <c r="V3" s="76"/>
      <c r="W3" s="76"/>
      <c r="X3" s="76"/>
      <c r="Y3" s="76"/>
      <c r="Z3" s="76" t="s">
        <v>3</v>
      </c>
      <c r="AA3" s="76"/>
      <c r="AB3" s="76"/>
      <c r="AC3" s="76"/>
      <c r="AD3" s="76"/>
      <c r="AE3" s="76"/>
      <c r="AF3" s="76"/>
    </row>
    <row r="4" spans="1:32" ht="12.75">
      <c r="A4" s="8">
        <v>0.2</v>
      </c>
      <c r="B4" s="9" t="s">
        <v>4</v>
      </c>
      <c r="C4" s="14">
        <v>0.3</v>
      </c>
      <c r="D4" s="9">
        <f>AVERAGE(A4,C4)</f>
        <v>0.25</v>
      </c>
      <c r="E4" s="18" t="s">
        <v>7</v>
      </c>
      <c r="F4" s="10">
        <v>1.4</v>
      </c>
      <c r="G4" s="11" t="s">
        <v>5</v>
      </c>
      <c r="H4" s="9">
        <v>0.2</v>
      </c>
      <c r="I4" s="10" t="s">
        <v>8</v>
      </c>
      <c r="J4" s="11" t="s">
        <v>6</v>
      </c>
      <c r="K4" s="14">
        <v>10</v>
      </c>
      <c r="L4" s="18" t="s">
        <v>7</v>
      </c>
      <c r="M4" s="10">
        <v>1.1</v>
      </c>
      <c r="N4" s="11" t="s">
        <v>5</v>
      </c>
      <c r="O4" s="9">
        <v>0.1</v>
      </c>
      <c r="P4" s="10" t="s">
        <v>8</v>
      </c>
      <c r="Q4" s="11" t="s">
        <v>6</v>
      </c>
      <c r="R4" s="14">
        <v>10</v>
      </c>
      <c r="S4" s="18" t="s">
        <v>7</v>
      </c>
      <c r="T4" s="10">
        <v>1.2</v>
      </c>
      <c r="U4" s="11" t="s">
        <v>5</v>
      </c>
      <c r="V4" s="20">
        <v>0.1</v>
      </c>
      <c r="W4" s="10" t="s">
        <v>8</v>
      </c>
      <c r="X4" s="11" t="s">
        <v>6</v>
      </c>
      <c r="Y4" s="14">
        <v>10</v>
      </c>
      <c r="Z4" s="18" t="s">
        <v>7</v>
      </c>
      <c r="AA4" s="10">
        <v>1.07</v>
      </c>
      <c r="AB4" s="11" t="s">
        <v>5</v>
      </c>
      <c r="AC4" s="20">
        <v>0.09</v>
      </c>
      <c r="AD4" s="10" t="s">
        <v>8</v>
      </c>
      <c r="AE4" s="11" t="s">
        <v>6</v>
      </c>
      <c r="AF4" s="14">
        <v>10</v>
      </c>
    </row>
    <row r="5" spans="1:32" ht="12.75">
      <c r="A5" s="8">
        <v>0.3</v>
      </c>
      <c r="B5" s="9" t="s">
        <v>4</v>
      </c>
      <c r="C5" s="21">
        <v>0.4</v>
      </c>
      <c r="D5" s="9">
        <f>AVERAGE(A5,C5)</f>
        <v>0.35</v>
      </c>
      <c r="E5" s="18" t="s">
        <v>7</v>
      </c>
      <c r="F5" s="10">
        <v>1.68</v>
      </c>
      <c r="G5" s="11" t="s">
        <v>5</v>
      </c>
      <c r="H5" s="9">
        <v>0.08</v>
      </c>
      <c r="I5" s="10" t="s">
        <v>8</v>
      </c>
      <c r="J5" s="11" t="s">
        <v>6</v>
      </c>
      <c r="K5" s="14">
        <v>10</v>
      </c>
      <c r="L5" s="18" t="s">
        <v>7</v>
      </c>
      <c r="M5" s="10">
        <v>1.36</v>
      </c>
      <c r="N5" s="11" t="s">
        <v>5</v>
      </c>
      <c r="O5" s="9">
        <v>0.07</v>
      </c>
      <c r="P5" s="10" t="s">
        <v>8</v>
      </c>
      <c r="Q5" s="11" t="s">
        <v>6</v>
      </c>
      <c r="R5" s="14">
        <v>10</v>
      </c>
      <c r="S5" s="18" t="s">
        <v>7</v>
      </c>
      <c r="T5" s="10">
        <v>1.7</v>
      </c>
      <c r="U5" s="11" t="s">
        <v>5</v>
      </c>
      <c r="V5" s="20">
        <v>0.08</v>
      </c>
      <c r="W5" s="10" t="s">
        <v>8</v>
      </c>
      <c r="X5" s="11" t="s">
        <v>6</v>
      </c>
      <c r="Y5" s="14">
        <v>10</v>
      </c>
      <c r="Z5" s="18" t="s">
        <v>7</v>
      </c>
      <c r="AA5" s="10">
        <v>1.52</v>
      </c>
      <c r="AB5" s="11" t="s">
        <v>5</v>
      </c>
      <c r="AC5" s="20">
        <v>0.07</v>
      </c>
      <c r="AD5" s="10" t="s">
        <v>8</v>
      </c>
      <c r="AE5" s="11" t="s">
        <v>6</v>
      </c>
      <c r="AF5" s="14">
        <v>10</v>
      </c>
    </row>
    <row r="6" spans="1:32" ht="12.75">
      <c r="A6" s="12">
        <v>0.4</v>
      </c>
      <c r="B6" s="9" t="s">
        <v>4</v>
      </c>
      <c r="C6" s="14">
        <v>0.55</v>
      </c>
      <c r="D6" s="9">
        <v>0.47</v>
      </c>
      <c r="E6" s="18" t="s">
        <v>7</v>
      </c>
      <c r="F6" s="10">
        <v>1.72</v>
      </c>
      <c r="G6" s="11" t="s">
        <v>5</v>
      </c>
      <c r="H6" s="9">
        <v>0.05</v>
      </c>
      <c r="I6" s="10" t="s">
        <v>8</v>
      </c>
      <c r="J6" s="11" t="s">
        <v>6</v>
      </c>
      <c r="K6" s="14">
        <v>10</v>
      </c>
      <c r="L6" s="18" t="s">
        <v>7</v>
      </c>
      <c r="M6" s="10">
        <v>1.44</v>
      </c>
      <c r="N6" s="11" t="s">
        <v>5</v>
      </c>
      <c r="O6" s="9">
        <v>0.04</v>
      </c>
      <c r="P6" s="10" t="s">
        <v>8</v>
      </c>
      <c r="Q6" s="11" t="s">
        <v>6</v>
      </c>
      <c r="R6" s="14">
        <v>10</v>
      </c>
      <c r="S6" s="18" t="s">
        <v>7</v>
      </c>
      <c r="T6" s="10">
        <v>2.03</v>
      </c>
      <c r="U6" s="11" t="s">
        <v>5</v>
      </c>
      <c r="V6" s="20">
        <v>0.06</v>
      </c>
      <c r="W6" s="10" t="s">
        <v>8</v>
      </c>
      <c r="X6" s="11" t="s">
        <v>6</v>
      </c>
      <c r="Y6" s="14">
        <v>10</v>
      </c>
      <c r="Z6" s="18" t="s">
        <v>7</v>
      </c>
      <c r="AA6" s="10">
        <v>1.79</v>
      </c>
      <c r="AB6" s="11" t="s">
        <v>5</v>
      </c>
      <c r="AC6" s="20">
        <v>0.05</v>
      </c>
      <c r="AD6" s="10" t="s">
        <v>8</v>
      </c>
      <c r="AE6" s="11" t="s">
        <v>6</v>
      </c>
      <c r="AF6" s="14">
        <v>10</v>
      </c>
    </row>
    <row r="7" spans="1:32" ht="12.75">
      <c r="A7" s="8">
        <v>0.55</v>
      </c>
      <c r="B7" s="9" t="s">
        <v>4</v>
      </c>
      <c r="C7" s="21">
        <v>0.7</v>
      </c>
      <c r="D7" s="9">
        <v>0.62</v>
      </c>
      <c r="E7" s="18" t="s">
        <v>7</v>
      </c>
      <c r="F7" s="10">
        <v>1.66</v>
      </c>
      <c r="G7" s="11" t="s">
        <v>5</v>
      </c>
      <c r="H7" s="9">
        <v>0.04</v>
      </c>
      <c r="I7" s="10" t="s">
        <v>8</v>
      </c>
      <c r="J7" s="11" t="s">
        <v>6</v>
      </c>
      <c r="K7" s="14">
        <v>10</v>
      </c>
      <c r="L7" s="18" t="s">
        <v>7</v>
      </c>
      <c r="M7" s="10">
        <v>1.35</v>
      </c>
      <c r="N7" s="11" t="s">
        <v>5</v>
      </c>
      <c r="O7" s="9">
        <v>0.03</v>
      </c>
      <c r="P7" s="10" t="s">
        <v>8</v>
      </c>
      <c r="Q7" s="11" t="s">
        <v>6</v>
      </c>
      <c r="R7" s="14">
        <v>10</v>
      </c>
      <c r="S7" s="18" t="s">
        <v>7</v>
      </c>
      <c r="T7" s="10">
        <v>2.12</v>
      </c>
      <c r="U7" s="11" t="s">
        <v>5</v>
      </c>
      <c r="V7" s="20">
        <v>0.06</v>
      </c>
      <c r="W7" s="10" t="s">
        <v>8</v>
      </c>
      <c r="X7" s="11" t="s">
        <v>6</v>
      </c>
      <c r="Y7" s="14">
        <v>10</v>
      </c>
      <c r="Z7" s="18" t="s">
        <v>7</v>
      </c>
      <c r="AA7" s="10">
        <v>1.86</v>
      </c>
      <c r="AB7" s="11" t="s">
        <v>5</v>
      </c>
      <c r="AC7" s="20">
        <v>0.05</v>
      </c>
      <c r="AD7" s="10" t="s">
        <v>8</v>
      </c>
      <c r="AE7" s="11" t="s">
        <v>6</v>
      </c>
      <c r="AF7" s="14">
        <v>10</v>
      </c>
    </row>
    <row r="8" spans="1:32" ht="12.75">
      <c r="A8" s="12">
        <v>0.7</v>
      </c>
      <c r="B8" s="9" t="s">
        <v>4</v>
      </c>
      <c r="C8" s="14">
        <v>0.85</v>
      </c>
      <c r="D8" s="9">
        <v>0.78</v>
      </c>
      <c r="E8" s="18" t="s">
        <v>7</v>
      </c>
      <c r="F8" s="10">
        <v>1.56</v>
      </c>
      <c r="G8" s="11" t="s">
        <v>5</v>
      </c>
      <c r="H8" s="17">
        <v>0.04</v>
      </c>
      <c r="I8" s="10" t="s">
        <v>8</v>
      </c>
      <c r="J8" s="11" t="s">
        <v>6</v>
      </c>
      <c r="K8" s="14">
        <v>10</v>
      </c>
      <c r="L8" s="18" t="s">
        <v>7</v>
      </c>
      <c r="M8" s="10">
        <v>1.33</v>
      </c>
      <c r="N8" s="11" t="s">
        <v>5</v>
      </c>
      <c r="O8" s="17">
        <v>0.03</v>
      </c>
      <c r="P8" s="10" t="s">
        <v>8</v>
      </c>
      <c r="Q8" s="11" t="s">
        <v>6</v>
      </c>
      <c r="R8" s="14">
        <v>10</v>
      </c>
      <c r="S8" s="18" t="s">
        <v>7</v>
      </c>
      <c r="T8" s="10">
        <v>2.04</v>
      </c>
      <c r="U8" s="11" t="s">
        <v>5</v>
      </c>
      <c r="V8" s="20">
        <v>0.05</v>
      </c>
      <c r="W8" s="10" t="s">
        <v>8</v>
      </c>
      <c r="X8" s="11" t="s">
        <v>6</v>
      </c>
      <c r="Y8" s="14">
        <v>10</v>
      </c>
      <c r="Z8" s="18" t="s">
        <v>7</v>
      </c>
      <c r="AA8" s="10">
        <v>1.76</v>
      </c>
      <c r="AB8" s="11" t="s">
        <v>5</v>
      </c>
      <c r="AC8" s="20">
        <v>0.05</v>
      </c>
      <c r="AD8" s="10" t="s">
        <v>8</v>
      </c>
      <c r="AE8" s="11" t="s">
        <v>6</v>
      </c>
      <c r="AF8" s="14">
        <v>10</v>
      </c>
    </row>
    <row r="9" spans="1:32" ht="12.75">
      <c r="A9" s="8">
        <v>0.85</v>
      </c>
      <c r="B9" s="9" t="s">
        <v>4</v>
      </c>
      <c r="C9" s="22">
        <v>1</v>
      </c>
      <c r="D9" s="9">
        <v>0.92</v>
      </c>
      <c r="E9" s="18" t="s">
        <v>7</v>
      </c>
      <c r="F9" s="10">
        <v>1.48</v>
      </c>
      <c r="G9" s="11" t="s">
        <v>5</v>
      </c>
      <c r="H9" s="9">
        <v>0.03</v>
      </c>
      <c r="I9" s="10" t="s">
        <v>8</v>
      </c>
      <c r="J9" s="11" t="s">
        <v>6</v>
      </c>
      <c r="K9" s="14">
        <v>10</v>
      </c>
      <c r="L9" s="18" t="s">
        <v>7</v>
      </c>
      <c r="M9" s="10">
        <v>1.21</v>
      </c>
      <c r="N9" s="11" t="s">
        <v>5</v>
      </c>
      <c r="O9" s="9">
        <v>0.03</v>
      </c>
      <c r="P9" s="10" t="s">
        <v>8</v>
      </c>
      <c r="Q9" s="11" t="s">
        <v>6</v>
      </c>
      <c r="R9" s="14">
        <v>10</v>
      </c>
      <c r="S9" s="18" t="s">
        <v>7</v>
      </c>
      <c r="T9" s="10">
        <v>1.92</v>
      </c>
      <c r="U9" s="11" t="s">
        <v>5</v>
      </c>
      <c r="V9" s="20">
        <v>0.05</v>
      </c>
      <c r="W9" s="10" t="s">
        <v>8</v>
      </c>
      <c r="X9" s="11" t="s">
        <v>6</v>
      </c>
      <c r="Y9" s="14">
        <v>10</v>
      </c>
      <c r="Z9" s="18" t="s">
        <v>7</v>
      </c>
      <c r="AA9" s="10">
        <v>1.64</v>
      </c>
      <c r="AB9" s="11" t="s">
        <v>5</v>
      </c>
      <c r="AC9" s="20">
        <v>0.04</v>
      </c>
      <c r="AD9" s="10" t="s">
        <v>8</v>
      </c>
      <c r="AE9" s="11" t="s">
        <v>6</v>
      </c>
      <c r="AF9" s="14">
        <v>10</v>
      </c>
    </row>
    <row r="10" spans="1:32" ht="12.75">
      <c r="A10" s="13">
        <v>1</v>
      </c>
      <c r="B10" s="9" t="s">
        <v>4</v>
      </c>
      <c r="C10" s="14">
        <v>1.2</v>
      </c>
      <c r="D10" s="9">
        <f>AVERAGE(A10,C10)</f>
        <v>1.1</v>
      </c>
      <c r="E10" s="18" t="s">
        <v>7</v>
      </c>
      <c r="F10" s="15">
        <v>1.3</v>
      </c>
      <c r="G10" s="11" t="s">
        <v>5</v>
      </c>
      <c r="H10" s="9">
        <v>0.03</v>
      </c>
      <c r="I10" s="10" t="s">
        <v>8</v>
      </c>
      <c r="J10" s="11" t="s">
        <v>6</v>
      </c>
      <c r="K10" s="14">
        <v>10</v>
      </c>
      <c r="L10" s="18" t="s">
        <v>7</v>
      </c>
      <c r="M10" s="15">
        <v>1.1</v>
      </c>
      <c r="N10" s="11" t="s">
        <v>5</v>
      </c>
      <c r="O10" s="9">
        <v>0.03</v>
      </c>
      <c r="P10" s="10" t="s">
        <v>8</v>
      </c>
      <c r="Q10" s="11" t="s">
        <v>6</v>
      </c>
      <c r="R10" s="14">
        <v>10</v>
      </c>
      <c r="S10" s="18" t="s">
        <v>7</v>
      </c>
      <c r="T10" s="10">
        <v>1.77</v>
      </c>
      <c r="U10" s="11" t="s">
        <v>5</v>
      </c>
      <c r="V10" s="20">
        <v>0.04</v>
      </c>
      <c r="W10" s="10" t="s">
        <v>8</v>
      </c>
      <c r="X10" s="11" t="s">
        <v>6</v>
      </c>
      <c r="Y10" s="14">
        <v>10</v>
      </c>
      <c r="Z10" s="18" t="s">
        <v>7</v>
      </c>
      <c r="AA10" s="10">
        <v>1.48</v>
      </c>
      <c r="AB10" s="11" t="s">
        <v>5</v>
      </c>
      <c r="AC10" s="20">
        <v>0.03</v>
      </c>
      <c r="AD10" s="10" t="s">
        <v>8</v>
      </c>
      <c r="AE10" s="11" t="s">
        <v>6</v>
      </c>
      <c r="AF10" s="14">
        <v>10</v>
      </c>
    </row>
    <row r="11" spans="1:32" ht="12.75">
      <c r="A11" s="8">
        <v>1.2</v>
      </c>
      <c r="B11" s="9" t="s">
        <v>4</v>
      </c>
      <c r="C11" s="22">
        <v>1.4</v>
      </c>
      <c r="D11" s="9">
        <f>AVERAGE(A11,C11)</f>
        <v>1.2999999999999998</v>
      </c>
      <c r="E11" s="18" t="s">
        <v>7</v>
      </c>
      <c r="F11" s="15">
        <v>1.2</v>
      </c>
      <c r="G11" s="11" t="s">
        <v>5</v>
      </c>
      <c r="H11" s="9">
        <v>0.03</v>
      </c>
      <c r="I11" s="10" t="s">
        <v>8</v>
      </c>
      <c r="J11" s="11" t="s">
        <v>6</v>
      </c>
      <c r="K11" s="14">
        <v>10</v>
      </c>
      <c r="L11" s="18" t="s">
        <v>7</v>
      </c>
      <c r="M11" s="10">
        <v>1.01</v>
      </c>
      <c r="N11" s="11" t="s">
        <v>5</v>
      </c>
      <c r="O11" s="9">
        <v>0.02</v>
      </c>
      <c r="P11" s="10" t="s">
        <v>8</v>
      </c>
      <c r="Q11" s="11" t="s">
        <v>6</v>
      </c>
      <c r="R11" s="14">
        <v>10</v>
      </c>
      <c r="S11" s="18" t="s">
        <v>7</v>
      </c>
      <c r="T11" s="10">
        <v>1.55</v>
      </c>
      <c r="U11" s="11" t="s">
        <v>5</v>
      </c>
      <c r="V11" s="20">
        <v>0.03</v>
      </c>
      <c r="W11" s="10" t="s">
        <v>8</v>
      </c>
      <c r="X11" s="11" t="s">
        <v>6</v>
      </c>
      <c r="Y11" s="14">
        <v>10</v>
      </c>
      <c r="Z11" s="18" t="s">
        <v>7</v>
      </c>
      <c r="AA11" s="10">
        <v>1.28</v>
      </c>
      <c r="AB11" s="11" t="s">
        <v>5</v>
      </c>
      <c r="AC11" s="20">
        <v>0.03</v>
      </c>
      <c r="AD11" s="10" t="s">
        <v>8</v>
      </c>
      <c r="AE11" s="11" t="s">
        <v>6</v>
      </c>
      <c r="AF11" s="14">
        <v>10</v>
      </c>
    </row>
    <row r="12" spans="1:32" ht="12.75">
      <c r="A12" s="13">
        <v>1.4</v>
      </c>
      <c r="B12" s="9" t="s">
        <v>4</v>
      </c>
      <c r="C12" s="14">
        <v>1.6</v>
      </c>
      <c r="D12" s="9">
        <f>AVERAGE(A12,C12)</f>
        <v>1.5</v>
      </c>
      <c r="E12" s="18" t="s">
        <v>7</v>
      </c>
      <c r="F12" s="10">
        <v>10.2</v>
      </c>
      <c r="G12" s="11" t="s">
        <v>5</v>
      </c>
      <c r="H12" s="9">
        <v>0.2</v>
      </c>
      <c r="I12" s="10" t="s">
        <v>8</v>
      </c>
      <c r="J12" s="11" t="s">
        <v>6</v>
      </c>
      <c r="K12" s="14">
        <v>1</v>
      </c>
      <c r="L12" s="18" t="s">
        <v>7</v>
      </c>
      <c r="M12" s="10">
        <v>8.7</v>
      </c>
      <c r="N12" s="11" t="s">
        <v>5</v>
      </c>
      <c r="O12" s="9">
        <v>0.2</v>
      </c>
      <c r="P12" s="10" t="s">
        <v>8</v>
      </c>
      <c r="Q12" s="11" t="s">
        <v>6</v>
      </c>
      <c r="R12" s="14">
        <v>1</v>
      </c>
      <c r="S12" s="18" t="s">
        <v>7</v>
      </c>
      <c r="T12" s="10">
        <v>13.9</v>
      </c>
      <c r="U12" s="11" t="s">
        <v>5</v>
      </c>
      <c r="V12" s="20">
        <v>0.3</v>
      </c>
      <c r="W12" s="10" t="s">
        <v>8</v>
      </c>
      <c r="X12" s="11" t="s">
        <v>6</v>
      </c>
      <c r="Y12" s="14">
        <v>1</v>
      </c>
      <c r="Z12" s="18" t="s">
        <v>7</v>
      </c>
      <c r="AA12" s="15">
        <v>11.4</v>
      </c>
      <c r="AB12" s="11" t="s">
        <v>5</v>
      </c>
      <c r="AC12" s="20">
        <v>0.26</v>
      </c>
      <c r="AD12" s="10" t="s">
        <v>8</v>
      </c>
      <c r="AE12" s="11" t="s">
        <v>6</v>
      </c>
      <c r="AF12" s="14">
        <v>1</v>
      </c>
    </row>
    <row r="13" spans="1:32" ht="12.75">
      <c r="A13" s="8">
        <v>1.6</v>
      </c>
      <c r="B13" s="9" t="s">
        <v>4</v>
      </c>
      <c r="C13" s="22">
        <v>2.1</v>
      </c>
      <c r="D13" s="9">
        <v>1.84</v>
      </c>
      <c r="E13" s="18" t="s">
        <v>7</v>
      </c>
      <c r="F13" s="10">
        <v>9.1</v>
      </c>
      <c r="G13" s="11" t="s">
        <v>5</v>
      </c>
      <c r="H13" s="9">
        <v>0.2</v>
      </c>
      <c r="I13" s="10" t="s">
        <v>8</v>
      </c>
      <c r="J13" s="11" t="s">
        <v>6</v>
      </c>
      <c r="K13" s="14">
        <v>1</v>
      </c>
      <c r="L13" s="18" t="s">
        <v>7</v>
      </c>
      <c r="M13" s="10">
        <v>7.3</v>
      </c>
      <c r="N13" s="11" t="s">
        <v>5</v>
      </c>
      <c r="O13" s="9">
        <v>0.1</v>
      </c>
      <c r="P13" s="10" t="s">
        <v>8</v>
      </c>
      <c r="Q13" s="11" t="s">
        <v>6</v>
      </c>
      <c r="R13" s="14">
        <v>1</v>
      </c>
      <c r="S13" s="18" t="s">
        <v>7</v>
      </c>
      <c r="T13" s="10"/>
      <c r="U13" s="11" t="s">
        <v>5</v>
      </c>
      <c r="V13" s="20"/>
      <c r="W13" s="10" t="s">
        <v>8</v>
      </c>
      <c r="X13" s="11" t="s">
        <v>6</v>
      </c>
      <c r="Y13" s="14">
        <v>1</v>
      </c>
      <c r="Z13" s="18" t="s">
        <v>7</v>
      </c>
      <c r="AA13" s="10">
        <v>9.2</v>
      </c>
      <c r="AB13" s="11" t="s">
        <v>5</v>
      </c>
      <c r="AC13" s="20">
        <v>0.19</v>
      </c>
      <c r="AD13" s="10" t="s">
        <v>8</v>
      </c>
      <c r="AE13" s="11" t="s">
        <v>6</v>
      </c>
      <c r="AF13" s="14">
        <v>1</v>
      </c>
    </row>
    <row r="14" spans="1:32" ht="12.75">
      <c r="A14" s="13">
        <v>2.1</v>
      </c>
      <c r="B14" s="9" t="s">
        <v>4</v>
      </c>
      <c r="C14" s="14">
        <v>2.94</v>
      </c>
      <c r="D14" s="9">
        <v>2.49</v>
      </c>
      <c r="E14" s="18" t="s">
        <v>7</v>
      </c>
      <c r="F14" s="10">
        <v>6.6</v>
      </c>
      <c r="G14" s="11" t="s">
        <v>5</v>
      </c>
      <c r="H14" s="9">
        <v>0.1</v>
      </c>
      <c r="I14" s="10" t="s">
        <v>8</v>
      </c>
      <c r="J14" s="11" t="s">
        <v>6</v>
      </c>
      <c r="K14" s="14">
        <v>1</v>
      </c>
      <c r="L14" s="18" t="s">
        <v>7</v>
      </c>
      <c r="M14" s="15">
        <v>5.2</v>
      </c>
      <c r="N14" s="11" t="s">
        <v>5</v>
      </c>
      <c r="O14" s="9">
        <v>0.09</v>
      </c>
      <c r="P14" s="10" t="s">
        <v>8</v>
      </c>
      <c r="Q14" s="11" t="s">
        <v>6</v>
      </c>
      <c r="R14" s="14">
        <v>1</v>
      </c>
      <c r="S14" s="18" t="s">
        <v>7</v>
      </c>
      <c r="T14" s="10">
        <v>7</v>
      </c>
      <c r="U14" s="11" t="s">
        <v>5</v>
      </c>
      <c r="V14" s="20">
        <v>0.9</v>
      </c>
      <c r="W14" s="10" t="s">
        <v>8</v>
      </c>
      <c r="X14" s="11" t="s">
        <v>6</v>
      </c>
      <c r="Y14" s="14">
        <v>1</v>
      </c>
      <c r="Z14" s="18" t="s">
        <v>7</v>
      </c>
      <c r="AA14" s="10">
        <v>5.7</v>
      </c>
      <c r="AB14" s="11" t="s">
        <v>5</v>
      </c>
      <c r="AC14" s="20">
        <v>0.7</v>
      </c>
      <c r="AD14" s="10" t="s">
        <v>8</v>
      </c>
      <c r="AE14" s="11" t="s">
        <v>6</v>
      </c>
      <c r="AF14" s="14">
        <v>1</v>
      </c>
    </row>
    <row r="15" spans="1:32" ht="12.75">
      <c r="A15" s="8">
        <v>2.94</v>
      </c>
      <c r="B15" s="9" t="s">
        <v>4</v>
      </c>
      <c r="C15" s="21">
        <v>4.12</v>
      </c>
      <c r="D15" s="9">
        <v>3.49</v>
      </c>
      <c r="E15" s="18" t="s">
        <v>7</v>
      </c>
      <c r="F15" s="10">
        <v>4.12</v>
      </c>
      <c r="G15" s="11" t="s">
        <v>5</v>
      </c>
      <c r="H15" s="9">
        <v>0.07</v>
      </c>
      <c r="I15" s="10" t="s">
        <v>8</v>
      </c>
      <c r="J15" s="11" t="s">
        <v>6</v>
      </c>
      <c r="K15" s="14">
        <v>1</v>
      </c>
      <c r="L15" s="18" t="s">
        <v>7</v>
      </c>
      <c r="M15" s="10">
        <v>3.38</v>
      </c>
      <c r="N15" s="11" t="s">
        <v>5</v>
      </c>
      <c r="O15" s="9">
        <v>0.06</v>
      </c>
      <c r="P15" s="10" t="s">
        <v>8</v>
      </c>
      <c r="Q15" s="11" t="s">
        <v>6</v>
      </c>
      <c r="R15" s="14">
        <v>1</v>
      </c>
      <c r="S15" s="18" t="s">
        <v>7</v>
      </c>
      <c r="T15" s="10">
        <v>4.8</v>
      </c>
      <c r="U15" s="11" t="s">
        <v>5</v>
      </c>
      <c r="V15" s="20">
        <v>0.1</v>
      </c>
      <c r="W15" s="10" t="s">
        <v>8</v>
      </c>
      <c r="X15" s="11" t="s">
        <v>6</v>
      </c>
      <c r="Y15" s="14">
        <v>1</v>
      </c>
      <c r="Z15" s="18" t="s">
        <v>7</v>
      </c>
      <c r="AA15" s="10">
        <v>3.86</v>
      </c>
      <c r="AB15" s="11" t="s">
        <v>5</v>
      </c>
      <c r="AC15" s="20">
        <v>0.08</v>
      </c>
      <c r="AD15" s="10" t="s">
        <v>8</v>
      </c>
      <c r="AE15" s="11" t="s">
        <v>6</v>
      </c>
      <c r="AF15" s="14">
        <v>1</v>
      </c>
    </row>
    <row r="16" spans="1:32" ht="12.75">
      <c r="A16" s="12">
        <v>4.12</v>
      </c>
      <c r="B16" s="9" t="s">
        <v>4</v>
      </c>
      <c r="C16" s="14">
        <v>5.5</v>
      </c>
      <c r="D16" s="9">
        <v>4.78</v>
      </c>
      <c r="E16" s="18" t="s">
        <v>7</v>
      </c>
      <c r="F16" s="10">
        <v>2.53</v>
      </c>
      <c r="G16" s="11" t="s">
        <v>5</v>
      </c>
      <c r="H16" s="9">
        <v>0.05</v>
      </c>
      <c r="I16" s="10" t="s">
        <v>8</v>
      </c>
      <c r="J16" s="11" t="s">
        <v>6</v>
      </c>
      <c r="K16" s="14">
        <v>1</v>
      </c>
      <c r="L16" s="18" t="s">
        <v>7</v>
      </c>
      <c r="M16" s="10">
        <v>1.98</v>
      </c>
      <c r="N16" s="11" t="s">
        <v>5</v>
      </c>
      <c r="O16" s="9">
        <v>0.04</v>
      </c>
      <c r="P16" s="10" t="s">
        <v>8</v>
      </c>
      <c r="Q16" s="11" t="s">
        <v>6</v>
      </c>
      <c r="R16" s="14">
        <v>1</v>
      </c>
      <c r="S16" s="18" t="s">
        <v>7</v>
      </c>
      <c r="T16" s="10">
        <v>2.94</v>
      </c>
      <c r="U16" s="11" t="s">
        <v>5</v>
      </c>
      <c r="V16" s="20">
        <v>0.06</v>
      </c>
      <c r="W16" s="10" t="s">
        <v>8</v>
      </c>
      <c r="X16" s="11" t="s">
        <v>6</v>
      </c>
      <c r="Y16" s="14">
        <v>1</v>
      </c>
      <c r="Z16" s="18" t="s">
        <v>7</v>
      </c>
      <c r="AA16" s="10">
        <v>2.31</v>
      </c>
      <c r="AB16" s="11" t="s">
        <v>5</v>
      </c>
      <c r="AC16" s="20">
        <v>0.05</v>
      </c>
      <c r="AD16" s="10" t="s">
        <v>8</v>
      </c>
      <c r="AE16" s="11" t="s">
        <v>6</v>
      </c>
      <c r="AF16" s="14">
        <v>1</v>
      </c>
    </row>
    <row r="17" spans="1:32" ht="12.75">
      <c r="A17" s="8">
        <v>5.5</v>
      </c>
      <c r="B17" s="9" t="s">
        <v>4</v>
      </c>
      <c r="C17" s="22">
        <v>7</v>
      </c>
      <c r="D17" s="9">
        <v>6.21</v>
      </c>
      <c r="E17" s="18" t="s">
        <v>7</v>
      </c>
      <c r="F17" s="10">
        <v>1.61</v>
      </c>
      <c r="G17" s="11" t="s">
        <v>5</v>
      </c>
      <c r="H17" s="9">
        <v>0.03</v>
      </c>
      <c r="I17" s="10" t="s">
        <v>8</v>
      </c>
      <c r="J17" s="11" t="s">
        <v>6</v>
      </c>
      <c r="K17" s="14">
        <v>1</v>
      </c>
      <c r="L17" s="18" t="s">
        <v>7</v>
      </c>
      <c r="M17" s="10">
        <v>1.25</v>
      </c>
      <c r="N17" s="11" t="s">
        <v>5</v>
      </c>
      <c r="O17" s="9">
        <v>0.03</v>
      </c>
      <c r="P17" s="10" t="s">
        <v>8</v>
      </c>
      <c r="Q17" s="11" t="s">
        <v>6</v>
      </c>
      <c r="R17" s="14">
        <v>1</v>
      </c>
      <c r="S17" s="18" t="s">
        <v>7</v>
      </c>
      <c r="T17" s="10">
        <v>1.78</v>
      </c>
      <c r="U17" s="11" t="s">
        <v>5</v>
      </c>
      <c r="V17" s="20">
        <v>0.04</v>
      </c>
      <c r="W17" s="10" t="s">
        <v>8</v>
      </c>
      <c r="X17" s="11" t="s">
        <v>6</v>
      </c>
      <c r="Y17" s="14">
        <v>1</v>
      </c>
      <c r="Z17" s="18" t="s">
        <v>7</v>
      </c>
      <c r="AA17" s="10">
        <v>1.37</v>
      </c>
      <c r="AB17" s="11" t="s">
        <v>5</v>
      </c>
      <c r="AC17" s="20">
        <v>0.03</v>
      </c>
      <c r="AD17" s="10" t="s">
        <v>8</v>
      </c>
      <c r="AE17" s="11" t="s">
        <v>6</v>
      </c>
      <c r="AF17" s="14">
        <v>1</v>
      </c>
    </row>
    <row r="18" spans="1:32" ht="12.75">
      <c r="A18" s="13">
        <v>7</v>
      </c>
      <c r="B18" s="9" t="s">
        <v>4</v>
      </c>
      <c r="C18" s="22">
        <v>10</v>
      </c>
      <c r="D18" s="9">
        <v>8.37</v>
      </c>
      <c r="E18" s="18" t="s">
        <v>7</v>
      </c>
      <c r="F18" s="16">
        <v>9</v>
      </c>
      <c r="G18" s="11" t="s">
        <v>5</v>
      </c>
      <c r="H18" s="9">
        <v>0.2</v>
      </c>
      <c r="I18" s="10" t="s">
        <v>8</v>
      </c>
      <c r="J18" s="11" t="s">
        <v>6</v>
      </c>
      <c r="K18" s="14">
        <v>0.1</v>
      </c>
      <c r="L18" s="18" t="s">
        <v>7</v>
      </c>
      <c r="M18" s="10">
        <v>6.9</v>
      </c>
      <c r="N18" s="11" t="s">
        <v>5</v>
      </c>
      <c r="O18" s="9">
        <v>0.1</v>
      </c>
      <c r="P18" s="10" t="s">
        <v>8</v>
      </c>
      <c r="Q18" s="11" t="s">
        <v>6</v>
      </c>
      <c r="R18" s="14">
        <v>0.1</v>
      </c>
      <c r="S18" s="18" t="s">
        <v>7</v>
      </c>
      <c r="T18" s="10">
        <v>10.2</v>
      </c>
      <c r="U18" s="11" t="s">
        <v>5</v>
      </c>
      <c r="V18" s="20">
        <v>0.2</v>
      </c>
      <c r="W18" s="10" t="s">
        <v>8</v>
      </c>
      <c r="X18" s="11" t="s">
        <v>6</v>
      </c>
      <c r="Y18" s="14">
        <v>0.1</v>
      </c>
      <c r="Z18" s="18" t="s">
        <v>7</v>
      </c>
      <c r="AA18" s="10">
        <v>7.8</v>
      </c>
      <c r="AB18" s="11" t="s">
        <v>5</v>
      </c>
      <c r="AC18" s="20">
        <v>0.2</v>
      </c>
      <c r="AD18" s="10" t="s">
        <v>8</v>
      </c>
      <c r="AE18" s="11" t="s">
        <v>6</v>
      </c>
      <c r="AF18" s="14">
        <v>0.1</v>
      </c>
    </row>
    <row r="19" spans="1:32" ht="12.75">
      <c r="A19" s="13">
        <v>10</v>
      </c>
      <c r="B19" s="9" t="s">
        <v>4</v>
      </c>
      <c r="C19" s="22">
        <v>15.5</v>
      </c>
      <c r="D19" s="9">
        <v>12.42</v>
      </c>
      <c r="E19" s="18" t="s">
        <v>7</v>
      </c>
      <c r="F19" s="10">
        <v>3.89</v>
      </c>
      <c r="G19" s="11" t="s">
        <v>5</v>
      </c>
      <c r="H19" s="9">
        <v>0.08</v>
      </c>
      <c r="I19" s="10" t="s">
        <v>8</v>
      </c>
      <c r="J19" s="11" t="s">
        <v>6</v>
      </c>
      <c r="K19" s="14">
        <v>0.1</v>
      </c>
      <c r="L19" s="18" t="s">
        <v>7</v>
      </c>
      <c r="M19" s="10">
        <v>3.09</v>
      </c>
      <c r="N19" s="11" t="s">
        <v>5</v>
      </c>
      <c r="O19" s="9">
        <v>0.07</v>
      </c>
      <c r="P19" s="10" t="s">
        <v>8</v>
      </c>
      <c r="Q19" s="11" t="s">
        <v>6</v>
      </c>
      <c r="R19" s="14">
        <v>0.1</v>
      </c>
      <c r="S19" s="18" t="s">
        <v>7</v>
      </c>
      <c r="T19" s="10">
        <v>4.14</v>
      </c>
      <c r="U19" s="11" t="s">
        <v>5</v>
      </c>
      <c r="V19" s="24">
        <v>0.09</v>
      </c>
      <c r="W19" s="10" t="s">
        <v>8</v>
      </c>
      <c r="X19" s="11" t="s">
        <v>6</v>
      </c>
      <c r="Y19" s="14">
        <v>0.1</v>
      </c>
      <c r="Z19" s="18" t="s">
        <v>7</v>
      </c>
      <c r="AA19" s="15">
        <v>3.2</v>
      </c>
      <c r="AB19" s="11" t="s">
        <v>5</v>
      </c>
      <c r="AC19" s="24">
        <v>0.07</v>
      </c>
      <c r="AD19" s="10" t="s">
        <v>8</v>
      </c>
      <c r="AE19" s="11" t="s">
        <v>6</v>
      </c>
      <c r="AF19" s="14">
        <v>0.1</v>
      </c>
    </row>
    <row r="20" spans="1:32" ht="12.75">
      <c r="A20" s="13">
        <v>15.5</v>
      </c>
      <c r="B20" s="9" t="s">
        <v>4</v>
      </c>
      <c r="C20" s="22">
        <v>23</v>
      </c>
      <c r="D20" s="9">
        <v>18.85</v>
      </c>
      <c r="E20" s="18" t="s">
        <v>7</v>
      </c>
      <c r="F20" s="10">
        <v>1.38</v>
      </c>
      <c r="G20" s="11" t="s">
        <v>5</v>
      </c>
      <c r="H20" s="9">
        <v>0.04</v>
      </c>
      <c r="I20" s="10" t="s">
        <v>8</v>
      </c>
      <c r="J20" s="11" t="s">
        <v>6</v>
      </c>
      <c r="K20" s="14">
        <v>0.1</v>
      </c>
      <c r="L20" s="18" t="s">
        <v>7</v>
      </c>
      <c r="M20" s="10">
        <v>1.08</v>
      </c>
      <c r="N20" s="11" t="s">
        <v>5</v>
      </c>
      <c r="O20" s="9">
        <v>0.03</v>
      </c>
      <c r="P20" s="10" t="s">
        <v>8</v>
      </c>
      <c r="Q20" s="11" t="s">
        <v>6</v>
      </c>
      <c r="R20" s="14">
        <v>0.1</v>
      </c>
      <c r="S20" s="18" t="s">
        <v>7</v>
      </c>
      <c r="T20" s="10">
        <v>1.54</v>
      </c>
      <c r="U20" s="11" t="s">
        <v>5</v>
      </c>
      <c r="V20" s="24">
        <v>0.04</v>
      </c>
      <c r="W20" s="10" t="s">
        <v>8</v>
      </c>
      <c r="X20" s="11" t="s">
        <v>6</v>
      </c>
      <c r="Y20" s="14">
        <v>0.1</v>
      </c>
      <c r="Z20" s="18" t="s">
        <v>7</v>
      </c>
      <c r="AA20" s="10">
        <v>1.16</v>
      </c>
      <c r="AB20" s="11" t="s">
        <v>5</v>
      </c>
      <c r="AC20" s="24">
        <v>0.03</v>
      </c>
      <c r="AD20" s="10" t="s">
        <v>8</v>
      </c>
      <c r="AE20" s="11" t="s">
        <v>6</v>
      </c>
      <c r="AF20" s="14">
        <v>0.1</v>
      </c>
    </row>
    <row r="21" spans="1:32" ht="12.75">
      <c r="A21" s="13">
        <v>23</v>
      </c>
      <c r="B21" s="9" t="s">
        <v>4</v>
      </c>
      <c r="C21" s="22">
        <v>31.1</v>
      </c>
      <c r="D21" s="9">
        <v>26.68</v>
      </c>
      <c r="E21" s="18" t="s">
        <v>7</v>
      </c>
      <c r="F21" s="10">
        <v>6.3</v>
      </c>
      <c r="G21" s="11" t="s">
        <v>5</v>
      </c>
      <c r="H21" s="9">
        <v>0.3</v>
      </c>
      <c r="I21" s="10" t="s">
        <v>8</v>
      </c>
      <c r="J21" s="11" t="s">
        <v>6</v>
      </c>
      <c r="K21" s="14">
        <v>0.01</v>
      </c>
      <c r="L21" s="18" t="s">
        <v>7</v>
      </c>
      <c r="M21" s="10">
        <v>4.6</v>
      </c>
      <c r="N21" s="11" t="s">
        <v>5</v>
      </c>
      <c r="O21" s="9">
        <v>0.2</v>
      </c>
      <c r="P21" s="10" t="s">
        <v>8</v>
      </c>
      <c r="Q21" s="11" t="s">
        <v>6</v>
      </c>
      <c r="R21" s="14">
        <v>0.01</v>
      </c>
      <c r="S21" s="18" t="s">
        <v>7</v>
      </c>
      <c r="T21" s="10">
        <v>6.4</v>
      </c>
      <c r="U21" s="11" t="s">
        <v>5</v>
      </c>
      <c r="V21" s="24">
        <v>0.2</v>
      </c>
      <c r="W21" s="10" t="s">
        <v>8</v>
      </c>
      <c r="X21" s="11" t="s">
        <v>6</v>
      </c>
      <c r="Y21" s="14">
        <v>0.01</v>
      </c>
      <c r="Z21" s="18" t="s">
        <v>7</v>
      </c>
      <c r="AA21" s="10">
        <v>4.5</v>
      </c>
      <c r="AB21" s="11" t="s">
        <v>5</v>
      </c>
      <c r="AC21" s="24">
        <v>0.2</v>
      </c>
      <c r="AD21" s="10" t="s">
        <v>8</v>
      </c>
      <c r="AE21" s="11" t="s">
        <v>6</v>
      </c>
      <c r="AF21" s="14">
        <v>0.01</v>
      </c>
    </row>
    <row r="22" spans="1:32" ht="12.75">
      <c r="A22" s="13">
        <v>31.1</v>
      </c>
      <c r="B22" s="9" t="s">
        <v>4</v>
      </c>
      <c r="C22" s="14">
        <v>43.6</v>
      </c>
      <c r="D22" s="9">
        <v>36.69</v>
      </c>
      <c r="E22" s="18" t="s">
        <v>7</v>
      </c>
      <c r="F22" s="10">
        <v>2.8</v>
      </c>
      <c r="G22" s="11" t="s">
        <v>5</v>
      </c>
      <c r="H22" s="9">
        <v>0.1</v>
      </c>
      <c r="I22" s="10" t="s">
        <v>8</v>
      </c>
      <c r="J22" s="11" t="s">
        <v>6</v>
      </c>
      <c r="K22" s="14">
        <v>0.01</v>
      </c>
      <c r="L22" s="18" t="s">
        <v>7</v>
      </c>
      <c r="M22" s="10">
        <v>1.9</v>
      </c>
      <c r="N22" s="11" t="s">
        <v>5</v>
      </c>
      <c r="O22" s="9">
        <v>0.1</v>
      </c>
      <c r="P22" s="10" t="s">
        <v>8</v>
      </c>
      <c r="Q22" s="11" t="s">
        <v>6</v>
      </c>
      <c r="R22" s="14">
        <v>0.01</v>
      </c>
      <c r="S22" s="18" t="s">
        <v>7</v>
      </c>
      <c r="T22" s="10">
        <v>2.8</v>
      </c>
      <c r="U22" s="11" t="s">
        <v>5</v>
      </c>
      <c r="V22" s="20">
        <v>0.1</v>
      </c>
      <c r="W22" s="10" t="s">
        <v>8</v>
      </c>
      <c r="X22" s="11" t="s">
        <v>6</v>
      </c>
      <c r="Y22" s="14">
        <v>0.01</v>
      </c>
      <c r="Z22" s="18" t="s">
        <v>7</v>
      </c>
      <c r="AA22" s="10">
        <v>2.03</v>
      </c>
      <c r="AB22" s="11" t="s">
        <v>5</v>
      </c>
      <c r="AC22" s="20">
        <v>0.08</v>
      </c>
      <c r="AD22" s="10" t="s">
        <v>8</v>
      </c>
      <c r="AE22" s="11" t="s">
        <v>6</v>
      </c>
      <c r="AF22" s="14">
        <v>0.01</v>
      </c>
    </row>
    <row r="23" spans="1:32" ht="12.75">
      <c r="A23" s="8">
        <v>43.6</v>
      </c>
      <c r="B23" s="9" t="s">
        <v>4</v>
      </c>
      <c r="C23" s="22">
        <v>61.1</v>
      </c>
      <c r="D23" s="9">
        <v>51.47</v>
      </c>
      <c r="E23" s="18" t="s">
        <v>7</v>
      </c>
      <c r="F23" s="10">
        <v>9.9</v>
      </c>
      <c r="G23" s="11" t="s">
        <v>5</v>
      </c>
      <c r="H23" s="9">
        <v>0.7</v>
      </c>
      <c r="I23" s="10" t="s">
        <v>8</v>
      </c>
      <c r="J23" s="11" t="s">
        <v>6</v>
      </c>
      <c r="K23" s="14">
        <v>0.001</v>
      </c>
      <c r="L23" s="18" t="s">
        <v>7</v>
      </c>
      <c r="M23" s="10">
        <v>7.1</v>
      </c>
      <c r="N23" s="11" t="s">
        <v>5</v>
      </c>
      <c r="O23" s="9">
        <v>0.6</v>
      </c>
      <c r="P23" s="10" t="s">
        <v>8</v>
      </c>
      <c r="Q23" s="11" t="s">
        <v>6</v>
      </c>
      <c r="R23" s="14">
        <v>0.001</v>
      </c>
      <c r="S23" s="18" t="s">
        <v>7</v>
      </c>
      <c r="T23" s="10">
        <v>10.2</v>
      </c>
      <c r="U23" s="11" t="s">
        <v>5</v>
      </c>
      <c r="V23" s="20">
        <v>0.5</v>
      </c>
      <c r="W23" s="10" t="s">
        <v>8</v>
      </c>
      <c r="X23" s="11" t="s">
        <v>6</v>
      </c>
      <c r="Y23" s="14">
        <v>0.001</v>
      </c>
      <c r="Z23" s="18" t="s">
        <v>7</v>
      </c>
      <c r="AA23" s="10">
        <v>7.7</v>
      </c>
      <c r="AB23" s="11" t="s">
        <v>5</v>
      </c>
      <c r="AC23" s="20">
        <v>0.4</v>
      </c>
      <c r="AD23" s="10" t="s">
        <v>8</v>
      </c>
      <c r="AE23" s="11" t="s">
        <v>6</v>
      </c>
      <c r="AF23" s="14">
        <v>0.001</v>
      </c>
    </row>
    <row r="24" spans="1:32" ht="12.75">
      <c r="A24" s="13">
        <v>61.1</v>
      </c>
      <c r="B24" s="9" t="s">
        <v>4</v>
      </c>
      <c r="C24" s="14">
        <v>85.6</v>
      </c>
      <c r="D24" s="9">
        <v>72.08</v>
      </c>
      <c r="E24" s="18" t="s">
        <v>7</v>
      </c>
      <c r="F24" s="10">
        <v>3.6</v>
      </c>
      <c r="G24" s="11" t="s">
        <v>5</v>
      </c>
      <c r="H24" s="9">
        <v>0.3</v>
      </c>
      <c r="I24" s="10" t="s">
        <v>8</v>
      </c>
      <c r="J24" s="11" t="s">
        <v>6</v>
      </c>
      <c r="K24" s="14">
        <v>0.001</v>
      </c>
      <c r="L24" s="18" t="s">
        <v>7</v>
      </c>
      <c r="M24" s="16">
        <v>3</v>
      </c>
      <c r="N24" s="11" t="s">
        <v>5</v>
      </c>
      <c r="O24" s="9">
        <v>0.3</v>
      </c>
      <c r="P24" s="10" t="s">
        <v>8</v>
      </c>
      <c r="Q24" s="11" t="s">
        <v>6</v>
      </c>
      <c r="R24" s="14">
        <v>0.001</v>
      </c>
      <c r="S24" s="18" t="s">
        <v>7</v>
      </c>
      <c r="T24" s="10">
        <v>4.2</v>
      </c>
      <c r="U24" s="11" t="s">
        <v>5</v>
      </c>
      <c r="V24" s="20">
        <v>0.3</v>
      </c>
      <c r="W24" s="10" t="s">
        <v>8</v>
      </c>
      <c r="X24" s="11" t="s">
        <v>6</v>
      </c>
      <c r="Y24" s="14">
        <v>0.001</v>
      </c>
      <c r="Z24" s="18" t="s">
        <v>7</v>
      </c>
      <c r="AA24" s="10">
        <v>3.2</v>
      </c>
      <c r="AB24" s="11" t="s">
        <v>5</v>
      </c>
      <c r="AC24" s="20">
        <v>0.2</v>
      </c>
      <c r="AD24" s="10" t="s">
        <v>8</v>
      </c>
      <c r="AE24" s="11" t="s">
        <v>6</v>
      </c>
      <c r="AF24" s="14">
        <v>0.001</v>
      </c>
    </row>
    <row r="25" spans="1:32" ht="12.75">
      <c r="A25" s="8">
        <v>85.6</v>
      </c>
      <c r="B25" s="9" t="s">
        <v>4</v>
      </c>
      <c r="C25" s="22">
        <v>120</v>
      </c>
      <c r="D25" s="9">
        <v>100.96</v>
      </c>
      <c r="E25" s="18" t="s">
        <v>7</v>
      </c>
      <c r="F25" s="10">
        <v>1.4</v>
      </c>
      <c r="G25" s="11" t="s">
        <v>5</v>
      </c>
      <c r="H25" s="9">
        <v>0.2</v>
      </c>
      <c r="I25" s="10" t="s">
        <v>8</v>
      </c>
      <c r="J25" s="11" t="s">
        <v>6</v>
      </c>
      <c r="K25" s="14">
        <v>0.001</v>
      </c>
      <c r="L25" s="18" t="s">
        <v>7</v>
      </c>
      <c r="M25" s="10">
        <v>1.2</v>
      </c>
      <c r="N25" s="11" t="s">
        <v>5</v>
      </c>
      <c r="O25" s="9">
        <v>0.2</v>
      </c>
      <c r="P25" s="10" t="s">
        <v>8</v>
      </c>
      <c r="Q25" s="11" t="s">
        <v>6</v>
      </c>
      <c r="R25" s="14">
        <v>0.001</v>
      </c>
      <c r="S25" s="18" t="s">
        <v>7</v>
      </c>
      <c r="T25" s="10">
        <v>1.5</v>
      </c>
      <c r="U25" s="11" t="s">
        <v>5</v>
      </c>
      <c r="V25" s="20">
        <v>0.1</v>
      </c>
      <c r="W25" s="10" t="s">
        <v>8</v>
      </c>
      <c r="X25" s="11" t="s">
        <v>6</v>
      </c>
      <c r="Y25" s="14">
        <v>0.001</v>
      </c>
      <c r="Z25" s="18" t="s">
        <v>7</v>
      </c>
      <c r="AA25" s="10">
        <v>1.1</v>
      </c>
      <c r="AB25" s="11" t="s">
        <v>5</v>
      </c>
      <c r="AC25" s="20">
        <v>0.1</v>
      </c>
      <c r="AD25" s="10" t="s">
        <v>8</v>
      </c>
      <c r="AE25" s="11" t="s">
        <v>6</v>
      </c>
      <c r="AF25" s="14">
        <v>0.001</v>
      </c>
    </row>
    <row r="27" spans="1:32" s="4" customFormat="1" ht="25.5" customHeight="1">
      <c r="A27" s="75"/>
      <c r="B27" s="75"/>
      <c r="C27" s="75"/>
      <c r="D27" s="6"/>
      <c r="E27" s="41"/>
      <c r="F27" s="6"/>
      <c r="G27" s="3"/>
      <c r="H27" s="6"/>
      <c r="J27" s="3"/>
      <c r="K27" s="6"/>
      <c r="L27" s="41"/>
      <c r="M27" s="6"/>
      <c r="N27" s="3"/>
      <c r="O27" s="6"/>
      <c r="Q27" s="3"/>
      <c r="R27" s="6"/>
      <c r="S27" s="41"/>
      <c r="T27" s="6"/>
      <c r="U27" s="3"/>
      <c r="V27" s="6"/>
      <c r="X27" s="3"/>
      <c r="Y27" s="6"/>
      <c r="Z27" s="41"/>
      <c r="AA27" s="6"/>
      <c r="AB27" s="3"/>
      <c r="AC27" s="6"/>
      <c r="AE27" s="3"/>
      <c r="AF27" s="6"/>
    </row>
  </sheetData>
  <mergeCells count="9">
    <mergeCell ref="S2:AF2"/>
    <mergeCell ref="E2:R2"/>
    <mergeCell ref="A27:C27"/>
    <mergeCell ref="E3:K3"/>
    <mergeCell ref="L3:R3"/>
    <mergeCell ref="S3:Y3"/>
    <mergeCell ref="Z3:AF3"/>
    <mergeCell ref="A2:C3"/>
    <mergeCell ref="D2:D3"/>
  </mergeCells>
  <printOptions/>
  <pageMargins left="0.5" right="0.5" top="0.5" bottom="0.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F76"/>
  <sheetViews>
    <sheetView workbookViewId="0" topLeftCell="A28">
      <selection activeCell="I28" sqref="I28"/>
    </sheetView>
  </sheetViews>
  <sheetFormatPr defaultColWidth="9.140625" defaultRowHeight="12.75"/>
  <cols>
    <col min="1" max="1" width="5.00390625" style="0" bestFit="1" customWidth="1"/>
    <col min="2" max="2" width="1.57421875" style="0" bestFit="1" customWidth="1"/>
    <col min="3" max="3" width="5.57421875" style="0" bestFit="1" customWidth="1"/>
    <col min="4" max="4" width="11.8515625" style="0" customWidth="1"/>
    <col min="5" max="5" width="19.7109375" style="0" customWidth="1"/>
    <col min="6" max="6" width="20.00390625" style="0" customWidth="1"/>
    <col min="7" max="8" width="16.140625" style="0" customWidth="1"/>
  </cols>
  <sheetData>
    <row r="1" s="27" customFormat="1" ht="25.5">
      <c r="A1" s="27" t="s">
        <v>24</v>
      </c>
    </row>
    <row r="2" spans="1:32" ht="39" customHeight="1">
      <c r="A2" s="77" t="s">
        <v>0</v>
      </c>
      <c r="B2" s="77"/>
      <c r="C2" s="77"/>
      <c r="D2" s="77" t="s">
        <v>1</v>
      </c>
      <c r="E2" s="74" t="s">
        <v>9</v>
      </c>
      <c r="F2" s="74"/>
      <c r="G2" s="74" t="s">
        <v>13</v>
      </c>
      <c r="H2" s="74"/>
      <c r="I2" s="1"/>
      <c r="J2" s="1"/>
      <c r="K2" s="1"/>
      <c r="L2" s="1"/>
      <c r="M2" s="1"/>
      <c r="N2" s="1"/>
      <c r="O2" s="1"/>
      <c r="P2" s="1"/>
      <c r="Q2" s="1"/>
      <c r="R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s="4" customFormat="1" ht="12.75">
      <c r="A3" s="78"/>
      <c r="B3" s="78"/>
      <c r="C3" s="78"/>
      <c r="D3" s="78"/>
      <c r="E3" s="29" t="s">
        <v>2</v>
      </c>
      <c r="F3" s="26" t="s">
        <v>3</v>
      </c>
      <c r="G3" s="26" t="s">
        <v>2</v>
      </c>
      <c r="H3" s="26" t="s">
        <v>3</v>
      </c>
      <c r="I3" s="36"/>
      <c r="J3" s="36"/>
      <c r="K3" s="36"/>
      <c r="M3" s="37"/>
      <c r="N3" s="37"/>
      <c r="O3" s="37"/>
      <c r="P3" s="37"/>
      <c r="Q3" s="37"/>
      <c r="R3" s="37"/>
      <c r="U3" s="37"/>
      <c r="V3" s="37"/>
      <c r="W3" s="37"/>
      <c r="X3" s="37"/>
      <c r="Y3" s="37"/>
      <c r="AA3" s="37"/>
      <c r="AB3" s="37"/>
      <c r="AC3" s="37"/>
      <c r="AD3" s="37"/>
      <c r="AE3" s="37"/>
      <c r="AF3" s="37"/>
    </row>
    <row r="4" spans="1:8" ht="12.75">
      <c r="A4" s="8">
        <v>0.2</v>
      </c>
      <c r="B4" s="9" t="s">
        <v>4</v>
      </c>
      <c r="C4" s="14">
        <v>0.3</v>
      </c>
      <c r="D4" s="9">
        <f>AVERAGE(A4,C4)</f>
        <v>0.25</v>
      </c>
      <c r="E4" s="26">
        <f>Data!F4*Data!K4</f>
        <v>14</v>
      </c>
      <c r="F4" s="26">
        <f>Data!M4*Data!R4</f>
        <v>11</v>
      </c>
      <c r="G4" s="26">
        <f>Data!T4*Data!Y4</f>
        <v>12</v>
      </c>
      <c r="H4" s="26">
        <f>Data!AA4*Data!AF4</f>
        <v>10.700000000000001</v>
      </c>
    </row>
    <row r="5" spans="1:8" ht="12.75">
      <c r="A5" s="8">
        <v>0.3</v>
      </c>
      <c r="B5" s="9" t="s">
        <v>4</v>
      </c>
      <c r="C5" s="21">
        <v>0.4</v>
      </c>
      <c r="D5" s="9">
        <f>AVERAGE(A5,C5)</f>
        <v>0.35</v>
      </c>
      <c r="E5" s="26">
        <f>Data!F5*Data!K5</f>
        <v>16.8</v>
      </c>
      <c r="F5" s="26">
        <f>Data!M5*Data!R5</f>
        <v>13.600000000000001</v>
      </c>
      <c r="G5" s="26">
        <f>Data!T5*Data!Y5</f>
        <v>17</v>
      </c>
      <c r="H5" s="26">
        <f>Data!AA5*Data!AF5</f>
        <v>15.2</v>
      </c>
    </row>
    <row r="6" spans="1:8" ht="12.75">
      <c r="A6" s="12">
        <v>0.4</v>
      </c>
      <c r="B6" s="9" t="s">
        <v>4</v>
      </c>
      <c r="C6" s="14">
        <v>0.55</v>
      </c>
      <c r="D6" s="9">
        <v>0.47</v>
      </c>
      <c r="E6" s="26">
        <f>Data!F6*Data!K6</f>
        <v>17.2</v>
      </c>
      <c r="F6" s="26">
        <f>Data!M6*Data!R6</f>
        <v>14.399999999999999</v>
      </c>
      <c r="G6" s="26">
        <f>Data!T6*Data!Y6</f>
        <v>20.299999999999997</v>
      </c>
      <c r="H6" s="26">
        <f>Data!AA6*Data!AF6</f>
        <v>17.9</v>
      </c>
    </row>
    <row r="7" spans="1:8" ht="12.75">
      <c r="A7" s="8">
        <v>0.55</v>
      </c>
      <c r="B7" s="9" t="s">
        <v>4</v>
      </c>
      <c r="C7" s="21">
        <v>0.7</v>
      </c>
      <c r="D7" s="9">
        <v>0.62</v>
      </c>
      <c r="E7" s="26">
        <f>Data!F7*Data!K7</f>
        <v>16.599999999999998</v>
      </c>
      <c r="F7" s="26">
        <f>Data!M7*Data!R7</f>
        <v>13.5</v>
      </c>
      <c r="G7" s="26">
        <f>Data!T7*Data!Y7</f>
        <v>21.200000000000003</v>
      </c>
      <c r="H7" s="26">
        <f>Data!AA7*Data!AF7</f>
        <v>18.6</v>
      </c>
    </row>
    <row r="8" spans="1:8" ht="12.75">
      <c r="A8" s="12">
        <v>0.7</v>
      </c>
      <c r="B8" s="9" t="s">
        <v>4</v>
      </c>
      <c r="C8" s="14">
        <v>0.85</v>
      </c>
      <c r="D8" s="9">
        <v>0.78</v>
      </c>
      <c r="E8" s="26">
        <f>Data!F8*Data!K8</f>
        <v>15.600000000000001</v>
      </c>
      <c r="F8" s="26">
        <f>Data!M8*Data!R8</f>
        <v>13.3</v>
      </c>
      <c r="G8" s="26">
        <f>Data!T8*Data!Y8</f>
        <v>20.4</v>
      </c>
      <c r="H8" s="26">
        <f>Data!AA8*Data!AF8</f>
        <v>17.6</v>
      </c>
    </row>
    <row r="9" spans="1:8" ht="12.75">
      <c r="A9" s="8">
        <v>0.85</v>
      </c>
      <c r="B9" s="9" t="s">
        <v>4</v>
      </c>
      <c r="C9" s="22">
        <v>1</v>
      </c>
      <c r="D9" s="9">
        <v>0.92</v>
      </c>
      <c r="E9" s="26">
        <f>Data!F9*Data!K9</f>
        <v>14.8</v>
      </c>
      <c r="F9" s="26">
        <f>Data!M9*Data!R9</f>
        <v>12.1</v>
      </c>
      <c r="G9" s="26">
        <f>Data!T9*Data!Y9</f>
        <v>19.2</v>
      </c>
      <c r="H9" s="26">
        <f>Data!AA9*Data!AF9</f>
        <v>16.4</v>
      </c>
    </row>
    <row r="10" spans="1:8" ht="12.75">
      <c r="A10" s="13">
        <v>1</v>
      </c>
      <c r="B10" s="9" t="s">
        <v>4</v>
      </c>
      <c r="C10" s="14">
        <v>1.2</v>
      </c>
      <c r="D10" s="9">
        <f>AVERAGE(A10,C10)</f>
        <v>1.1</v>
      </c>
      <c r="E10" s="26">
        <f>Data!F10*Data!K10</f>
        <v>13</v>
      </c>
      <c r="F10" s="26">
        <f>Data!M10*Data!R10</f>
        <v>11</v>
      </c>
      <c r="G10" s="26">
        <f>Data!T10*Data!Y10</f>
        <v>17.7</v>
      </c>
      <c r="H10" s="26">
        <f>Data!AA10*Data!AF10</f>
        <v>14.8</v>
      </c>
    </row>
    <row r="11" spans="1:8" ht="12.75">
      <c r="A11" s="8">
        <v>1.2</v>
      </c>
      <c r="B11" s="9" t="s">
        <v>4</v>
      </c>
      <c r="C11" s="22">
        <v>1.4</v>
      </c>
      <c r="D11" s="9">
        <f>AVERAGE(A11,C11)</f>
        <v>1.2999999999999998</v>
      </c>
      <c r="E11" s="26">
        <f>Data!F11*Data!K11</f>
        <v>12</v>
      </c>
      <c r="F11" s="26">
        <f>Data!M11*Data!R11</f>
        <v>10.1</v>
      </c>
      <c r="G11" s="26">
        <f>Data!T11*Data!Y11</f>
        <v>15.5</v>
      </c>
      <c r="H11" s="26">
        <f>Data!AA11*Data!AF11</f>
        <v>12.8</v>
      </c>
    </row>
    <row r="12" spans="1:8" ht="12.75">
      <c r="A12" s="13">
        <v>1.4</v>
      </c>
      <c r="B12" s="9" t="s">
        <v>4</v>
      </c>
      <c r="C12" s="14">
        <v>1.6</v>
      </c>
      <c r="D12" s="9">
        <f>AVERAGE(A12,C12)</f>
        <v>1.5</v>
      </c>
      <c r="E12" s="26">
        <f>Data!F12*Data!K12</f>
        <v>10.2</v>
      </c>
      <c r="F12" s="26">
        <f>Data!M12*Data!R12</f>
        <v>8.7</v>
      </c>
      <c r="G12" s="26">
        <f>Data!T12*Data!Y12</f>
        <v>13.9</v>
      </c>
      <c r="H12" s="26">
        <f>Data!AA12*Data!AF12</f>
        <v>11.4</v>
      </c>
    </row>
    <row r="13" spans="1:9" ht="12.75">
      <c r="A13" s="8">
        <v>1.6</v>
      </c>
      <c r="B13" s="9" t="s">
        <v>4</v>
      </c>
      <c r="C13" s="22">
        <v>2.1</v>
      </c>
      <c r="D13" s="9">
        <v>1.84</v>
      </c>
      <c r="E13" s="26">
        <f>Data!F13*Data!K13</f>
        <v>9.1</v>
      </c>
      <c r="F13" s="26">
        <f>Data!M13*Data!R13</f>
        <v>7.3</v>
      </c>
      <c r="G13" s="42">
        <v>10</v>
      </c>
      <c r="H13" s="26">
        <f>Data!AA13*Data!AF13</f>
        <v>9.2</v>
      </c>
      <c r="I13" s="43" t="s">
        <v>25</v>
      </c>
    </row>
    <row r="14" spans="1:9" ht="12.75">
      <c r="A14" s="13">
        <v>2.1</v>
      </c>
      <c r="B14" s="9" t="s">
        <v>4</v>
      </c>
      <c r="C14" s="14">
        <v>2.94</v>
      </c>
      <c r="D14" s="9">
        <v>2.49</v>
      </c>
      <c r="E14" s="26">
        <f>Data!F14*Data!K14</f>
        <v>6.6</v>
      </c>
      <c r="F14" s="26">
        <f>Data!M14*Data!R14</f>
        <v>5.2</v>
      </c>
      <c r="G14" s="26">
        <f>Data!T14*Data!Y14</f>
        <v>7</v>
      </c>
      <c r="H14" s="26">
        <f>Data!AA14*Data!AF14</f>
        <v>5.7</v>
      </c>
      <c r="I14" s="43" t="s">
        <v>26</v>
      </c>
    </row>
    <row r="15" spans="1:8" ht="12.75">
      <c r="A15" s="8">
        <v>2.94</v>
      </c>
      <c r="B15" s="9" t="s">
        <v>4</v>
      </c>
      <c r="C15" s="21">
        <v>4.12</v>
      </c>
      <c r="D15" s="9">
        <v>3.49</v>
      </c>
      <c r="E15" s="26">
        <f>Data!F15*Data!K15</f>
        <v>4.12</v>
      </c>
      <c r="F15" s="26">
        <f>Data!M15*Data!R15</f>
        <v>3.38</v>
      </c>
      <c r="G15" s="26">
        <f>Data!T15*Data!Y15</f>
        <v>4.8</v>
      </c>
      <c r="H15" s="26">
        <f>Data!AA15*Data!AF15</f>
        <v>3.86</v>
      </c>
    </row>
    <row r="16" spans="1:8" ht="12.75">
      <c r="A16" s="12">
        <v>4.12</v>
      </c>
      <c r="B16" s="9" t="s">
        <v>4</v>
      </c>
      <c r="C16" s="14">
        <v>5.5</v>
      </c>
      <c r="D16" s="9">
        <v>4.78</v>
      </c>
      <c r="E16" s="26">
        <f>Data!F16*Data!K16</f>
        <v>2.53</v>
      </c>
      <c r="F16" s="26">
        <f>Data!M16*Data!R16</f>
        <v>1.98</v>
      </c>
      <c r="G16" s="26">
        <f>Data!T16*Data!Y16</f>
        <v>2.94</v>
      </c>
      <c r="H16" s="26">
        <f>Data!AA16*Data!AF16</f>
        <v>2.31</v>
      </c>
    </row>
    <row r="17" spans="1:8" ht="12.75">
      <c r="A17" s="8">
        <v>5.5</v>
      </c>
      <c r="B17" s="9" t="s">
        <v>4</v>
      </c>
      <c r="C17" s="22">
        <v>7</v>
      </c>
      <c r="D17" s="9">
        <v>6.21</v>
      </c>
      <c r="E17" s="26">
        <f>Data!F17*Data!K17</f>
        <v>1.61</v>
      </c>
      <c r="F17" s="26">
        <f>Data!M17*Data!R17</f>
        <v>1.25</v>
      </c>
      <c r="G17" s="26">
        <f>Data!T17*Data!Y17</f>
        <v>1.78</v>
      </c>
      <c r="H17" s="26">
        <f>Data!AA17*Data!AF17</f>
        <v>1.37</v>
      </c>
    </row>
    <row r="18" spans="1:8" ht="12.75">
      <c r="A18" s="13">
        <v>7</v>
      </c>
      <c r="B18" s="9" t="s">
        <v>4</v>
      </c>
      <c r="C18" s="22">
        <v>10</v>
      </c>
      <c r="D18" s="9">
        <v>8.37</v>
      </c>
      <c r="E18" s="26">
        <f>Data!F18*Data!K18</f>
        <v>0.9</v>
      </c>
      <c r="F18" s="26">
        <f>Data!M18*Data!R18</f>
        <v>0.6900000000000001</v>
      </c>
      <c r="G18" s="26">
        <f>Data!T18*Data!Y18</f>
        <v>1.02</v>
      </c>
      <c r="H18" s="26">
        <f>Data!AA18*Data!AF18</f>
        <v>0.78</v>
      </c>
    </row>
    <row r="19" spans="1:8" ht="12.75">
      <c r="A19" s="13">
        <v>10</v>
      </c>
      <c r="B19" s="9" t="s">
        <v>4</v>
      </c>
      <c r="C19" s="22">
        <v>15.5</v>
      </c>
      <c r="D19" s="9">
        <v>12.42</v>
      </c>
      <c r="E19" s="26">
        <f>Data!F19*Data!K19</f>
        <v>0.389</v>
      </c>
      <c r="F19" s="26">
        <f>Data!M19*Data!R19</f>
        <v>0.309</v>
      </c>
      <c r="G19" s="26">
        <f>Data!T19*Data!Y19</f>
        <v>0.414</v>
      </c>
      <c r="H19" s="26">
        <f>Data!AA19*Data!AF19</f>
        <v>0.32000000000000006</v>
      </c>
    </row>
    <row r="20" spans="1:8" ht="12.75">
      <c r="A20" s="13">
        <v>15.5</v>
      </c>
      <c r="B20" s="9" t="s">
        <v>4</v>
      </c>
      <c r="C20" s="22">
        <v>23</v>
      </c>
      <c r="D20" s="9">
        <v>18.85</v>
      </c>
      <c r="E20" s="26">
        <f>Data!F20*Data!K20</f>
        <v>0.13799999999999998</v>
      </c>
      <c r="F20" s="26">
        <f>Data!M20*Data!R20</f>
        <v>0.10800000000000001</v>
      </c>
      <c r="G20" s="26">
        <f>Data!T20*Data!Y20</f>
        <v>0.15400000000000003</v>
      </c>
      <c r="H20" s="26">
        <f>Data!AA20*Data!AF20</f>
        <v>0.11599999999999999</v>
      </c>
    </row>
    <row r="21" spans="1:8" ht="12.75">
      <c r="A21" s="13">
        <v>23</v>
      </c>
      <c r="B21" s="9" t="s">
        <v>4</v>
      </c>
      <c r="C21" s="22">
        <v>31.1</v>
      </c>
      <c r="D21" s="9">
        <v>26.68</v>
      </c>
      <c r="E21" s="26">
        <f>Data!F21*Data!K21</f>
        <v>0.063</v>
      </c>
      <c r="F21" s="26">
        <f>Data!M21*Data!R21</f>
        <v>0.046</v>
      </c>
      <c r="G21" s="26">
        <f>Data!T21*Data!Y21</f>
        <v>0.064</v>
      </c>
      <c r="H21" s="26">
        <f>Data!AA21*Data!AF21</f>
        <v>0.045</v>
      </c>
    </row>
    <row r="22" spans="1:8" ht="12.75">
      <c r="A22" s="13">
        <v>31.1</v>
      </c>
      <c r="B22" s="9" t="s">
        <v>4</v>
      </c>
      <c r="C22" s="14">
        <v>43.6</v>
      </c>
      <c r="D22" s="9">
        <v>36.69</v>
      </c>
      <c r="E22" s="26">
        <f>Data!F22*Data!K22</f>
        <v>0.027999999999999997</v>
      </c>
      <c r="F22" s="26">
        <f>Data!M22*Data!R22</f>
        <v>0.019</v>
      </c>
      <c r="G22" s="26">
        <f>Data!T22*Data!Y22</f>
        <v>0.027999999999999997</v>
      </c>
      <c r="H22" s="26">
        <f>Data!AA22*Data!AF22</f>
        <v>0.0203</v>
      </c>
    </row>
    <row r="23" spans="1:8" ht="12.75">
      <c r="A23" s="8">
        <v>43.6</v>
      </c>
      <c r="B23" s="9" t="s">
        <v>4</v>
      </c>
      <c r="C23" s="22">
        <v>61.1</v>
      </c>
      <c r="D23" s="9">
        <v>51.47</v>
      </c>
      <c r="E23" s="26">
        <f>Data!F23*Data!K23</f>
        <v>0.0099</v>
      </c>
      <c r="F23" s="26">
        <f>Data!M23*Data!R23</f>
        <v>0.0070999999999999995</v>
      </c>
      <c r="G23" s="26">
        <f>Data!T23*Data!Y23</f>
        <v>0.010199999999999999</v>
      </c>
      <c r="H23" s="26">
        <f>Data!AA23*Data!AF23</f>
        <v>0.0077</v>
      </c>
    </row>
    <row r="24" spans="1:8" ht="12.75">
      <c r="A24" s="13">
        <v>61.1</v>
      </c>
      <c r="B24" s="9" t="s">
        <v>4</v>
      </c>
      <c r="C24" s="14">
        <v>85.6</v>
      </c>
      <c r="D24" s="9">
        <v>72.08</v>
      </c>
      <c r="E24" s="26">
        <f>Data!F24*Data!K24</f>
        <v>0.0036000000000000003</v>
      </c>
      <c r="F24" s="26">
        <f>Data!M24*Data!R24</f>
        <v>0.003</v>
      </c>
      <c r="G24" s="26">
        <f>Data!T24*Data!Y24</f>
        <v>0.004200000000000001</v>
      </c>
      <c r="H24" s="26">
        <f>Data!AA24*Data!AF24</f>
        <v>0.0032</v>
      </c>
    </row>
    <row r="25" spans="1:8" ht="12.75">
      <c r="A25" s="8">
        <v>85.6</v>
      </c>
      <c r="B25" s="9" t="s">
        <v>4</v>
      </c>
      <c r="C25" s="22">
        <v>120</v>
      </c>
      <c r="D25" s="9">
        <v>100.96</v>
      </c>
      <c r="E25" s="26">
        <f>Data!F25*Data!K25</f>
        <v>0.0014</v>
      </c>
      <c r="F25" s="26">
        <f>Data!M25*Data!R25</f>
        <v>0.0012</v>
      </c>
      <c r="G25" s="26">
        <f>Data!T25*Data!Y25</f>
        <v>0.0015</v>
      </c>
      <c r="H25" s="26">
        <f>Data!AA25*Data!AF25</f>
        <v>0.0011</v>
      </c>
    </row>
    <row r="29" spans="1:11" ht="51" customHeight="1">
      <c r="A29" s="74" t="s">
        <v>0</v>
      </c>
      <c r="B29" s="74"/>
      <c r="C29" s="74"/>
      <c r="D29" s="38" t="s">
        <v>1</v>
      </c>
      <c r="E29" s="38" t="s">
        <v>11</v>
      </c>
      <c r="F29" s="38" t="s">
        <v>12</v>
      </c>
      <c r="G29" s="66"/>
      <c r="H29" s="67" t="s">
        <v>77</v>
      </c>
      <c r="I29" s="67" t="s">
        <v>78</v>
      </c>
      <c r="J29" s="67"/>
      <c r="K29" s="67"/>
    </row>
    <row r="30" spans="1:9" ht="12.75">
      <c r="A30" s="5">
        <v>0.2</v>
      </c>
      <c r="B30" s="7" t="s">
        <v>4</v>
      </c>
      <c r="C30" s="39">
        <v>0.3</v>
      </c>
      <c r="D30" s="26">
        <f>AVERAGE(A30,C30)</f>
        <v>0.25</v>
      </c>
      <c r="E30" s="29">
        <f>SUM(E4:F4)</f>
        <v>25</v>
      </c>
      <c r="F30" s="26">
        <f>SUM(G4:H4)</f>
        <v>22.700000000000003</v>
      </c>
      <c r="H30">
        <f>D30-A30</f>
        <v>0.04999999999999999</v>
      </c>
      <c r="I30">
        <f>C30-D30</f>
        <v>0.04999999999999999</v>
      </c>
    </row>
    <row r="31" spans="1:9" ht="12.75">
      <c r="A31" s="8">
        <v>0.3</v>
      </c>
      <c r="B31" s="9" t="s">
        <v>4</v>
      </c>
      <c r="C31" s="21">
        <v>0.4</v>
      </c>
      <c r="D31" s="26">
        <f>AVERAGE(A31,C31)</f>
        <v>0.35</v>
      </c>
      <c r="E31" s="29">
        <f aca="true" t="shared" si="0" ref="E31:E51">SUM(E5:F5)</f>
        <v>30.400000000000002</v>
      </c>
      <c r="F31" s="26">
        <f aca="true" t="shared" si="1" ref="F31:F51">SUM(G5:H5)</f>
        <v>32.2</v>
      </c>
      <c r="H31">
        <f aca="true" t="shared" si="2" ref="H31:H51">D31-A31</f>
        <v>0.04999999999999999</v>
      </c>
      <c r="I31">
        <f aca="true" t="shared" si="3" ref="I31:I51">C31-D31</f>
        <v>0.050000000000000044</v>
      </c>
    </row>
    <row r="32" spans="1:9" ht="12.75">
      <c r="A32" s="12">
        <v>0.4</v>
      </c>
      <c r="B32" s="9" t="s">
        <v>4</v>
      </c>
      <c r="C32" s="14">
        <v>0.55</v>
      </c>
      <c r="D32" s="26">
        <v>0.47</v>
      </c>
      <c r="E32" s="29">
        <f t="shared" si="0"/>
        <v>31.599999999999998</v>
      </c>
      <c r="F32" s="26">
        <f t="shared" si="1"/>
        <v>38.199999999999996</v>
      </c>
      <c r="H32">
        <f t="shared" si="2"/>
        <v>0.06999999999999995</v>
      </c>
      <c r="I32">
        <f t="shared" si="3"/>
        <v>0.08000000000000007</v>
      </c>
    </row>
    <row r="33" spans="1:9" ht="12.75">
      <c r="A33" s="8">
        <v>0.55</v>
      </c>
      <c r="B33" s="9" t="s">
        <v>4</v>
      </c>
      <c r="C33" s="21">
        <v>0.7</v>
      </c>
      <c r="D33" s="26">
        <v>0.62</v>
      </c>
      <c r="E33" s="29">
        <f t="shared" si="0"/>
        <v>30.099999999999998</v>
      </c>
      <c r="F33" s="26">
        <f t="shared" si="1"/>
        <v>39.800000000000004</v>
      </c>
      <c r="H33">
        <f t="shared" si="2"/>
        <v>0.06999999999999995</v>
      </c>
      <c r="I33">
        <f t="shared" si="3"/>
        <v>0.07999999999999996</v>
      </c>
    </row>
    <row r="34" spans="1:9" ht="12.75">
      <c r="A34" s="12">
        <v>0.7</v>
      </c>
      <c r="B34" s="9" t="s">
        <v>4</v>
      </c>
      <c r="C34" s="14">
        <v>0.85</v>
      </c>
      <c r="D34" s="26">
        <v>0.78</v>
      </c>
      <c r="E34" s="29">
        <f t="shared" si="0"/>
        <v>28.900000000000002</v>
      </c>
      <c r="F34" s="26">
        <f t="shared" si="1"/>
        <v>38</v>
      </c>
      <c r="H34">
        <f t="shared" si="2"/>
        <v>0.08000000000000007</v>
      </c>
      <c r="I34">
        <f t="shared" si="3"/>
        <v>0.06999999999999995</v>
      </c>
    </row>
    <row r="35" spans="1:9" ht="12.75">
      <c r="A35" s="8">
        <v>0.85</v>
      </c>
      <c r="B35" s="9" t="s">
        <v>4</v>
      </c>
      <c r="C35" s="22">
        <v>1</v>
      </c>
      <c r="D35" s="26">
        <v>0.92</v>
      </c>
      <c r="E35" s="29">
        <f t="shared" si="0"/>
        <v>26.9</v>
      </c>
      <c r="F35" s="26">
        <f t="shared" si="1"/>
        <v>35.599999999999994</v>
      </c>
      <c r="H35">
        <f t="shared" si="2"/>
        <v>0.07000000000000006</v>
      </c>
      <c r="I35">
        <f t="shared" si="3"/>
        <v>0.07999999999999996</v>
      </c>
    </row>
    <row r="36" spans="1:9" ht="12.75">
      <c r="A36" s="13">
        <v>1</v>
      </c>
      <c r="B36" s="9" t="s">
        <v>4</v>
      </c>
      <c r="C36" s="14">
        <v>1.2</v>
      </c>
      <c r="D36" s="26">
        <f>AVERAGE(A36,C36)</f>
        <v>1.1</v>
      </c>
      <c r="E36" s="29">
        <f t="shared" si="0"/>
        <v>24</v>
      </c>
      <c r="F36" s="26">
        <f t="shared" si="1"/>
        <v>32.5</v>
      </c>
      <c r="H36">
        <f t="shared" si="2"/>
        <v>0.10000000000000009</v>
      </c>
      <c r="I36">
        <f t="shared" si="3"/>
        <v>0.09999999999999987</v>
      </c>
    </row>
    <row r="37" spans="1:9" ht="12.75">
      <c r="A37" s="8">
        <v>1.2</v>
      </c>
      <c r="B37" s="9" t="s">
        <v>4</v>
      </c>
      <c r="C37" s="22">
        <v>1.4</v>
      </c>
      <c r="D37" s="26">
        <f>AVERAGE(A37,C37)</f>
        <v>1.2999999999999998</v>
      </c>
      <c r="E37" s="29">
        <f t="shared" si="0"/>
        <v>22.1</v>
      </c>
      <c r="F37" s="26">
        <f t="shared" si="1"/>
        <v>28.3</v>
      </c>
      <c r="H37">
        <f t="shared" si="2"/>
        <v>0.09999999999999987</v>
      </c>
      <c r="I37">
        <f t="shared" si="3"/>
        <v>0.10000000000000009</v>
      </c>
    </row>
    <row r="38" spans="1:9" ht="12.75">
      <c r="A38" s="13">
        <v>1.4</v>
      </c>
      <c r="B38" s="9" t="s">
        <v>4</v>
      </c>
      <c r="C38" s="14">
        <v>1.6</v>
      </c>
      <c r="D38" s="26">
        <f>AVERAGE(A38,C38)</f>
        <v>1.5</v>
      </c>
      <c r="E38" s="29">
        <f t="shared" si="0"/>
        <v>18.9</v>
      </c>
      <c r="F38" s="26">
        <f t="shared" si="1"/>
        <v>25.3</v>
      </c>
      <c r="H38">
        <f t="shared" si="2"/>
        <v>0.10000000000000009</v>
      </c>
      <c r="I38">
        <f t="shared" si="3"/>
        <v>0.10000000000000009</v>
      </c>
    </row>
    <row r="39" spans="1:9" ht="12.75">
      <c r="A39" s="8">
        <v>1.6</v>
      </c>
      <c r="B39" s="9" t="s">
        <v>4</v>
      </c>
      <c r="C39" s="22">
        <v>2.1</v>
      </c>
      <c r="D39" s="26">
        <v>1.84</v>
      </c>
      <c r="E39" s="29">
        <f t="shared" si="0"/>
        <v>16.4</v>
      </c>
      <c r="F39" s="26">
        <f t="shared" si="1"/>
        <v>19.2</v>
      </c>
      <c r="H39">
        <f t="shared" si="2"/>
        <v>0.24</v>
      </c>
      <c r="I39">
        <f t="shared" si="3"/>
        <v>0.26</v>
      </c>
    </row>
    <row r="40" spans="1:9" ht="12.75">
      <c r="A40" s="13">
        <v>2.1</v>
      </c>
      <c r="B40" s="9" t="s">
        <v>4</v>
      </c>
      <c r="C40" s="14">
        <v>2.94</v>
      </c>
      <c r="D40" s="26">
        <v>2.49</v>
      </c>
      <c r="E40" s="29">
        <f t="shared" si="0"/>
        <v>11.8</v>
      </c>
      <c r="F40" s="26">
        <f t="shared" si="1"/>
        <v>12.7</v>
      </c>
      <c r="H40">
        <f t="shared" si="2"/>
        <v>0.3900000000000001</v>
      </c>
      <c r="I40">
        <f t="shared" si="3"/>
        <v>0.44999999999999973</v>
      </c>
    </row>
    <row r="41" spans="1:9" ht="12.75">
      <c r="A41" s="8">
        <v>2.94</v>
      </c>
      <c r="B41" s="9" t="s">
        <v>4</v>
      </c>
      <c r="C41" s="21">
        <v>4.12</v>
      </c>
      <c r="D41" s="26">
        <v>3.49</v>
      </c>
      <c r="E41" s="29">
        <f t="shared" si="0"/>
        <v>7.5</v>
      </c>
      <c r="F41" s="26">
        <f t="shared" si="1"/>
        <v>8.66</v>
      </c>
      <c r="H41">
        <f t="shared" si="2"/>
        <v>0.5500000000000003</v>
      </c>
      <c r="I41">
        <f t="shared" si="3"/>
        <v>0.6299999999999999</v>
      </c>
    </row>
    <row r="42" spans="1:9" ht="12.75">
      <c r="A42" s="12">
        <v>4.12</v>
      </c>
      <c r="B42" s="9" t="s">
        <v>4</v>
      </c>
      <c r="C42" s="14">
        <v>5.5</v>
      </c>
      <c r="D42" s="26">
        <v>4.78</v>
      </c>
      <c r="E42" s="29">
        <f t="shared" si="0"/>
        <v>4.51</v>
      </c>
      <c r="F42" s="26">
        <f t="shared" si="1"/>
        <v>5.25</v>
      </c>
      <c r="H42">
        <f t="shared" si="2"/>
        <v>0.6600000000000001</v>
      </c>
      <c r="I42">
        <f t="shared" si="3"/>
        <v>0.7199999999999998</v>
      </c>
    </row>
    <row r="43" spans="1:9" ht="12.75">
      <c r="A43" s="8">
        <v>5.5</v>
      </c>
      <c r="B43" s="9" t="s">
        <v>4</v>
      </c>
      <c r="C43" s="22">
        <v>7</v>
      </c>
      <c r="D43" s="26">
        <v>6.21</v>
      </c>
      <c r="E43" s="29">
        <f t="shared" si="0"/>
        <v>2.8600000000000003</v>
      </c>
      <c r="F43" s="26">
        <f t="shared" si="1"/>
        <v>3.1500000000000004</v>
      </c>
      <c r="H43">
        <f t="shared" si="2"/>
        <v>0.71</v>
      </c>
      <c r="I43">
        <f t="shared" si="3"/>
        <v>0.79</v>
      </c>
    </row>
    <row r="44" spans="1:9" ht="12.75">
      <c r="A44" s="13">
        <v>7</v>
      </c>
      <c r="B44" s="9" t="s">
        <v>4</v>
      </c>
      <c r="C44" s="22">
        <v>10</v>
      </c>
      <c r="D44" s="26">
        <v>8.37</v>
      </c>
      <c r="E44" s="29">
        <f t="shared" si="0"/>
        <v>1.59</v>
      </c>
      <c r="F44" s="26">
        <f t="shared" si="1"/>
        <v>1.8</v>
      </c>
      <c r="H44">
        <f t="shared" si="2"/>
        <v>1.3699999999999992</v>
      </c>
      <c r="I44">
        <f t="shared" si="3"/>
        <v>1.6300000000000008</v>
      </c>
    </row>
    <row r="45" spans="1:9" ht="12.75">
      <c r="A45" s="13">
        <v>10</v>
      </c>
      <c r="B45" s="9" t="s">
        <v>4</v>
      </c>
      <c r="C45" s="22">
        <v>15.5</v>
      </c>
      <c r="D45" s="26">
        <v>12.42</v>
      </c>
      <c r="E45" s="29">
        <f t="shared" si="0"/>
        <v>0.698</v>
      </c>
      <c r="F45" s="26">
        <f t="shared" si="1"/>
        <v>0.734</v>
      </c>
      <c r="G45" s="40"/>
      <c r="H45">
        <f t="shared" si="2"/>
        <v>2.42</v>
      </c>
      <c r="I45">
        <f t="shared" si="3"/>
        <v>3.08</v>
      </c>
    </row>
    <row r="46" spans="1:9" ht="12.75">
      <c r="A46" s="13">
        <v>15.5</v>
      </c>
      <c r="B46" s="9" t="s">
        <v>4</v>
      </c>
      <c r="C46" s="22">
        <v>23</v>
      </c>
      <c r="D46" s="26">
        <v>18.85</v>
      </c>
      <c r="E46" s="29">
        <f t="shared" si="0"/>
        <v>0.246</v>
      </c>
      <c r="F46" s="26">
        <f t="shared" si="1"/>
        <v>0.27</v>
      </c>
      <c r="G46" s="40"/>
      <c r="H46">
        <f t="shared" si="2"/>
        <v>3.3500000000000014</v>
      </c>
      <c r="I46">
        <f t="shared" si="3"/>
        <v>4.149999999999999</v>
      </c>
    </row>
    <row r="47" spans="1:9" ht="12.75">
      <c r="A47" s="13">
        <v>23</v>
      </c>
      <c r="B47" s="9" t="s">
        <v>4</v>
      </c>
      <c r="C47" s="22">
        <v>31.1</v>
      </c>
      <c r="D47" s="26">
        <v>26.68</v>
      </c>
      <c r="E47" s="29">
        <f t="shared" si="0"/>
        <v>0.109</v>
      </c>
      <c r="F47" s="26">
        <f t="shared" si="1"/>
        <v>0.109</v>
      </c>
      <c r="G47" s="40"/>
      <c r="H47">
        <f t="shared" si="2"/>
        <v>3.6799999999999997</v>
      </c>
      <c r="I47">
        <f t="shared" si="3"/>
        <v>4.420000000000002</v>
      </c>
    </row>
    <row r="48" spans="1:9" ht="12.75">
      <c r="A48" s="13">
        <v>31.1</v>
      </c>
      <c r="B48" s="9" t="s">
        <v>4</v>
      </c>
      <c r="C48" s="14">
        <v>43.6</v>
      </c>
      <c r="D48" s="26">
        <v>36.69</v>
      </c>
      <c r="E48" s="29">
        <f t="shared" si="0"/>
        <v>0.047</v>
      </c>
      <c r="F48" s="26">
        <f t="shared" si="1"/>
        <v>0.048299999999999996</v>
      </c>
      <c r="G48" s="40"/>
      <c r="H48">
        <f t="shared" si="2"/>
        <v>5.589999999999996</v>
      </c>
      <c r="I48">
        <f t="shared" si="3"/>
        <v>6.910000000000004</v>
      </c>
    </row>
    <row r="49" spans="1:9" ht="12.75">
      <c r="A49" s="8">
        <v>43.6</v>
      </c>
      <c r="B49" s="9" t="s">
        <v>4</v>
      </c>
      <c r="C49" s="22">
        <v>61.1</v>
      </c>
      <c r="D49" s="26">
        <v>51.47</v>
      </c>
      <c r="E49" s="29">
        <f t="shared" si="0"/>
        <v>0.017</v>
      </c>
      <c r="F49" s="26">
        <f t="shared" si="1"/>
        <v>0.0179</v>
      </c>
      <c r="G49" s="40"/>
      <c r="H49">
        <f t="shared" si="2"/>
        <v>7.869999999999997</v>
      </c>
      <c r="I49">
        <f t="shared" si="3"/>
        <v>9.630000000000003</v>
      </c>
    </row>
    <row r="50" spans="1:9" ht="12.75">
      <c r="A50" s="13">
        <v>61.1</v>
      </c>
      <c r="B50" s="9" t="s">
        <v>4</v>
      </c>
      <c r="C50" s="14">
        <v>85.6</v>
      </c>
      <c r="D50" s="26">
        <v>72.08</v>
      </c>
      <c r="E50" s="29">
        <f t="shared" si="0"/>
        <v>0.0066</v>
      </c>
      <c r="F50" s="26">
        <f t="shared" si="1"/>
        <v>0.0074</v>
      </c>
      <c r="G50" s="40"/>
      <c r="H50">
        <f t="shared" si="2"/>
        <v>10.979999999999997</v>
      </c>
      <c r="I50">
        <f t="shared" si="3"/>
        <v>13.519999999999996</v>
      </c>
    </row>
    <row r="51" spans="1:9" ht="12.75">
      <c r="A51" s="8">
        <v>85.6</v>
      </c>
      <c r="B51" s="9" t="s">
        <v>4</v>
      </c>
      <c r="C51" s="22">
        <v>120</v>
      </c>
      <c r="D51" s="26">
        <v>100.96</v>
      </c>
      <c r="E51" s="29">
        <f t="shared" si="0"/>
        <v>0.0026</v>
      </c>
      <c r="F51" s="26">
        <f t="shared" si="1"/>
        <v>0.0026</v>
      </c>
      <c r="G51" s="40"/>
      <c r="H51">
        <f t="shared" si="2"/>
        <v>15.36</v>
      </c>
      <c r="I51">
        <f t="shared" si="3"/>
        <v>19.040000000000006</v>
      </c>
    </row>
    <row r="54" spans="1:8" ht="12.75">
      <c r="A54" s="6"/>
      <c r="B54" s="6"/>
      <c r="C54" s="6"/>
      <c r="D54" s="37"/>
      <c r="E54" s="37"/>
      <c r="F54" s="37"/>
      <c r="G54" s="37"/>
      <c r="H54" s="37"/>
    </row>
    <row r="55" spans="1:8" ht="12.75">
      <c r="A55" s="37"/>
      <c r="B55" s="6"/>
      <c r="C55" s="31"/>
      <c r="D55" s="6"/>
      <c r="E55" s="6"/>
      <c r="F55" s="37"/>
      <c r="G55" s="6"/>
      <c r="H55" s="37"/>
    </row>
    <row r="56" spans="1:8" ht="12.75">
      <c r="A56" s="37"/>
      <c r="B56" s="6"/>
      <c r="C56" s="32"/>
      <c r="D56" s="6"/>
      <c r="E56" s="6"/>
      <c r="F56" s="6"/>
      <c r="G56" s="6"/>
      <c r="H56" s="6"/>
    </row>
    <row r="57" spans="1:8" ht="12.75">
      <c r="A57" s="50"/>
      <c r="B57" s="6"/>
      <c r="C57" s="31"/>
      <c r="D57" s="6"/>
      <c r="E57" s="6"/>
      <c r="F57" s="6"/>
      <c r="G57" s="6"/>
      <c r="H57" s="6"/>
    </row>
    <row r="58" spans="1:8" ht="12.75">
      <c r="A58" s="37"/>
      <c r="B58" s="6"/>
      <c r="C58" s="32"/>
      <c r="D58" s="6"/>
      <c r="E58" s="6"/>
      <c r="F58" s="6"/>
      <c r="G58" s="6"/>
      <c r="H58" s="6"/>
    </row>
    <row r="59" spans="1:8" ht="12.75">
      <c r="A59" s="50"/>
      <c r="B59" s="6"/>
      <c r="C59" s="31"/>
      <c r="D59" s="6"/>
      <c r="E59" s="6"/>
      <c r="F59" s="6"/>
      <c r="G59" s="6"/>
      <c r="H59" s="6"/>
    </row>
    <row r="60" spans="1:8" ht="12.75">
      <c r="A60" s="37"/>
      <c r="B60" s="6"/>
      <c r="C60" s="34"/>
      <c r="D60" s="6"/>
      <c r="E60" s="6"/>
      <c r="F60" s="6"/>
      <c r="G60" s="6"/>
      <c r="H60" s="6"/>
    </row>
    <row r="61" spans="1:8" ht="12.75">
      <c r="A61" s="51"/>
      <c r="B61" s="6"/>
      <c r="C61" s="31"/>
      <c r="D61" s="6"/>
      <c r="E61" s="6"/>
      <c r="F61" s="6"/>
      <c r="G61" s="6"/>
      <c r="H61" s="6"/>
    </row>
    <row r="62" spans="1:8" ht="12.75">
      <c r="A62" s="37"/>
      <c r="B62" s="6"/>
      <c r="C62" s="34"/>
      <c r="D62" s="6"/>
      <c r="E62" s="6"/>
      <c r="F62" s="6"/>
      <c r="G62" s="6"/>
      <c r="H62" s="6"/>
    </row>
    <row r="63" spans="1:8" ht="12.75">
      <c r="A63" s="51"/>
      <c r="B63" s="6"/>
      <c r="C63" s="31"/>
      <c r="D63" s="6"/>
      <c r="E63" s="6"/>
      <c r="F63" s="6"/>
      <c r="G63" s="6"/>
      <c r="H63" s="6"/>
    </row>
    <row r="64" spans="1:8" ht="12.75">
      <c r="A64" s="37"/>
      <c r="B64" s="6"/>
      <c r="C64" s="34"/>
      <c r="D64" s="6"/>
      <c r="E64" s="6"/>
      <c r="F64" s="6"/>
      <c r="G64" s="6"/>
      <c r="H64" s="6"/>
    </row>
    <row r="65" spans="1:8" ht="12.75">
      <c r="A65" s="51"/>
      <c r="B65" s="6"/>
      <c r="C65" s="31"/>
      <c r="D65" s="6"/>
      <c r="E65" s="6"/>
      <c r="F65" s="6"/>
      <c r="G65" s="6"/>
      <c r="H65" s="6"/>
    </row>
    <row r="66" spans="1:8" ht="12.75">
      <c r="A66" s="37"/>
      <c r="B66" s="6"/>
      <c r="C66" s="32"/>
      <c r="D66" s="6"/>
      <c r="E66" s="6"/>
      <c r="F66" s="6"/>
      <c r="G66" s="6"/>
      <c r="H66" s="6"/>
    </row>
    <row r="67" spans="1:8" ht="12.75">
      <c r="A67" s="50"/>
      <c r="B67" s="6"/>
      <c r="C67" s="31"/>
      <c r="D67" s="6"/>
      <c r="E67" s="6"/>
      <c r="F67" s="6"/>
      <c r="G67" s="6"/>
      <c r="H67" s="6"/>
    </row>
    <row r="68" spans="1:8" ht="12.75">
      <c r="A68" s="37"/>
      <c r="B68" s="6"/>
      <c r="C68" s="34"/>
      <c r="D68" s="6"/>
      <c r="E68" s="6"/>
      <c r="F68" s="6"/>
      <c r="G68" s="6"/>
      <c r="H68" s="6"/>
    </row>
    <row r="69" spans="1:8" ht="12.75">
      <c r="A69" s="51"/>
      <c r="B69" s="6"/>
      <c r="C69" s="34"/>
      <c r="D69" s="6"/>
      <c r="E69" s="6"/>
      <c r="F69" s="6"/>
      <c r="G69" s="6"/>
      <c r="H69" s="6"/>
    </row>
    <row r="70" spans="1:8" ht="12.75">
      <c r="A70" s="51"/>
      <c r="B70" s="6"/>
      <c r="C70" s="34"/>
      <c r="D70" s="6"/>
      <c r="E70" s="6"/>
      <c r="F70" s="6"/>
      <c r="G70" s="6"/>
      <c r="H70" s="6"/>
    </row>
    <row r="71" spans="1:8" ht="12.75">
      <c r="A71" s="51"/>
      <c r="B71" s="6"/>
      <c r="C71" s="34"/>
      <c r="D71" s="6"/>
      <c r="E71" s="6"/>
      <c r="F71" s="6"/>
      <c r="G71" s="6"/>
      <c r="H71" s="6"/>
    </row>
    <row r="72" spans="1:8" ht="12.75">
      <c r="A72" s="51"/>
      <c r="B72" s="6"/>
      <c r="C72" s="34"/>
      <c r="D72" s="6"/>
      <c r="E72" s="6"/>
      <c r="F72" s="6"/>
      <c r="G72" s="6"/>
      <c r="H72" s="6"/>
    </row>
    <row r="73" spans="1:8" ht="12.75">
      <c r="A73" s="51"/>
      <c r="B73" s="6"/>
      <c r="C73" s="31"/>
      <c r="D73" s="6"/>
      <c r="E73" s="6"/>
      <c r="F73" s="6"/>
      <c r="G73" s="6"/>
      <c r="H73" s="6"/>
    </row>
    <row r="74" spans="1:8" ht="12.75">
      <c r="A74" s="37"/>
      <c r="B74" s="6"/>
      <c r="C74" s="34"/>
      <c r="D74" s="6"/>
      <c r="E74" s="6"/>
      <c r="F74" s="6"/>
      <c r="G74" s="6"/>
      <c r="H74" s="6"/>
    </row>
    <row r="75" spans="1:8" ht="12.75">
      <c r="A75" s="51"/>
      <c r="B75" s="6"/>
      <c r="C75" s="31"/>
      <c r="D75" s="6"/>
      <c r="E75" s="6"/>
      <c r="F75" s="6"/>
      <c r="G75" s="6"/>
      <c r="H75" s="6"/>
    </row>
    <row r="76" spans="1:8" ht="12.75">
      <c r="A76" s="37"/>
      <c r="B76" s="6"/>
      <c r="C76" s="34"/>
      <c r="D76" s="6"/>
      <c r="E76" s="6"/>
      <c r="F76" s="6"/>
      <c r="G76" s="6"/>
      <c r="H76" s="6"/>
    </row>
  </sheetData>
  <mergeCells count="5">
    <mergeCell ref="G2:H2"/>
    <mergeCell ref="A29:C29"/>
    <mergeCell ref="A2:C3"/>
    <mergeCell ref="D2:D3"/>
    <mergeCell ref="E2:F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106"/>
  <sheetViews>
    <sheetView workbookViewId="0" topLeftCell="A28">
      <selection activeCell="I29" sqref="I29:I30"/>
    </sheetView>
  </sheetViews>
  <sheetFormatPr defaultColWidth="9.140625" defaultRowHeight="12.75"/>
  <cols>
    <col min="1" max="1" width="5.00390625" style="4" bestFit="1" customWidth="1"/>
    <col min="2" max="2" width="1.57421875" style="4" bestFit="1" customWidth="1"/>
    <col min="3" max="3" width="5.57421875" style="4" bestFit="1" customWidth="1"/>
    <col min="4" max="5" width="11.8515625" style="4" customWidth="1"/>
    <col min="6" max="6" width="16.00390625" style="4" customWidth="1"/>
    <col min="7" max="7" width="14.28125" style="4" customWidth="1"/>
    <col min="8" max="8" width="13.7109375" style="4" customWidth="1"/>
    <col min="9" max="9" width="20.00390625" style="4" customWidth="1"/>
    <col min="10" max="11" width="16.140625" style="4" customWidth="1"/>
    <col min="12" max="12" width="11.7109375" style="4" bestFit="1" customWidth="1"/>
    <col min="13" max="13" width="13.57421875" style="4" bestFit="1" customWidth="1"/>
    <col min="14" max="14" width="12.8515625" style="4" customWidth="1"/>
    <col min="15" max="15" width="10.00390625" style="4" bestFit="1" customWidth="1"/>
    <col min="16" max="16384" width="9.140625" style="4" customWidth="1"/>
  </cols>
  <sheetData>
    <row r="1" s="27" customFormat="1" ht="25.5">
      <c r="A1" s="27" t="s">
        <v>47</v>
      </c>
    </row>
    <row r="2" spans="1:35" ht="39" customHeight="1">
      <c r="A2" s="74" t="s">
        <v>0</v>
      </c>
      <c r="B2" s="74"/>
      <c r="C2" s="74"/>
      <c r="D2" s="74" t="s">
        <v>1</v>
      </c>
      <c r="E2" s="74" t="s">
        <v>15</v>
      </c>
      <c r="F2" s="74"/>
      <c r="G2" s="74"/>
      <c r="H2" s="74"/>
      <c r="I2" s="74" t="s">
        <v>14</v>
      </c>
      <c r="J2" s="74"/>
      <c r="K2" s="74"/>
      <c r="L2" s="74"/>
      <c r="M2" s="1"/>
      <c r="N2" s="1"/>
      <c r="O2" s="1"/>
      <c r="P2" s="1"/>
      <c r="Q2" s="1"/>
      <c r="R2" s="1"/>
      <c r="S2" s="1"/>
      <c r="T2" s="1"/>
      <c r="U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35" ht="54" customHeight="1">
      <c r="A3" s="74"/>
      <c r="B3" s="74"/>
      <c r="C3" s="74"/>
      <c r="D3" s="74"/>
      <c r="E3" s="29" t="s">
        <v>16</v>
      </c>
      <c r="F3" s="29" t="s">
        <v>21</v>
      </c>
      <c r="G3" s="29" t="s">
        <v>17</v>
      </c>
      <c r="H3" s="29" t="s">
        <v>22</v>
      </c>
      <c r="I3" s="29" t="s">
        <v>16</v>
      </c>
      <c r="J3" s="29" t="s">
        <v>21</v>
      </c>
      <c r="K3" s="29" t="s">
        <v>17</v>
      </c>
      <c r="L3" s="29" t="s">
        <v>22</v>
      </c>
      <c r="M3" s="36"/>
      <c r="N3" s="36"/>
      <c r="P3" s="37"/>
      <c r="Q3" s="37"/>
      <c r="R3" s="37"/>
      <c r="S3" s="37"/>
      <c r="T3" s="37"/>
      <c r="U3" s="37"/>
      <c r="X3" s="37"/>
      <c r="Y3" s="37"/>
      <c r="Z3" s="37"/>
      <c r="AA3" s="37"/>
      <c r="AB3" s="37"/>
      <c r="AD3" s="37"/>
      <c r="AE3" s="37"/>
      <c r="AF3" s="37"/>
      <c r="AG3" s="37"/>
      <c r="AH3" s="37"/>
      <c r="AI3" s="37"/>
    </row>
    <row r="4" spans="1:12" ht="12.75">
      <c r="A4" s="8">
        <v>0.2</v>
      </c>
      <c r="B4" s="9" t="s">
        <v>4</v>
      </c>
      <c r="C4" s="14">
        <v>0.3</v>
      </c>
      <c r="D4" s="26">
        <f>AVERAGE(A4,C4)</f>
        <v>0.25</v>
      </c>
      <c r="E4" s="26">
        <f>Data!F4*Data!K4</f>
        <v>14</v>
      </c>
      <c r="F4" s="25">
        <f>($C4-$A4)*E4</f>
        <v>1.3999999999999997</v>
      </c>
      <c r="G4" s="26">
        <f>Data!M4*Data!R4</f>
        <v>11</v>
      </c>
      <c r="H4" s="25">
        <f>($C4-$A4)*G4</f>
        <v>1.0999999999999996</v>
      </c>
      <c r="I4" s="26">
        <f>Data!T4*Data!Y4</f>
        <v>12</v>
      </c>
      <c r="J4" s="25">
        <f>($C4-$A4)*I4</f>
        <v>1.1999999999999997</v>
      </c>
      <c r="K4" s="26">
        <f>Data!AA4*Data!AF4</f>
        <v>10.700000000000001</v>
      </c>
      <c r="L4" s="25">
        <f>($C4-$A4)*K4</f>
        <v>1.0699999999999998</v>
      </c>
    </row>
    <row r="5" spans="1:12" ht="12.75">
      <c r="A5" s="8">
        <v>0.3</v>
      </c>
      <c r="B5" s="9" t="s">
        <v>4</v>
      </c>
      <c r="C5" s="21">
        <v>0.4</v>
      </c>
      <c r="D5" s="26">
        <f>AVERAGE(A5,C5)</f>
        <v>0.35</v>
      </c>
      <c r="E5" s="26">
        <f>Data!F5*Data!K5</f>
        <v>16.8</v>
      </c>
      <c r="F5" s="25">
        <f aca="true" t="shared" si="0" ref="F5:H25">($C5-$A5)*E5+F4</f>
        <v>3.08</v>
      </c>
      <c r="G5" s="26">
        <f>Data!M5*Data!R5</f>
        <v>13.600000000000001</v>
      </c>
      <c r="H5" s="25">
        <f t="shared" si="0"/>
        <v>2.46</v>
      </c>
      <c r="I5" s="26">
        <f>Data!T5*Data!Y5</f>
        <v>17</v>
      </c>
      <c r="J5" s="25">
        <f aca="true" t="shared" si="1" ref="J5:J25">($C5-$A5)*I5+J4</f>
        <v>2.9000000000000004</v>
      </c>
      <c r="K5" s="26">
        <f>Data!AA5*Data!AF5</f>
        <v>15.2</v>
      </c>
      <c r="L5" s="25">
        <f aca="true" t="shared" si="2" ref="L5:L25">($C5-$A5)*K5+L4</f>
        <v>2.5900000000000003</v>
      </c>
    </row>
    <row r="6" spans="1:12" ht="12.75">
      <c r="A6" s="12">
        <v>0.4</v>
      </c>
      <c r="B6" s="9" t="s">
        <v>4</v>
      </c>
      <c r="C6" s="14">
        <v>0.55</v>
      </c>
      <c r="D6" s="26">
        <v>0.47</v>
      </c>
      <c r="E6" s="26">
        <f>Data!F6*Data!K6</f>
        <v>17.2</v>
      </c>
      <c r="F6" s="25">
        <f t="shared" si="0"/>
        <v>5.66</v>
      </c>
      <c r="G6" s="26">
        <f>Data!M6*Data!R6</f>
        <v>14.399999999999999</v>
      </c>
      <c r="H6" s="25">
        <f t="shared" si="0"/>
        <v>4.62</v>
      </c>
      <c r="I6" s="26">
        <f>Data!T6*Data!Y6</f>
        <v>20.299999999999997</v>
      </c>
      <c r="J6" s="25">
        <f t="shared" si="1"/>
        <v>5.945</v>
      </c>
      <c r="K6" s="26">
        <f>Data!AA6*Data!AF6</f>
        <v>17.9</v>
      </c>
      <c r="L6" s="25">
        <f t="shared" si="2"/>
        <v>5.275</v>
      </c>
    </row>
    <row r="7" spans="1:12" ht="12.75">
      <c r="A7" s="8">
        <v>0.55</v>
      </c>
      <c r="B7" s="9" t="s">
        <v>4</v>
      </c>
      <c r="C7" s="21">
        <v>0.7</v>
      </c>
      <c r="D7" s="26">
        <v>0.62</v>
      </c>
      <c r="E7" s="26">
        <f>Data!F7*Data!K7</f>
        <v>16.599999999999998</v>
      </c>
      <c r="F7" s="25">
        <f t="shared" si="0"/>
        <v>8.149999999999999</v>
      </c>
      <c r="G7" s="26">
        <f>Data!M7*Data!R7</f>
        <v>13.5</v>
      </c>
      <c r="H7" s="25">
        <f t="shared" si="0"/>
        <v>6.644999999999999</v>
      </c>
      <c r="I7" s="26">
        <f>Data!T7*Data!Y7</f>
        <v>21.200000000000003</v>
      </c>
      <c r="J7" s="25">
        <f t="shared" si="1"/>
        <v>9.124999999999998</v>
      </c>
      <c r="K7" s="26">
        <f>Data!AA7*Data!AF7</f>
        <v>18.6</v>
      </c>
      <c r="L7" s="25">
        <f t="shared" si="2"/>
        <v>8.065</v>
      </c>
    </row>
    <row r="8" spans="1:12" ht="12.75">
      <c r="A8" s="12">
        <v>0.7</v>
      </c>
      <c r="B8" s="9" t="s">
        <v>4</v>
      </c>
      <c r="C8" s="14">
        <v>0.85</v>
      </c>
      <c r="D8" s="26">
        <v>0.78</v>
      </c>
      <c r="E8" s="26">
        <f>Data!F8*Data!K8</f>
        <v>15.600000000000001</v>
      </c>
      <c r="F8" s="25">
        <f t="shared" si="0"/>
        <v>10.489999999999998</v>
      </c>
      <c r="G8" s="26">
        <f>Data!M8*Data!R8</f>
        <v>13.3</v>
      </c>
      <c r="H8" s="25">
        <f t="shared" si="0"/>
        <v>8.639999999999999</v>
      </c>
      <c r="I8" s="26">
        <f>Data!T8*Data!Y8</f>
        <v>20.4</v>
      </c>
      <c r="J8" s="25">
        <f t="shared" si="1"/>
        <v>12.184999999999999</v>
      </c>
      <c r="K8" s="26">
        <f>Data!AA8*Data!AF8</f>
        <v>17.6</v>
      </c>
      <c r="L8" s="25">
        <f t="shared" si="2"/>
        <v>10.705</v>
      </c>
    </row>
    <row r="9" spans="1:12" ht="12.75">
      <c r="A9" s="8">
        <v>0.85</v>
      </c>
      <c r="B9" s="9" t="s">
        <v>4</v>
      </c>
      <c r="C9" s="22">
        <v>1</v>
      </c>
      <c r="D9" s="26">
        <v>0.92</v>
      </c>
      <c r="E9" s="26">
        <f>Data!F9*Data!K9</f>
        <v>14.8</v>
      </c>
      <c r="F9" s="25">
        <f t="shared" si="0"/>
        <v>12.709999999999999</v>
      </c>
      <c r="G9" s="26">
        <f>Data!M9*Data!R9</f>
        <v>12.1</v>
      </c>
      <c r="H9" s="25">
        <f t="shared" si="0"/>
        <v>10.454999999999998</v>
      </c>
      <c r="I9" s="26">
        <f>Data!T9*Data!Y9</f>
        <v>19.2</v>
      </c>
      <c r="J9" s="25">
        <f t="shared" si="1"/>
        <v>15.065</v>
      </c>
      <c r="K9" s="26">
        <f>Data!AA9*Data!AF9</f>
        <v>16.4</v>
      </c>
      <c r="L9" s="25">
        <f t="shared" si="2"/>
        <v>13.165</v>
      </c>
    </row>
    <row r="10" spans="1:12" ht="12.75">
      <c r="A10" s="13">
        <v>1</v>
      </c>
      <c r="B10" s="9" t="s">
        <v>4</v>
      </c>
      <c r="C10" s="14">
        <v>1.2</v>
      </c>
      <c r="D10" s="26">
        <f>AVERAGE(A10,C10)</f>
        <v>1.1</v>
      </c>
      <c r="E10" s="26">
        <f>Data!F10*Data!K10</f>
        <v>13</v>
      </c>
      <c r="F10" s="25">
        <f t="shared" si="0"/>
        <v>15.309999999999999</v>
      </c>
      <c r="G10" s="26">
        <f>Data!M10*Data!R10</f>
        <v>11</v>
      </c>
      <c r="H10" s="25">
        <f t="shared" si="0"/>
        <v>12.654999999999998</v>
      </c>
      <c r="I10" s="26">
        <f>Data!T10*Data!Y10</f>
        <v>17.7</v>
      </c>
      <c r="J10" s="25">
        <f t="shared" si="1"/>
        <v>18.604999999999997</v>
      </c>
      <c r="K10" s="26">
        <f>Data!AA10*Data!AF10</f>
        <v>14.8</v>
      </c>
      <c r="L10" s="25">
        <f t="shared" si="2"/>
        <v>16.125</v>
      </c>
    </row>
    <row r="11" spans="1:12" ht="12.75">
      <c r="A11" s="8">
        <v>1.2</v>
      </c>
      <c r="B11" s="9" t="s">
        <v>4</v>
      </c>
      <c r="C11" s="22">
        <v>1.4</v>
      </c>
      <c r="D11" s="26">
        <f>AVERAGE(A11,C11)</f>
        <v>1.2999999999999998</v>
      </c>
      <c r="E11" s="26">
        <f>Data!F11*Data!K11</f>
        <v>12</v>
      </c>
      <c r="F11" s="25">
        <f t="shared" si="0"/>
        <v>17.709999999999997</v>
      </c>
      <c r="G11" s="26">
        <f>Data!M11*Data!R11</f>
        <v>10.1</v>
      </c>
      <c r="H11" s="25">
        <f t="shared" si="0"/>
        <v>14.674999999999997</v>
      </c>
      <c r="I11" s="26">
        <f>Data!T11*Data!Y11</f>
        <v>15.5</v>
      </c>
      <c r="J11" s="25">
        <f t="shared" si="1"/>
        <v>21.704999999999995</v>
      </c>
      <c r="K11" s="26">
        <f>Data!AA11*Data!AF11</f>
        <v>12.8</v>
      </c>
      <c r="L11" s="25">
        <f t="shared" si="2"/>
        <v>18.685</v>
      </c>
    </row>
    <row r="12" spans="1:12" ht="12.75">
      <c r="A12" s="13">
        <v>1.4</v>
      </c>
      <c r="B12" s="9" t="s">
        <v>4</v>
      </c>
      <c r="C12" s="14">
        <v>1.6</v>
      </c>
      <c r="D12" s="26">
        <f>AVERAGE(A12,C12)</f>
        <v>1.5</v>
      </c>
      <c r="E12" s="26">
        <f>Data!F12*Data!K12</f>
        <v>10.2</v>
      </c>
      <c r="F12" s="25">
        <f t="shared" si="0"/>
        <v>19.75</v>
      </c>
      <c r="G12" s="26">
        <f>Data!M12*Data!R12</f>
        <v>8.7</v>
      </c>
      <c r="H12" s="25">
        <f t="shared" si="0"/>
        <v>16.415</v>
      </c>
      <c r="I12" s="26">
        <f>Data!T12*Data!Y12</f>
        <v>13.9</v>
      </c>
      <c r="J12" s="25">
        <f t="shared" si="1"/>
        <v>24.484999999999996</v>
      </c>
      <c r="K12" s="26">
        <f>Data!AA12*Data!AF12</f>
        <v>11.4</v>
      </c>
      <c r="L12" s="25">
        <f t="shared" si="2"/>
        <v>20.965</v>
      </c>
    </row>
    <row r="13" spans="1:12" ht="12.75">
      <c r="A13" s="8">
        <v>1.6</v>
      </c>
      <c r="B13" s="9" t="s">
        <v>4</v>
      </c>
      <c r="C13" s="22">
        <v>2.1</v>
      </c>
      <c r="D13" s="26">
        <v>1.84</v>
      </c>
      <c r="E13" s="26">
        <f>Data!F13*Data!K13</f>
        <v>9.1</v>
      </c>
      <c r="F13" s="25">
        <f t="shared" si="0"/>
        <v>24.3</v>
      </c>
      <c r="G13" s="26">
        <f>Data!M13*Data!R13</f>
        <v>7.3</v>
      </c>
      <c r="H13" s="25">
        <f t="shared" si="0"/>
        <v>20.064999999999998</v>
      </c>
      <c r="I13" s="26">
        <f>'Multiplied Out'!G13</f>
        <v>10</v>
      </c>
      <c r="J13" s="25">
        <f t="shared" si="1"/>
        <v>29.484999999999996</v>
      </c>
      <c r="K13" s="26">
        <f>Data!AA13*Data!AF13</f>
        <v>9.2</v>
      </c>
      <c r="L13" s="25">
        <f t="shared" si="2"/>
        <v>25.564999999999998</v>
      </c>
    </row>
    <row r="14" spans="1:12" ht="12.75">
      <c r="A14" s="13">
        <v>2.1</v>
      </c>
      <c r="B14" s="9" t="s">
        <v>4</v>
      </c>
      <c r="C14" s="14">
        <v>2.94</v>
      </c>
      <c r="D14" s="26">
        <v>2.49</v>
      </c>
      <c r="E14" s="26">
        <f>Data!F14*Data!K14</f>
        <v>6.6</v>
      </c>
      <c r="F14" s="25">
        <f t="shared" si="0"/>
        <v>29.844</v>
      </c>
      <c r="G14" s="26">
        <f>Data!M14*Data!R14</f>
        <v>5.2</v>
      </c>
      <c r="H14" s="25">
        <f t="shared" si="0"/>
        <v>24.432999999999996</v>
      </c>
      <c r="I14" s="26">
        <f>Data!T14*Data!Y14</f>
        <v>7</v>
      </c>
      <c r="J14" s="25">
        <f t="shared" si="1"/>
        <v>35.364999999999995</v>
      </c>
      <c r="K14" s="26">
        <f>Data!AA14*Data!AF14</f>
        <v>5.7</v>
      </c>
      <c r="L14" s="25">
        <f t="shared" si="2"/>
        <v>30.352999999999998</v>
      </c>
    </row>
    <row r="15" spans="1:12" ht="12.75">
      <c r="A15" s="8">
        <v>2.94</v>
      </c>
      <c r="B15" s="9" t="s">
        <v>4</v>
      </c>
      <c r="C15" s="21">
        <v>4.12</v>
      </c>
      <c r="D15" s="26">
        <v>3.49</v>
      </c>
      <c r="E15" s="26">
        <f>Data!F15*Data!K15</f>
        <v>4.12</v>
      </c>
      <c r="F15" s="25">
        <f t="shared" si="0"/>
        <v>34.705600000000004</v>
      </c>
      <c r="G15" s="26">
        <f>Data!M15*Data!R15</f>
        <v>3.38</v>
      </c>
      <c r="H15" s="25">
        <f t="shared" si="0"/>
        <v>28.4214</v>
      </c>
      <c r="I15" s="26">
        <f>Data!T15*Data!Y15</f>
        <v>4.8</v>
      </c>
      <c r="J15" s="25">
        <f t="shared" si="1"/>
        <v>41.028999999999996</v>
      </c>
      <c r="K15" s="26">
        <f>Data!AA15*Data!AF15</f>
        <v>3.86</v>
      </c>
      <c r="L15" s="25">
        <f t="shared" si="2"/>
        <v>34.907799999999995</v>
      </c>
    </row>
    <row r="16" spans="1:12" ht="12.75">
      <c r="A16" s="12">
        <v>4.12</v>
      </c>
      <c r="B16" s="9" t="s">
        <v>4</v>
      </c>
      <c r="C16" s="14">
        <v>5.5</v>
      </c>
      <c r="D16" s="26">
        <v>4.78</v>
      </c>
      <c r="E16" s="26">
        <f>Data!F16*Data!K16</f>
        <v>2.53</v>
      </c>
      <c r="F16" s="25">
        <f t="shared" si="0"/>
        <v>38.197</v>
      </c>
      <c r="G16" s="26">
        <f>Data!M16*Data!R16</f>
        <v>1.98</v>
      </c>
      <c r="H16" s="25">
        <f t="shared" si="0"/>
        <v>31.153799999999997</v>
      </c>
      <c r="I16" s="26">
        <f>Data!T16*Data!Y16</f>
        <v>2.94</v>
      </c>
      <c r="J16" s="25">
        <f t="shared" si="1"/>
        <v>45.0862</v>
      </c>
      <c r="K16" s="26">
        <f>Data!AA16*Data!AF16</f>
        <v>2.31</v>
      </c>
      <c r="L16" s="25">
        <f t="shared" si="2"/>
        <v>38.0956</v>
      </c>
    </row>
    <row r="17" spans="1:12" ht="12.75">
      <c r="A17" s="8">
        <v>5.5</v>
      </c>
      <c r="B17" s="9" t="s">
        <v>4</v>
      </c>
      <c r="C17" s="22">
        <v>7</v>
      </c>
      <c r="D17" s="26">
        <v>6.21</v>
      </c>
      <c r="E17" s="26">
        <f>Data!F17*Data!K17</f>
        <v>1.61</v>
      </c>
      <c r="F17" s="25">
        <f t="shared" si="0"/>
        <v>40.612</v>
      </c>
      <c r="G17" s="26">
        <f>Data!M17*Data!R17</f>
        <v>1.25</v>
      </c>
      <c r="H17" s="25">
        <f t="shared" si="0"/>
        <v>33.0288</v>
      </c>
      <c r="I17" s="26">
        <f>Data!T17*Data!Y17</f>
        <v>1.78</v>
      </c>
      <c r="J17" s="25">
        <f t="shared" si="1"/>
        <v>47.7562</v>
      </c>
      <c r="K17" s="26">
        <f>Data!AA17*Data!AF17</f>
        <v>1.37</v>
      </c>
      <c r="L17" s="25">
        <f t="shared" si="2"/>
        <v>40.1506</v>
      </c>
    </row>
    <row r="18" spans="1:12" ht="12.75">
      <c r="A18" s="13">
        <v>7</v>
      </c>
      <c r="B18" s="9" t="s">
        <v>4</v>
      </c>
      <c r="C18" s="22">
        <v>10</v>
      </c>
      <c r="D18" s="26">
        <v>8.37</v>
      </c>
      <c r="E18" s="26">
        <f>Data!F18*Data!K18</f>
        <v>0.9</v>
      </c>
      <c r="F18" s="25">
        <f t="shared" si="0"/>
        <v>43.312000000000005</v>
      </c>
      <c r="G18" s="26">
        <f>Data!M18*Data!R18</f>
        <v>0.6900000000000001</v>
      </c>
      <c r="H18" s="25">
        <f t="shared" si="0"/>
        <v>35.0988</v>
      </c>
      <c r="I18" s="26">
        <f>Data!T18*Data!Y18</f>
        <v>1.02</v>
      </c>
      <c r="J18" s="25">
        <f t="shared" si="1"/>
        <v>50.8162</v>
      </c>
      <c r="K18" s="26">
        <f>Data!AA18*Data!AF18</f>
        <v>0.78</v>
      </c>
      <c r="L18" s="25">
        <f t="shared" si="2"/>
        <v>42.4906</v>
      </c>
    </row>
    <row r="19" spans="1:12" ht="12.75">
      <c r="A19" s="13">
        <v>10</v>
      </c>
      <c r="B19" s="9" t="s">
        <v>4</v>
      </c>
      <c r="C19" s="22">
        <v>15.5</v>
      </c>
      <c r="D19" s="26">
        <v>12.42</v>
      </c>
      <c r="E19" s="26">
        <f>Data!F19*Data!K19</f>
        <v>0.389</v>
      </c>
      <c r="F19" s="25">
        <f t="shared" si="0"/>
        <v>45.4515</v>
      </c>
      <c r="G19" s="26">
        <f>Data!M19*Data!R19</f>
        <v>0.309</v>
      </c>
      <c r="H19" s="25">
        <f t="shared" si="0"/>
        <v>36.7983</v>
      </c>
      <c r="I19" s="26">
        <f>Data!T19*Data!Y19</f>
        <v>0.414</v>
      </c>
      <c r="J19" s="25">
        <f t="shared" si="1"/>
        <v>53.0932</v>
      </c>
      <c r="K19" s="26">
        <f>Data!AA19*Data!AF19</f>
        <v>0.32000000000000006</v>
      </c>
      <c r="L19" s="25">
        <f t="shared" si="2"/>
        <v>44.2506</v>
      </c>
    </row>
    <row r="20" spans="1:12" ht="12.75">
      <c r="A20" s="13">
        <v>15.5</v>
      </c>
      <c r="B20" s="9" t="s">
        <v>4</v>
      </c>
      <c r="C20" s="22">
        <v>23</v>
      </c>
      <c r="D20" s="26">
        <v>18.85</v>
      </c>
      <c r="E20" s="26">
        <f>Data!F20*Data!K20</f>
        <v>0.13799999999999998</v>
      </c>
      <c r="F20" s="25">
        <f t="shared" si="0"/>
        <v>46.4865</v>
      </c>
      <c r="G20" s="26">
        <f>Data!M20*Data!R20</f>
        <v>0.10800000000000001</v>
      </c>
      <c r="H20" s="25">
        <f t="shared" si="0"/>
        <v>37.6083</v>
      </c>
      <c r="I20" s="26">
        <f>Data!T20*Data!Y20</f>
        <v>0.15400000000000003</v>
      </c>
      <c r="J20" s="25">
        <f t="shared" si="1"/>
        <v>54.248200000000004</v>
      </c>
      <c r="K20" s="26">
        <f>Data!AA20*Data!AF20</f>
        <v>0.11599999999999999</v>
      </c>
      <c r="L20" s="25">
        <f t="shared" si="2"/>
        <v>45.120599999999996</v>
      </c>
    </row>
    <row r="21" spans="1:12" ht="12.75">
      <c r="A21" s="13">
        <v>23</v>
      </c>
      <c r="B21" s="9" t="s">
        <v>4</v>
      </c>
      <c r="C21" s="22">
        <v>31.1</v>
      </c>
      <c r="D21" s="26">
        <v>26.68</v>
      </c>
      <c r="E21" s="26">
        <f>Data!F21*Data!K21</f>
        <v>0.063</v>
      </c>
      <c r="F21" s="25">
        <f t="shared" si="0"/>
        <v>46.9968</v>
      </c>
      <c r="G21" s="26">
        <f>Data!M21*Data!R21</f>
        <v>0.046</v>
      </c>
      <c r="H21" s="25">
        <f t="shared" si="0"/>
        <v>37.9809</v>
      </c>
      <c r="I21" s="26">
        <f>Data!T21*Data!Y21</f>
        <v>0.064</v>
      </c>
      <c r="J21" s="25">
        <f t="shared" si="1"/>
        <v>54.766600000000004</v>
      </c>
      <c r="K21" s="26">
        <f>Data!AA21*Data!AF21</f>
        <v>0.045</v>
      </c>
      <c r="L21" s="25">
        <f t="shared" si="2"/>
        <v>45.485099999999996</v>
      </c>
    </row>
    <row r="22" spans="1:12" ht="12.75">
      <c r="A22" s="13">
        <v>31.1</v>
      </c>
      <c r="B22" s="9" t="s">
        <v>4</v>
      </c>
      <c r="C22" s="14">
        <v>43.6</v>
      </c>
      <c r="D22" s="26">
        <v>36.69</v>
      </c>
      <c r="E22" s="26">
        <f>Data!F22*Data!K22</f>
        <v>0.027999999999999997</v>
      </c>
      <c r="F22" s="25">
        <f t="shared" si="0"/>
        <v>47.3468</v>
      </c>
      <c r="G22" s="26">
        <f>Data!M22*Data!R22</f>
        <v>0.019</v>
      </c>
      <c r="H22" s="25">
        <f t="shared" si="0"/>
        <v>38.218399999999995</v>
      </c>
      <c r="I22" s="26">
        <f>Data!T22*Data!Y22</f>
        <v>0.027999999999999997</v>
      </c>
      <c r="J22" s="25">
        <f t="shared" si="1"/>
        <v>55.116600000000005</v>
      </c>
      <c r="K22" s="26">
        <f>Data!AA22*Data!AF22</f>
        <v>0.0203</v>
      </c>
      <c r="L22" s="25">
        <f t="shared" si="2"/>
        <v>45.73884999999999</v>
      </c>
    </row>
    <row r="23" spans="1:12" ht="12.75">
      <c r="A23" s="8">
        <v>43.6</v>
      </c>
      <c r="B23" s="9" t="s">
        <v>4</v>
      </c>
      <c r="C23" s="22">
        <v>61.1</v>
      </c>
      <c r="D23" s="26">
        <v>51.47</v>
      </c>
      <c r="E23" s="26">
        <f>Data!F23*Data!K23</f>
        <v>0.0099</v>
      </c>
      <c r="F23" s="25">
        <f t="shared" si="0"/>
        <v>47.520050000000005</v>
      </c>
      <c r="G23" s="26">
        <f>Data!M23*Data!R23</f>
        <v>0.0070999999999999995</v>
      </c>
      <c r="H23" s="25">
        <f t="shared" si="0"/>
        <v>38.34265</v>
      </c>
      <c r="I23" s="26">
        <f>Data!T23*Data!Y23</f>
        <v>0.010199999999999999</v>
      </c>
      <c r="J23" s="25">
        <f t="shared" si="1"/>
        <v>55.295100000000005</v>
      </c>
      <c r="K23" s="26">
        <f>Data!AA23*Data!AF23</f>
        <v>0.0077</v>
      </c>
      <c r="L23" s="25">
        <f t="shared" si="2"/>
        <v>45.87359999999999</v>
      </c>
    </row>
    <row r="24" spans="1:12" ht="12.75">
      <c r="A24" s="13">
        <v>61.1</v>
      </c>
      <c r="B24" s="9" t="s">
        <v>4</v>
      </c>
      <c r="C24" s="14">
        <v>85.6</v>
      </c>
      <c r="D24" s="26">
        <v>72.08</v>
      </c>
      <c r="E24" s="26">
        <f>Data!F24*Data!K24</f>
        <v>0.0036000000000000003</v>
      </c>
      <c r="F24" s="25">
        <f t="shared" si="0"/>
        <v>47.608250000000005</v>
      </c>
      <c r="G24" s="26">
        <f>Data!M24*Data!R24</f>
        <v>0.003</v>
      </c>
      <c r="H24" s="25">
        <f t="shared" si="0"/>
        <v>38.41615</v>
      </c>
      <c r="I24" s="26">
        <f>Data!T24*Data!Y24</f>
        <v>0.004200000000000001</v>
      </c>
      <c r="J24" s="25">
        <f t="shared" si="1"/>
        <v>55.398</v>
      </c>
      <c r="K24" s="26">
        <f>Data!AA24*Data!AF24</f>
        <v>0.0032</v>
      </c>
      <c r="L24" s="25">
        <f t="shared" si="2"/>
        <v>45.95199999999999</v>
      </c>
    </row>
    <row r="25" spans="1:12" ht="12.75">
      <c r="A25" s="8">
        <v>85.6</v>
      </c>
      <c r="B25" s="9" t="s">
        <v>4</v>
      </c>
      <c r="C25" s="22">
        <v>120</v>
      </c>
      <c r="D25" s="26">
        <v>100.96</v>
      </c>
      <c r="E25" s="26">
        <f>Data!F25*Data!K25</f>
        <v>0.0014</v>
      </c>
      <c r="F25" s="25">
        <f t="shared" si="0"/>
        <v>47.65641000000001</v>
      </c>
      <c r="G25" s="26">
        <f>Data!M25*Data!R25</f>
        <v>0.0012</v>
      </c>
      <c r="H25" s="25">
        <f t="shared" si="0"/>
        <v>38.45743</v>
      </c>
      <c r="I25" s="26">
        <f>Data!T25*Data!Y25</f>
        <v>0.0015</v>
      </c>
      <c r="J25" s="25">
        <f t="shared" si="1"/>
        <v>55.449600000000004</v>
      </c>
      <c r="K25" s="26">
        <f>Data!AA25*Data!AF25</f>
        <v>0.0011</v>
      </c>
      <c r="L25" s="25">
        <f t="shared" si="2"/>
        <v>45.989839999999994</v>
      </c>
    </row>
    <row r="26" ht="12.75"/>
    <row r="27" ht="12.75"/>
    <row r="28" ht="12.75"/>
    <row r="29" spans="1:11" ht="51" customHeight="1">
      <c r="A29" s="74" t="s">
        <v>0</v>
      </c>
      <c r="B29" s="74"/>
      <c r="C29" s="79"/>
      <c r="D29" s="74" t="s">
        <v>1</v>
      </c>
      <c r="E29" s="74" t="s">
        <v>19</v>
      </c>
      <c r="F29" s="74"/>
      <c r="G29" s="74" t="s">
        <v>20</v>
      </c>
      <c r="H29" s="74"/>
      <c r="I29" s="74" t="s">
        <v>28</v>
      </c>
      <c r="J29" s="74" t="s">
        <v>50</v>
      </c>
      <c r="K29" s="74" t="s">
        <v>51</v>
      </c>
    </row>
    <row r="30" spans="1:11" ht="38.25" customHeight="1">
      <c r="A30" s="74"/>
      <c r="B30" s="74"/>
      <c r="C30" s="79"/>
      <c r="D30" s="74"/>
      <c r="E30" s="38" t="s">
        <v>18</v>
      </c>
      <c r="F30" s="29" t="s">
        <v>23</v>
      </c>
      <c r="G30" s="38" t="s">
        <v>18</v>
      </c>
      <c r="H30" s="29" t="s">
        <v>23</v>
      </c>
      <c r="I30" s="74"/>
      <c r="J30" s="74"/>
      <c r="K30" s="74"/>
    </row>
    <row r="31" spans="1:11" ht="12.75">
      <c r="A31" s="8">
        <v>0.2</v>
      </c>
      <c r="B31" s="9" t="s">
        <v>4</v>
      </c>
      <c r="C31" s="20">
        <v>0.3</v>
      </c>
      <c r="D31" s="26">
        <f>AVERAGE(A31,C31)</f>
        <v>0.25</v>
      </c>
      <c r="E31" s="29">
        <f>E4+G4</f>
        <v>25</v>
      </c>
      <c r="F31" s="26">
        <f>($C31-$A31)*E31</f>
        <v>2.4999999999999996</v>
      </c>
      <c r="G31" s="26">
        <f>I4+K4</f>
        <v>22.700000000000003</v>
      </c>
      <c r="H31" s="26">
        <f>($C31-$A31)*G31</f>
        <v>2.2699999999999996</v>
      </c>
      <c r="I31" s="26">
        <f>H31/F31</f>
        <v>0.908</v>
      </c>
      <c r="J31" s="26">
        <f>($C31-$A31)*E31</f>
        <v>2.4999999999999996</v>
      </c>
      <c r="K31" s="26">
        <f>($C31-$A31)*G31</f>
        <v>2.2699999999999996</v>
      </c>
    </row>
    <row r="32" spans="1:11" ht="12.75">
      <c r="A32" s="8">
        <v>0.3</v>
      </c>
      <c r="B32" s="9" t="s">
        <v>4</v>
      </c>
      <c r="C32" s="46">
        <v>0.4</v>
      </c>
      <c r="D32" s="26">
        <f>AVERAGE(A32,C32)</f>
        <v>0.35</v>
      </c>
      <c r="E32" s="29">
        <f aca="true" t="shared" si="3" ref="E32:E52">E5+G5</f>
        <v>30.400000000000002</v>
      </c>
      <c r="F32" s="26">
        <f aca="true" t="shared" si="4" ref="F32:F52">($C32-$A32)*E32+F31</f>
        <v>5.540000000000001</v>
      </c>
      <c r="G32" s="26">
        <f aca="true" t="shared" si="5" ref="G32:G52">I5+K5</f>
        <v>32.2</v>
      </c>
      <c r="H32" s="26">
        <f>($C32-$A32)*G32+H31</f>
        <v>5.490000000000001</v>
      </c>
      <c r="I32" s="26">
        <f aca="true" t="shared" si="6" ref="I32:I52">H32/F32</f>
        <v>0.9909747292418772</v>
      </c>
      <c r="J32" s="26">
        <f aca="true" t="shared" si="7" ref="J32:J52">($C32-$A32)*E32</f>
        <v>3.0400000000000014</v>
      </c>
      <c r="K32" s="26">
        <f aca="true" t="shared" si="8" ref="K32:K52">($C32-$A32)*G32</f>
        <v>3.2200000000000015</v>
      </c>
    </row>
    <row r="33" spans="1:11" ht="12.75">
      <c r="A33" s="12">
        <v>0.4</v>
      </c>
      <c r="B33" s="9" t="s">
        <v>4</v>
      </c>
      <c r="C33" s="20">
        <v>0.55</v>
      </c>
      <c r="D33" s="26">
        <v>0.47</v>
      </c>
      <c r="E33" s="29">
        <f t="shared" si="3"/>
        <v>31.599999999999998</v>
      </c>
      <c r="F33" s="26">
        <f>($C33-$A33)*E33+F32</f>
        <v>10.280000000000001</v>
      </c>
      <c r="G33" s="26">
        <f t="shared" si="5"/>
        <v>38.199999999999996</v>
      </c>
      <c r="H33" s="26">
        <f aca="true" t="shared" si="9" ref="H33:H52">($C33-$A33)*G33+H32</f>
        <v>11.220000000000002</v>
      </c>
      <c r="I33" s="26">
        <f t="shared" si="6"/>
        <v>1.0914396887159534</v>
      </c>
      <c r="J33" s="26">
        <f t="shared" si="7"/>
        <v>4.74</v>
      </c>
      <c r="K33" s="26">
        <f t="shared" si="8"/>
        <v>5.73</v>
      </c>
    </row>
    <row r="34" spans="1:11" ht="12.75">
      <c r="A34" s="8">
        <v>0.55</v>
      </c>
      <c r="B34" s="9" t="s">
        <v>4</v>
      </c>
      <c r="C34" s="46">
        <v>0.7</v>
      </c>
      <c r="D34" s="26">
        <v>0.62</v>
      </c>
      <c r="E34" s="29">
        <f t="shared" si="3"/>
        <v>30.099999999999998</v>
      </c>
      <c r="F34" s="26">
        <f t="shared" si="4"/>
        <v>14.794999999999998</v>
      </c>
      <c r="G34" s="26">
        <f t="shared" si="5"/>
        <v>39.800000000000004</v>
      </c>
      <c r="H34" s="26">
        <f t="shared" si="9"/>
        <v>17.189999999999998</v>
      </c>
      <c r="I34" s="26">
        <f t="shared" si="6"/>
        <v>1.1618790131801284</v>
      </c>
      <c r="J34" s="26">
        <f t="shared" si="7"/>
        <v>4.514999999999997</v>
      </c>
      <c r="K34" s="26">
        <f t="shared" si="8"/>
        <v>5.969999999999997</v>
      </c>
    </row>
    <row r="35" spans="1:11" ht="12.75">
      <c r="A35" s="12">
        <v>0.7</v>
      </c>
      <c r="B35" s="9" t="s">
        <v>4</v>
      </c>
      <c r="C35" s="20">
        <v>0.85</v>
      </c>
      <c r="D35" s="26">
        <v>0.78</v>
      </c>
      <c r="E35" s="29">
        <f t="shared" si="3"/>
        <v>28.900000000000002</v>
      </c>
      <c r="F35" s="26">
        <f t="shared" si="4"/>
        <v>19.13</v>
      </c>
      <c r="G35" s="26">
        <f t="shared" si="5"/>
        <v>38</v>
      </c>
      <c r="H35" s="26">
        <f t="shared" si="9"/>
        <v>22.89</v>
      </c>
      <c r="I35" s="26">
        <f t="shared" si="6"/>
        <v>1.196549921589127</v>
      </c>
      <c r="J35" s="26">
        <f t="shared" si="7"/>
        <v>4.335000000000001</v>
      </c>
      <c r="K35" s="26">
        <f t="shared" si="8"/>
        <v>5.700000000000001</v>
      </c>
    </row>
    <row r="36" spans="1:11" ht="12.75">
      <c r="A36" s="8">
        <v>0.85</v>
      </c>
      <c r="B36" s="9" t="s">
        <v>4</v>
      </c>
      <c r="C36" s="47">
        <v>1</v>
      </c>
      <c r="D36" s="26">
        <v>0.92</v>
      </c>
      <c r="E36" s="29">
        <f t="shared" si="3"/>
        <v>26.9</v>
      </c>
      <c r="F36" s="26">
        <f t="shared" si="4"/>
        <v>23.165</v>
      </c>
      <c r="G36" s="26">
        <f t="shared" si="5"/>
        <v>35.599999999999994</v>
      </c>
      <c r="H36" s="26">
        <f t="shared" si="9"/>
        <v>28.23</v>
      </c>
      <c r="I36" s="26">
        <f t="shared" si="6"/>
        <v>1.2186488236563782</v>
      </c>
      <c r="J36" s="26">
        <f t="shared" si="7"/>
        <v>4.035</v>
      </c>
      <c r="K36" s="26">
        <f t="shared" si="8"/>
        <v>5.34</v>
      </c>
    </row>
    <row r="37" spans="1:11" ht="12.75">
      <c r="A37" s="13">
        <v>1</v>
      </c>
      <c r="B37" s="9" t="s">
        <v>4</v>
      </c>
      <c r="C37" s="20">
        <v>1.2</v>
      </c>
      <c r="D37" s="26">
        <f>AVERAGE(A37,C37)</f>
        <v>1.1</v>
      </c>
      <c r="E37" s="29">
        <f t="shared" si="3"/>
        <v>24</v>
      </c>
      <c r="F37" s="26">
        <f t="shared" si="4"/>
        <v>27.964999999999996</v>
      </c>
      <c r="G37" s="26">
        <f t="shared" si="5"/>
        <v>32.5</v>
      </c>
      <c r="H37" s="26">
        <f t="shared" si="9"/>
        <v>34.73</v>
      </c>
      <c r="I37" s="26">
        <f t="shared" si="6"/>
        <v>1.2419095297693545</v>
      </c>
      <c r="J37" s="26">
        <f t="shared" si="7"/>
        <v>4.799999999999999</v>
      </c>
      <c r="K37" s="26">
        <f t="shared" si="8"/>
        <v>6.499999999999998</v>
      </c>
    </row>
    <row r="38" spans="1:11" ht="12.75">
      <c r="A38" s="8">
        <v>1.2</v>
      </c>
      <c r="B38" s="9" t="s">
        <v>4</v>
      </c>
      <c r="C38" s="47">
        <v>1.4</v>
      </c>
      <c r="D38" s="26">
        <f>AVERAGE(A38,C38)</f>
        <v>1.2999999999999998</v>
      </c>
      <c r="E38" s="29">
        <f t="shared" si="3"/>
        <v>22.1</v>
      </c>
      <c r="F38" s="26">
        <f t="shared" si="4"/>
        <v>32.385</v>
      </c>
      <c r="G38" s="26">
        <f t="shared" si="5"/>
        <v>28.3</v>
      </c>
      <c r="H38" s="26">
        <f t="shared" si="9"/>
        <v>40.38999999999999</v>
      </c>
      <c r="I38" s="26">
        <f t="shared" si="6"/>
        <v>1.2471823375019297</v>
      </c>
      <c r="J38" s="26">
        <f t="shared" si="7"/>
        <v>4.419999999999999</v>
      </c>
      <c r="K38" s="26">
        <f t="shared" si="8"/>
        <v>5.659999999999999</v>
      </c>
    </row>
    <row r="39" spans="1:11" ht="12.75">
      <c r="A39" s="13">
        <v>1.4</v>
      </c>
      <c r="B39" s="9" t="s">
        <v>4</v>
      </c>
      <c r="C39" s="20">
        <v>1.6</v>
      </c>
      <c r="D39" s="26">
        <f>AVERAGE(A39,C39)</f>
        <v>1.5</v>
      </c>
      <c r="E39" s="29">
        <f t="shared" si="3"/>
        <v>18.9</v>
      </c>
      <c r="F39" s="26">
        <f t="shared" si="4"/>
        <v>36.165</v>
      </c>
      <c r="G39" s="26">
        <f t="shared" si="5"/>
        <v>25.3</v>
      </c>
      <c r="H39" s="26">
        <f t="shared" si="9"/>
        <v>45.449999999999996</v>
      </c>
      <c r="I39" s="26">
        <f t="shared" si="6"/>
        <v>1.2567399419328078</v>
      </c>
      <c r="J39" s="26">
        <f t="shared" si="7"/>
        <v>3.780000000000003</v>
      </c>
      <c r="K39" s="26">
        <f t="shared" si="8"/>
        <v>5.060000000000005</v>
      </c>
    </row>
    <row r="40" spans="1:11" ht="12.75">
      <c r="A40" s="8">
        <v>1.6</v>
      </c>
      <c r="B40" s="9" t="s">
        <v>4</v>
      </c>
      <c r="C40" s="47">
        <v>2.1</v>
      </c>
      <c r="D40" s="26">
        <v>1.84</v>
      </c>
      <c r="E40" s="29">
        <f t="shared" si="3"/>
        <v>16.4</v>
      </c>
      <c r="F40" s="26">
        <f t="shared" si="4"/>
        <v>44.364999999999995</v>
      </c>
      <c r="G40" s="26">
        <f t="shared" si="5"/>
        <v>19.2</v>
      </c>
      <c r="H40" s="26">
        <f t="shared" si="9"/>
        <v>55.05</v>
      </c>
      <c r="I40" s="26">
        <f t="shared" si="6"/>
        <v>1.2408430068747887</v>
      </c>
      <c r="J40" s="26">
        <f t="shared" si="7"/>
        <v>8.2</v>
      </c>
      <c r="K40" s="26">
        <f t="shared" si="8"/>
        <v>9.6</v>
      </c>
    </row>
    <row r="41" spans="1:11" ht="12.75">
      <c r="A41" s="13">
        <v>2.1</v>
      </c>
      <c r="B41" s="9" t="s">
        <v>4</v>
      </c>
      <c r="C41" s="20">
        <v>2.94</v>
      </c>
      <c r="D41" s="26">
        <v>2.49</v>
      </c>
      <c r="E41" s="29">
        <f t="shared" si="3"/>
        <v>11.8</v>
      </c>
      <c r="F41" s="26">
        <f t="shared" si="4"/>
        <v>54.276999999999994</v>
      </c>
      <c r="G41" s="26">
        <f t="shared" si="5"/>
        <v>12.7</v>
      </c>
      <c r="H41" s="26">
        <f t="shared" si="9"/>
        <v>65.71799999999999</v>
      </c>
      <c r="I41" s="26">
        <f t="shared" si="6"/>
        <v>1.2107891003555833</v>
      </c>
      <c r="J41" s="26">
        <f t="shared" si="7"/>
        <v>9.911999999999999</v>
      </c>
      <c r="K41" s="26">
        <f t="shared" si="8"/>
        <v>10.667999999999997</v>
      </c>
    </row>
    <row r="42" spans="1:11" ht="12.75">
      <c r="A42" s="8">
        <v>2.94</v>
      </c>
      <c r="B42" s="9" t="s">
        <v>4</v>
      </c>
      <c r="C42" s="46">
        <v>4.12</v>
      </c>
      <c r="D42" s="26">
        <v>3.49</v>
      </c>
      <c r="E42" s="29">
        <f t="shared" si="3"/>
        <v>7.5</v>
      </c>
      <c r="F42" s="26">
        <f t="shared" si="4"/>
        <v>63.126999999999995</v>
      </c>
      <c r="G42" s="26">
        <f t="shared" si="5"/>
        <v>8.66</v>
      </c>
      <c r="H42" s="26">
        <f t="shared" si="9"/>
        <v>75.93679999999999</v>
      </c>
      <c r="I42" s="26">
        <f t="shared" si="6"/>
        <v>1.2029210955692493</v>
      </c>
      <c r="J42" s="26">
        <f t="shared" si="7"/>
        <v>8.850000000000001</v>
      </c>
      <c r="K42" s="26">
        <f t="shared" si="8"/>
        <v>10.218800000000002</v>
      </c>
    </row>
    <row r="43" spans="1:11" ht="12.75">
      <c r="A43" s="12">
        <v>4.12</v>
      </c>
      <c r="B43" s="9" t="s">
        <v>4</v>
      </c>
      <c r="C43" s="20">
        <v>5.5</v>
      </c>
      <c r="D43" s="26">
        <v>4.78</v>
      </c>
      <c r="E43" s="29">
        <f t="shared" si="3"/>
        <v>4.51</v>
      </c>
      <c r="F43" s="26">
        <f t="shared" si="4"/>
        <v>69.35079999999999</v>
      </c>
      <c r="G43" s="26">
        <f t="shared" si="5"/>
        <v>5.25</v>
      </c>
      <c r="H43" s="26">
        <f t="shared" si="9"/>
        <v>83.1818</v>
      </c>
      <c r="I43" s="26">
        <f t="shared" si="6"/>
        <v>1.1994353345599476</v>
      </c>
      <c r="J43" s="26">
        <f t="shared" si="7"/>
        <v>6.223799999999999</v>
      </c>
      <c r="K43" s="26">
        <f t="shared" si="8"/>
        <v>7.244999999999999</v>
      </c>
    </row>
    <row r="44" spans="1:11" ht="12.75">
      <c r="A44" s="8">
        <v>5.5</v>
      </c>
      <c r="B44" s="9" t="s">
        <v>4</v>
      </c>
      <c r="C44" s="47">
        <v>7</v>
      </c>
      <c r="D44" s="26">
        <v>6.21</v>
      </c>
      <c r="E44" s="29">
        <f t="shared" si="3"/>
        <v>2.8600000000000003</v>
      </c>
      <c r="F44" s="26">
        <f t="shared" si="4"/>
        <v>73.6408</v>
      </c>
      <c r="G44" s="26">
        <f t="shared" si="5"/>
        <v>3.1500000000000004</v>
      </c>
      <c r="H44" s="26">
        <f t="shared" si="9"/>
        <v>87.90679999999999</v>
      </c>
      <c r="I44" s="26">
        <f t="shared" si="6"/>
        <v>1.1937241311881457</v>
      </c>
      <c r="J44" s="26">
        <f t="shared" si="7"/>
        <v>4.290000000000001</v>
      </c>
      <c r="K44" s="26">
        <f t="shared" si="8"/>
        <v>4.7250000000000005</v>
      </c>
    </row>
    <row r="45" spans="1:11" ht="12.75">
      <c r="A45" s="13">
        <v>7</v>
      </c>
      <c r="B45" s="9" t="s">
        <v>4</v>
      </c>
      <c r="C45" s="47">
        <v>10</v>
      </c>
      <c r="D45" s="26">
        <v>8.37</v>
      </c>
      <c r="E45" s="29">
        <f t="shared" si="3"/>
        <v>1.59</v>
      </c>
      <c r="F45" s="26">
        <f t="shared" si="4"/>
        <v>78.4108</v>
      </c>
      <c r="G45" s="26">
        <f t="shared" si="5"/>
        <v>1.8</v>
      </c>
      <c r="H45" s="26">
        <f t="shared" si="9"/>
        <v>93.3068</v>
      </c>
      <c r="I45" s="26">
        <f t="shared" si="6"/>
        <v>1.1899738301356446</v>
      </c>
      <c r="J45" s="26">
        <f t="shared" si="7"/>
        <v>4.7700000000000005</v>
      </c>
      <c r="K45" s="26">
        <f t="shared" si="8"/>
        <v>5.4</v>
      </c>
    </row>
    <row r="46" spans="1:11" ht="12.75">
      <c r="A46" s="13">
        <v>10</v>
      </c>
      <c r="B46" s="9" t="s">
        <v>4</v>
      </c>
      <c r="C46" s="47">
        <v>15.5</v>
      </c>
      <c r="D46" s="26">
        <v>12.42</v>
      </c>
      <c r="E46" s="29">
        <f t="shared" si="3"/>
        <v>0.698</v>
      </c>
      <c r="F46" s="26">
        <f t="shared" si="4"/>
        <v>82.2498</v>
      </c>
      <c r="G46" s="26">
        <f t="shared" si="5"/>
        <v>0.734</v>
      </c>
      <c r="H46" s="26">
        <f t="shared" si="9"/>
        <v>97.3438</v>
      </c>
      <c r="I46" s="26">
        <f t="shared" si="6"/>
        <v>1.1835141240465024</v>
      </c>
      <c r="J46" s="26">
        <f t="shared" si="7"/>
        <v>3.8389999999999995</v>
      </c>
      <c r="K46" s="26">
        <f t="shared" si="8"/>
        <v>4.037</v>
      </c>
    </row>
    <row r="47" spans="1:11" ht="12.75">
      <c r="A47" s="13">
        <v>15.5</v>
      </c>
      <c r="B47" s="9" t="s">
        <v>4</v>
      </c>
      <c r="C47" s="47">
        <v>23</v>
      </c>
      <c r="D47" s="26">
        <v>18.85</v>
      </c>
      <c r="E47" s="29">
        <f t="shared" si="3"/>
        <v>0.246</v>
      </c>
      <c r="F47" s="26">
        <f t="shared" si="4"/>
        <v>84.09479999999999</v>
      </c>
      <c r="G47" s="26">
        <f t="shared" si="5"/>
        <v>0.27</v>
      </c>
      <c r="H47" s="26">
        <f t="shared" si="9"/>
        <v>99.36880000000001</v>
      </c>
      <c r="I47" s="26">
        <f t="shared" si="6"/>
        <v>1.1816283527637859</v>
      </c>
      <c r="J47" s="26">
        <f t="shared" si="7"/>
        <v>1.845</v>
      </c>
      <c r="K47" s="26">
        <f t="shared" si="8"/>
        <v>2.0250000000000004</v>
      </c>
    </row>
    <row r="48" spans="1:11" ht="12.75">
      <c r="A48" s="13">
        <v>23</v>
      </c>
      <c r="B48" s="9" t="s">
        <v>4</v>
      </c>
      <c r="C48" s="47">
        <v>31.1</v>
      </c>
      <c r="D48" s="26">
        <v>26.68</v>
      </c>
      <c r="E48" s="29">
        <f t="shared" si="3"/>
        <v>0.109</v>
      </c>
      <c r="F48" s="26">
        <f t="shared" si="4"/>
        <v>84.9777</v>
      </c>
      <c r="G48" s="26">
        <f t="shared" si="5"/>
        <v>0.109</v>
      </c>
      <c r="H48" s="26">
        <f t="shared" si="9"/>
        <v>100.25170000000001</v>
      </c>
      <c r="I48" s="26">
        <f t="shared" si="6"/>
        <v>1.1797412732987598</v>
      </c>
      <c r="J48" s="26">
        <f t="shared" si="7"/>
        <v>0.8829000000000001</v>
      </c>
      <c r="K48" s="26">
        <f t="shared" si="8"/>
        <v>0.8829000000000001</v>
      </c>
    </row>
    <row r="49" spans="1:11" ht="12.75">
      <c r="A49" s="13">
        <v>31.1</v>
      </c>
      <c r="B49" s="9" t="s">
        <v>4</v>
      </c>
      <c r="C49" s="20">
        <v>43.6</v>
      </c>
      <c r="D49" s="26">
        <v>36.69</v>
      </c>
      <c r="E49" s="29">
        <f t="shared" si="3"/>
        <v>0.047</v>
      </c>
      <c r="F49" s="26">
        <f t="shared" si="4"/>
        <v>85.5652</v>
      </c>
      <c r="G49" s="26">
        <f t="shared" si="5"/>
        <v>0.048299999999999996</v>
      </c>
      <c r="H49" s="26">
        <f t="shared" si="9"/>
        <v>100.85545000000002</v>
      </c>
      <c r="I49" s="26">
        <f t="shared" si="6"/>
        <v>1.178697063759566</v>
      </c>
      <c r="J49" s="26">
        <f t="shared" si="7"/>
        <v>0.5875</v>
      </c>
      <c r="K49" s="26">
        <f t="shared" si="8"/>
        <v>0.6037499999999999</v>
      </c>
    </row>
    <row r="50" spans="1:11" ht="12.75">
      <c r="A50" s="8">
        <v>43.6</v>
      </c>
      <c r="B50" s="9" t="s">
        <v>4</v>
      </c>
      <c r="C50" s="47">
        <v>61.1</v>
      </c>
      <c r="D50" s="26">
        <v>51.47</v>
      </c>
      <c r="E50" s="29">
        <f t="shared" si="3"/>
        <v>0.017</v>
      </c>
      <c r="F50" s="26">
        <f t="shared" si="4"/>
        <v>85.8627</v>
      </c>
      <c r="G50" s="26">
        <f t="shared" si="5"/>
        <v>0.0179</v>
      </c>
      <c r="H50" s="26">
        <f t="shared" si="9"/>
        <v>101.16870000000002</v>
      </c>
      <c r="I50" s="26">
        <f t="shared" si="6"/>
        <v>1.1782613404889435</v>
      </c>
      <c r="J50" s="26">
        <f t="shared" si="7"/>
        <v>0.29750000000000004</v>
      </c>
      <c r="K50" s="26">
        <f t="shared" si="8"/>
        <v>0.31325</v>
      </c>
    </row>
    <row r="51" spans="1:11" ht="12.75">
      <c r="A51" s="13">
        <v>61.1</v>
      </c>
      <c r="B51" s="9" t="s">
        <v>4</v>
      </c>
      <c r="C51" s="20">
        <v>85.6</v>
      </c>
      <c r="D51" s="26">
        <v>72.08</v>
      </c>
      <c r="E51" s="29">
        <f t="shared" si="3"/>
        <v>0.0066</v>
      </c>
      <c r="F51" s="26">
        <f t="shared" si="4"/>
        <v>86.0244</v>
      </c>
      <c r="G51" s="26">
        <f t="shared" si="5"/>
        <v>0.0074</v>
      </c>
      <c r="H51" s="26">
        <f t="shared" si="9"/>
        <v>101.35000000000001</v>
      </c>
      <c r="I51" s="26">
        <f t="shared" si="6"/>
        <v>1.178154105114363</v>
      </c>
      <c r="J51" s="26">
        <f t="shared" si="7"/>
        <v>0.16169999999999995</v>
      </c>
      <c r="K51" s="26">
        <f t="shared" si="8"/>
        <v>0.18129999999999996</v>
      </c>
    </row>
    <row r="52" spans="1:12" ht="12.75">
      <c r="A52" s="8">
        <v>85.6</v>
      </c>
      <c r="B52" s="9" t="s">
        <v>4</v>
      </c>
      <c r="C52" s="47">
        <v>120</v>
      </c>
      <c r="D52" s="26">
        <v>100.96</v>
      </c>
      <c r="E52" s="29">
        <f t="shared" si="3"/>
        <v>0.0026</v>
      </c>
      <c r="F52" s="26">
        <f t="shared" si="4"/>
        <v>86.11384</v>
      </c>
      <c r="G52" s="26">
        <f t="shared" si="5"/>
        <v>0.0026</v>
      </c>
      <c r="H52" s="26">
        <f t="shared" si="9"/>
        <v>101.43944</v>
      </c>
      <c r="I52" s="26">
        <f t="shared" si="6"/>
        <v>1.1779690697801888</v>
      </c>
      <c r="J52" s="26">
        <f t="shared" si="7"/>
        <v>0.08944</v>
      </c>
      <c r="K52" s="26">
        <f t="shared" si="8"/>
        <v>0.08944</v>
      </c>
      <c r="L52" s="4"/>
    </row>
    <row r="53" spans="1:12" ht="12.75">
      <c r="A53" s="80" t="s">
        <v>29</v>
      </c>
      <c r="B53" s="81"/>
      <c r="C53" s="82"/>
      <c r="D53" s="25">
        <f>AVERAGE(D31:D52)</f>
        <v>16.073636363636364</v>
      </c>
      <c r="E53" s="25"/>
      <c r="F53" s="25"/>
      <c r="G53" s="25"/>
      <c r="H53" s="25"/>
      <c r="I53" s="25"/>
      <c r="J53" s="48">
        <f>SUM(J31:J52)/120</f>
        <v>0.7176153333333333</v>
      </c>
      <c r="K53" s="48">
        <f>SUM(K31:K52)/120</f>
        <v>0.8453286666666667</v>
      </c>
      <c r="L53" s="4"/>
    </row>
    <row r="54" ht="12.75">
      <c r="H54" s="48"/>
    </row>
    <row r="55" ht="25.5">
      <c r="A55" s="30"/>
    </row>
    <row r="56" spans="1:12" ht="12.75">
      <c r="A56" s="75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</row>
    <row r="57" spans="1:12" ht="12.75">
      <c r="A57" s="75"/>
      <c r="B57" s="75"/>
      <c r="C57" s="75"/>
      <c r="D57" s="75"/>
      <c r="E57" s="28"/>
      <c r="F57" s="28"/>
      <c r="G57" s="28"/>
      <c r="H57" s="28"/>
      <c r="I57" s="28"/>
      <c r="J57" s="28"/>
      <c r="K57" s="28"/>
      <c r="L57" s="28"/>
    </row>
    <row r="58" spans="2:11" ht="12.75">
      <c r="B58" s="6"/>
      <c r="C58" s="31"/>
      <c r="D58" s="6"/>
      <c r="E58" s="6"/>
      <c r="G58" s="6"/>
      <c r="I58" s="6"/>
      <c r="K58" s="6"/>
    </row>
    <row r="59" spans="2:11" ht="12.75">
      <c r="B59" s="6"/>
      <c r="C59" s="32"/>
      <c r="D59" s="6"/>
      <c r="E59" s="6"/>
      <c r="G59" s="6"/>
      <c r="I59" s="6"/>
      <c r="K59" s="6"/>
    </row>
    <row r="60" spans="1:11" ht="12.75">
      <c r="A60" s="33"/>
      <c r="B60" s="6"/>
      <c r="C60" s="31"/>
      <c r="D60" s="6"/>
      <c r="E60" s="6"/>
      <c r="G60" s="6"/>
      <c r="I60" s="6"/>
      <c r="K60" s="6"/>
    </row>
    <row r="61" spans="2:11" ht="12.75">
      <c r="B61" s="6"/>
      <c r="C61" s="32"/>
      <c r="D61" s="6"/>
      <c r="E61" s="6"/>
      <c r="G61" s="6"/>
      <c r="I61" s="6"/>
      <c r="K61" s="6"/>
    </row>
    <row r="62" spans="1:11" ht="12.75">
      <c r="A62" s="33"/>
      <c r="B62" s="6"/>
      <c r="C62" s="31"/>
      <c r="D62" s="6"/>
      <c r="E62" s="6"/>
      <c r="G62" s="6"/>
      <c r="I62" s="6"/>
      <c r="K62" s="6"/>
    </row>
    <row r="63" spans="2:11" ht="12.75">
      <c r="B63" s="6"/>
      <c r="C63" s="34"/>
      <c r="D63" s="6"/>
      <c r="E63" s="6"/>
      <c r="G63" s="6"/>
      <c r="I63" s="6"/>
      <c r="K63" s="6"/>
    </row>
    <row r="64" spans="1:11" ht="12.75">
      <c r="A64" s="35"/>
      <c r="B64" s="6"/>
      <c r="C64" s="31"/>
      <c r="D64" s="6"/>
      <c r="E64" s="6"/>
      <c r="G64" s="6"/>
      <c r="I64" s="6"/>
      <c r="K64" s="6"/>
    </row>
    <row r="65" spans="2:11" ht="12.75">
      <c r="B65" s="6"/>
      <c r="C65" s="34"/>
      <c r="D65" s="6"/>
      <c r="E65" s="6"/>
      <c r="G65" s="6"/>
      <c r="I65" s="6"/>
      <c r="K65" s="6"/>
    </row>
    <row r="66" spans="1:11" ht="12.75">
      <c r="A66" s="35"/>
      <c r="B66" s="6"/>
      <c r="C66" s="31"/>
      <c r="D66" s="6"/>
      <c r="E66" s="6"/>
      <c r="G66" s="6"/>
      <c r="I66" s="6"/>
      <c r="K66" s="6"/>
    </row>
    <row r="67" spans="2:11" ht="12.75">
      <c r="B67" s="6"/>
      <c r="C67" s="34"/>
      <c r="D67" s="6"/>
      <c r="E67" s="6"/>
      <c r="G67" s="6"/>
      <c r="I67" s="6"/>
      <c r="K67" s="6"/>
    </row>
    <row r="68" spans="1:11" ht="12.75">
      <c r="A68" s="35"/>
      <c r="B68" s="6"/>
      <c r="C68" s="31"/>
      <c r="D68" s="6"/>
      <c r="E68" s="6"/>
      <c r="G68" s="6"/>
      <c r="I68" s="6"/>
      <c r="K68" s="6"/>
    </row>
    <row r="69" spans="2:11" ht="12.75">
      <c r="B69" s="6"/>
      <c r="C69" s="32"/>
      <c r="D69" s="6"/>
      <c r="E69" s="6"/>
      <c r="G69" s="6"/>
      <c r="I69" s="6"/>
      <c r="K69" s="6"/>
    </row>
    <row r="70" spans="1:11" ht="12.75">
      <c r="A70" s="33"/>
      <c r="B70" s="6"/>
      <c r="C70" s="31"/>
      <c r="D70" s="6"/>
      <c r="E70" s="6"/>
      <c r="G70" s="6"/>
      <c r="I70" s="6"/>
      <c r="K70" s="6"/>
    </row>
    <row r="71" spans="2:11" ht="12.75">
      <c r="B71" s="6"/>
      <c r="C71" s="34"/>
      <c r="D71" s="6"/>
      <c r="E71" s="6"/>
      <c r="G71" s="6"/>
      <c r="I71" s="6"/>
      <c r="K71" s="6"/>
    </row>
    <row r="72" spans="1:11" ht="12.75">
      <c r="A72" s="35"/>
      <c r="B72" s="6"/>
      <c r="C72" s="34"/>
      <c r="D72" s="6"/>
      <c r="E72" s="6"/>
      <c r="G72" s="6"/>
      <c r="I72" s="6"/>
      <c r="K72" s="6"/>
    </row>
    <row r="73" spans="1:11" ht="12.75">
      <c r="A73" s="35"/>
      <c r="B73" s="6"/>
      <c r="C73" s="34"/>
      <c r="D73" s="6"/>
      <c r="E73" s="6"/>
      <c r="G73" s="6"/>
      <c r="I73" s="6"/>
      <c r="K73" s="6"/>
    </row>
    <row r="74" spans="1:11" ht="12.75">
      <c r="A74" s="35"/>
      <c r="B74" s="6"/>
      <c r="C74" s="34"/>
      <c r="D74" s="6"/>
      <c r="E74" s="6"/>
      <c r="G74" s="6"/>
      <c r="I74" s="6"/>
      <c r="K74" s="6"/>
    </row>
    <row r="75" spans="1:11" ht="12.75">
      <c r="A75" s="35"/>
      <c r="B75" s="6"/>
      <c r="C75" s="34"/>
      <c r="D75" s="6"/>
      <c r="E75" s="6"/>
      <c r="G75" s="6"/>
      <c r="I75" s="6"/>
      <c r="K75" s="6"/>
    </row>
    <row r="76" spans="1:11" ht="12.75">
      <c r="A76" s="35"/>
      <c r="B76" s="6"/>
      <c r="C76" s="31"/>
      <c r="D76" s="6"/>
      <c r="E76" s="6"/>
      <c r="G76" s="6"/>
      <c r="I76" s="6"/>
      <c r="K76" s="6"/>
    </row>
    <row r="77" spans="2:11" ht="12.75">
      <c r="B77" s="6"/>
      <c r="C77" s="34"/>
      <c r="D77" s="6"/>
      <c r="E77" s="6"/>
      <c r="G77" s="6"/>
      <c r="I77" s="6"/>
      <c r="K77" s="6"/>
    </row>
    <row r="78" spans="1:11" ht="12.75">
      <c r="A78" s="35"/>
      <c r="B78" s="6"/>
      <c r="C78" s="31"/>
      <c r="D78" s="6"/>
      <c r="E78" s="6"/>
      <c r="G78" s="6"/>
      <c r="I78" s="6"/>
      <c r="K78" s="6"/>
    </row>
    <row r="79" spans="2:11" ht="12.75">
      <c r="B79" s="6"/>
      <c r="C79" s="34"/>
      <c r="D79" s="6"/>
      <c r="E79" s="6"/>
      <c r="G79" s="6"/>
      <c r="I79" s="6"/>
      <c r="K79" s="6"/>
    </row>
    <row r="83" spans="1:11" ht="12.75">
      <c r="A83" s="75"/>
      <c r="B83" s="75"/>
      <c r="C83" s="75"/>
      <c r="D83" s="36"/>
      <c r="E83" s="75"/>
      <c r="F83" s="75"/>
      <c r="G83" s="75"/>
      <c r="H83" s="75"/>
      <c r="I83" s="36"/>
      <c r="K83" s="36"/>
    </row>
    <row r="84" spans="1:11" ht="12.75">
      <c r="A84" s="28"/>
      <c r="B84" s="28"/>
      <c r="C84" s="28"/>
      <c r="D84" s="36"/>
      <c r="E84" s="36"/>
      <c r="F84" s="36"/>
      <c r="G84" s="36"/>
      <c r="H84" s="36"/>
      <c r="I84" s="36"/>
      <c r="K84" s="36"/>
    </row>
    <row r="85" spans="2:11" ht="12.75">
      <c r="B85" s="6"/>
      <c r="C85" s="31"/>
      <c r="D85" s="6"/>
      <c r="E85" s="28"/>
      <c r="G85" s="6"/>
      <c r="I85" s="6"/>
      <c r="J85" s="6"/>
      <c r="K85" s="6"/>
    </row>
    <row r="86" spans="2:9" ht="12.75">
      <c r="B86" s="6"/>
      <c r="C86" s="32"/>
      <c r="D86" s="6"/>
      <c r="E86" s="28"/>
      <c r="G86" s="6"/>
      <c r="I86" s="6"/>
    </row>
    <row r="87" spans="1:9" ht="12.75">
      <c r="A87" s="33"/>
      <c r="B87" s="6"/>
      <c r="C87" s="31"/>
      <c r="D87" s="6"/>
      <c r="E87" s="28"/>
      <c r="G87" s="6"/>
      <c r="I87" s="6"/>
    </row>
    <row r="88" spans="2:9" ht="12.75">
      <c r="B88" s="6"/>
      <c r="C88" s="32"/>
      <c r="D88" s="6"/>
      <c r="E88" s="28"/>
      <c r="G88" s="6"/>
      <c r="I88" s="6"/>
    </row>
    <row r="89" spans="1:9" ht="12.75">
      <c r="A89" s="33"/>
      <c r="B89" s="6"/>
      <c r="C89" s="31"/>
      <c r="D89" s="6"/>
      <c r="E89" s="28"/>
      <c r="G89" s="6"/>
      <c r="I89" s="6"/>
    </row>
    <row r="90" spans="2:9" ht="12.75">
      <c r="B90" s="6"/>
      <c r="C90" s="34"/>
      <c r="D90" s="6"/>
      <c r="E90" s="28"/>
      <c r="G90" s="6"/>
      <c r="I90" s="6"/>
    </row>
    <row r="91" spans="1:9" ht="12.75">
      <c r="A91" s="35"/>
      <c r="B91" s="6"/>
      <c r="C91" s="31"/>
      <c r="D91" s="6"/>
      <c r="E91" s="28"/>
      <c r="G91" s="6"/>
      <c r="I91" s="6"/>
    </row>
    <row r="92" spans="2:9" ht="12.75">
      <c r="B92" s="6"/>
      <c r="C92" s="34"/>
      <c r="D92" s="6"/>
      <c r="E92" s="28"/>
      <c r="G92" s="6"/>
      <c r="I92" s="6"/>
    </row>
    <row r="93" spans="1:9" ht="12.75">
      <c r="A93" s="35"/>
      <c r="B93" s="6"/>
      <c r="C93" s="31"/>
      <c r="D93" s="6"/>
      <c r="E93" s="28"/>
      <c r="G93" s="6"/>
      <c r="I93" s="6"/>
    </row>
    <row r="94" spans="2:9" ht="12.75">
      <c r="B94" s="6"/>
      <c r="C94" s="34"/>
      <c r="D94" s="6"/>
      <c r="E94" s="28"/>
      <c r="G94" s="6"/>
      <c r="I94" s="6"/>
    </row>
    <row r="95" spans="1:9" ht="12.75">
      <c r="A95" s="35"/>
      <c r="B95" s="6"/>
      <c r="C95" s="31"/>
      <c r="D95" s="6"/>
      <c r="E95" s="28"/>
      <c r="G95" s="6"/>
      <c r="I95" s="6"/>
    </row>
    <row r="96" spans="2:9" ht="12.75">
      <c r="B96" s="6"/>
      <c r="C96" s="32"/>
      <c r="D96" s="6"/>
      <c r="E96" s="28"/>
      <c r="G96" s="6"/>
      <c r="I96" s="6"/>
    </row>
    <row r="97" spans="1:9" ht="12.75">
      <c r="A97" s="33"/>
      <c r="B97" s="6"/>
      <c r="C97" s="31"/>
      <c r="D97" s="6"/>
      <c r="E97" s="28"/>
      <c r="G97" s="6"/>
      <c r="I97" s="6"/>
    </row>
    <row r="98" spans="2:9" ht="12.75">
      <c r="B98" s="6"/>
      <c r="C98" s="34"/>
      <c r="D98" s="6"/>
      <c r="E98" s="28"/>
      <c r="G98" s="6"/>
      <c r="I98" s="6"/>
    </row>
    <row r="99" spans="1:9" ht="12.75">
      <c r="A99" s="35"/>
      <c r="B99" s="6"/>
      <c r="C99" s="34"/>
      <c r="D99" s="6"/>
      <c r="E99" s="28"/>
      <c r="G99" s="6"/>
      <c r="I99" s="6"/>
    </row>
    <row r="100" spans="1:9" ht="12.75">
      <c r="A100" s="35"/>
      <c r="B100" s="6"/>
      <c r="C100" s="34"/>
      <c r="D100" s="6"/>
      <c r="E100" s="28"/>
      <c r="G100" s="6"/>
      <c r="I100" s="6"/>
    </row>
    <row r="101" spans="1:9" ht="12.75">
      <c r="A101" s="35"/>
      <c r="B101" s="6"/>
      <c r="C101" s="34"/>
      <c r="D101" s="6"/>
      <c r="E101" s="28"/>
      <c r="G101" s="6"/>
      <c r="I101" s="6"/>
    </row>
    <row r="102" spans="1:9" ht="12.75">
      <c r="A102" s="35"/>
      <c r="B102" s="6"/>
      <c r="C102" s="34"/>
      <c r="D102" s="6"/>
      <c r="E102" s="28"/>
      <c r="G102" s="6"/>
      <c r="I102" s="6"/>
    </row>
    <row r="103" spans="1:9" ht="12.75">
      <c r="A103" s="35"/>
      <c r="B103" s="6"/>
      <c r="C103" s="31"/>
      <c r="D103" s="6"/>
      <c r="E103" s="28"/>
      <c r="G103" s="6"/>
      <c r="I103" s="6"/>
    </row>
    <row r="104" spans="2:9" ht="12.75">
      <c r="B104" s="6"/>
      <c r="C104" s="34"/>
      <c r="D104" s="6"/>
      <c r="E104" s="28"/>
      <c r="G104" s="6"/>
      <c r="I104" s="6"/>
    </row>
    <row r="105" spans="1:9" ht="12.75">
      <c r="A105" s="35"/>
      <c r="B105" s="6"/>
      <c r="C105" s="31"/>
      <c r="D105" s="6"/>
      <c r="E105" s="28"/>
      <c r="G105" s="6"/>
      <c r="I105" s="6"/>
    </row>
    <row r="106" spans="2:9" ht="12.75">
      <c r="B106" s="6"/>
      <c r="C106" s="34"/>
      <c r="D106" s="6"/>
      <c r="E106" s="28"/>
      <c r="G106" s="6"/>
      <c r="I106" s="6"/>
    </row>
  </sheetData>
  <mergeCells count="19">
    <mergeCell ref="A53:C53"/>
    <mergeCell ref="E56:H56"/>
    <mergeCell ref="I56:L56"/>
    <mergeCell ref="A83:C83"/>
    <mergeCell ref="E83:F83"/>
    <mergeCell ref="G83:H83"/>
    <mergeCell ref="A56:C57"/>
    <mergeCell ref="D56:D57"/>
    <mergeCell ref="E2:H2"/>
    <mergeCell ref="I2:L2"/>
    <mergeCell ref="E29:F29"/>
    <mergeCell ref="G29:H29"/>
    <mergeCell ref="I29:I30"/>
    <mergeCell ref="J29:J30"/>
    <mergeCell ref="K29:K30"/>
    <mergeCell ref="A29:C30"/>
    <mergeCell ref="D29:D30"/>
    <mergeCell ref="A2:C3"/>
    <mergeCell ref="D2:D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8"/>
  <sheetViews>
    <sheetView workbookViewId="0" topLeftCell="A1">
      <selection activeCell="D40" sqref="D40"/>
    </sheetView>
  </sheetViews>
  <sheetFormatPr defaultColWidth="9.140625" defaultRowHeight="12.75"/>
  <cols>
    <col min="1" max="1" width="12.421875" style="2" bestFit="1" customWidth="1"/>
    <col min="2" max="2" width="12.00390625" style="2" bestFit="1" customWidth="1"/>
    <col min="3" max="3" width="13.57421875" style="2" bestFit="1" customWidth="1"/>
    <col min="4" max="4" width="10.7109375" style="2" customWidth="1"/>
    <col min="5" max="5" width="12.421875" style="2" customWidth="1"/>
    <col min="6" max="6" width="2.00390625" style="2" bestFit="1" customWidth="1"/>
    <col min="7" max="8" width="10.57421875" style="2" customWidth="1"/>
    <col min="9" max="9" width="2.00390625" style="2" bestFit="1" customWidth="1"/>
    <col min="10" max="10" width="11.421875" style="2" customWidth="1"/>
    <col min="11" max="11" width="12.7109375" style="2" customWidth="1"/>
    <col min="12" max="12" width="2.00390625" style="2" bestFit="1" customWidth="1"/>
    <col min="13" max="13" width="9.140625" style="23" customWidth="1"/>
    <col min="14" max="16384" width="9.140625" style="2" customWidth="1"/>
  </cols>
  <sheetData>
    <row r="2" spans="1:13" ht="51" customHeight="1">
      <c r="A2" s="74" t="s">
        <v>0</v>
      </c>
      <c r="B2" s="74"/>
      <c r="C2" s="74"/>
      <c r="D2" s="29" t="s">
        <v>1</v>
      </c>
      <c r="E2" s="79" t="s">
        <v>11</v>
      </c>
      <c r="F2" s="85"/>
      <c r="G2" s="86"/>
      <c r="H2" s="79" t="s">
        <v>12</v>
      </c>
      <c r="I2" s="85"/>
      <c r="J2" s="86"/>
      <c r="K2" s="79" t="s">
        <v>40</v>
      </c>
      <c r="L2" s="85"/>
      <c r="M2" s="86"/>
    </row>
    <row r="3" spans="1:13" ht="12.75">
      <c r="A3" s="5">
        <v>0.2</v>
      </c>
      <c r="B3" s="7" t="s">
        <v>4</v>
      </c>
      <c r="C3" s="39">
        <v>0.3</v>
      </c>
      <c r="D3" s="26">
        <f>AVERAGE(A3,C3)</f>
        <v>0.25</v>
      </c>
      <c r="E3" s="53">
        <f>'Multiplied Out'!E4+'Multiplied Out'!F4</f>
        <v>25</v>
      </c>
      <c r="F3" s="11" t="s">
        <v>5</v>
      </c>
      <c r="G3" s="54">
        <f>(Data!H4+Data!O4)*Data!R4</f>
        <v>3.0000000000000004</v>
      </c>
      <c r="H3" s="53">
        <f>'Multiplied Out'!G4+'Multiplied Out'!H4</f>
        <v>22.700000000000003</v>
      </c>
      <c r="I3" s="11" t="s">
        <v>5</v>
      </c>
      <c r="J3" s="20">
        <f>(Data!V4+Data!AC4)*Data!AF4</f>
        <v>1.9</v>
      </c>
      <c r="K3" s="57">
        <f>(H3/E3)-1</f>
        <v>-0.09199999999999986</v>
      </c>
      <c r="L3" s="11" t="s">
        <v>5</v>
      </c>
      <c r="M3" s="58">
        <f>SQRT((($E3*$J3)^2+($H3*$G3)^2)/E3^4)</f>
        <v>0.13284683511472906</v>
      </c>
    </row>
    <row r="4" spans="1:13" ht="12.75">
      <c r="A4" s="8">
        <v>0.3</v>
      </c>
      <c r="B4" s="9" t="s">
        <v>4</v>
      </c>
      <c r="C4" s="21">
        <v>0.4</v>
      </c>
      <c r="D4" s="26">
        <f>AVERAGE(A4,C4)</f>
        <v>0.35</v>
      </c>
      <c r="E4" s="53">
        <f>'Multiplied Out'!E5+'Multiplied Out'!F5</f>
        <v>30.400000000000002</v>
      </c>
      <c r="F4" s="11" t="s">
        <v>5</v>
      </c>
      <c r="G4" s="54">
        <f>(Data!H5+Data!O5)*Data!R5</f>
        <v>1.5000000000000002</v>
      </c>
      <c r="H4" s="53">
        <f>'Multiplied Out'!G5+'Multiplied Out'!H5</f>
        <v>32.2</v>
      </c>
      <c r="I4" s="11" t="s">
        <v>5</v>
      </c>
      <c r="J4" s="20">
        <f>(Data!V5+Data!AC5)*Data!AF5</f>
        <v>1.5000000000000002</v>
      </c>
      <c r="K4" s="57">
        <f aca="true" t="shared" si="0" ref="K4:K24">(H4/E4)-1</f>
        <v>0.0592105263157896</v>
      </c>
      <c r="L4" s="11" t="s">
        <v>5</v>
      </c>
      <c r="M4" s="58">
        <f aca="true" t="shared" si="1" ref="M4:M24">SQRT((($E4*$J4)^2+($H4*$G4)^2)/E4^4)</f>
        <v>0.07187583262254761</v>
      </c>
    </row>
    <row r="5" spans="1:13" ht="12.75">
      <c r="A5" s="12">
        <v>0.4</v>
      </c>
      <c r="B5" s="9" t="s">
        <v>4</v>
      </c>
      <c r="C5" s="14">
        <v>0.55</v>
      </c>
      <c r="D5" s="26">
        <v>0.47</v>
      </c>
      <c r="E5" s="53">
        <f>'Multiplied Out'!E6+'Multiplied Out'!F6</f>
        <v>31.599999999999998</v>
      </c>
      <c r="F5" s="11" t="s">
        <v>5</v>
      </c>
      <c r="G5" s="54">
        <f>(Data!H6+Data!O6)*Data!R6</f>
        <v>0.8999999999999999</v>
      </c>
      <c r="H5" s="53">
        <f>'Multiplied Out'!G6+'Multiplied Out'!H6</f>
        <v>38.199999999999996</v>
      </c>
      <c r="I5" s="11" t="s">
        <v>5</v>
      </c>
      <c r="J5" s="20">
        <f>(Data!V6+Data!AC6)*Data!AF6</f>
        <v>1.1</v>
      </c>
      <c r="K5" s="57">
        <f t="shared" si="0"/>
        <v>0.2088607594936709</v>
      </c>
      <c r="L5" s="11" t="s">
        <v>5</v>
      </c>
      <c r="M5" s="58">
        <f t="shared" si="1"/>
        <v>0.048960604518100144</v>
      </c>
    </row>
    <row r="6" spans="1:13" ht="12.75">
      <c r="A6" s="8">
        <v>0.55</v>
      </c>
      <c r="B6" s="9" t="s">
        <v>4</v>
      </c>
      <c r="C6" s="21">
        <v>0.7</v>
      </c>
      <c r="D6" s="26">
        <v>0.62</v>
      </c>
      <c r="E6" s="53">
        <f>'Multiplied Out'!E7+'Multiplied Out'!F7</f>
        <v>30.099999999999998</v>
      </c>
      <c r="F6" s="11" t="s">
        <v>5</v>
      </c>
      <c r="G6" s="54">
        <f>(Data!H7+Data!O7)*Data!R7</f>
        <v>0.7000000000000001</v>
      </c>
      <c r="H6" s="53">
        <f>'Multiplied Out'!G7+'Multiplied Out'!H7</f>
        <v>39.800000000000004</v>
      </c>
      <c r="I6" s="11" t="s">
        <v>5</v>
      </c>
      <c r="J6" s="20">
        <f>(Data!V7+Data!AC7)*Data!AF7</f>
        <v>1.1</v>
      </c>
      <c r="K6" s="57">
        <f t="shared" si="0"/>
        <v>0.3222591362126248</v>
      </c>
      <c r="L6" s="11" t="s">
        <v>5</v>
      </c>
      <c r="M6" s="58">
        <f t="shared" si="1"/>
        <v>0.04776088006831362</v>
      </c>
    </row>
    <row r="7" spans="1:13" ht="12.75">
      <c r="A7" s="12">
        <v>0.7</v>
      </c>
      <c r="B7" s="9" t="s">
        <v>4</v>
      </c>
      <c r="C7" s="14">
        <v>0.85</v>
      </c>
      <c r="D7" s="26">
        <v>0.78</v>
      </c>
      <c r="E7" s="53">
        <f>'Multiplied Out'!E8+'Multiplied Out'!F8</f>
        <v>28.900000000000002</v>
      </c>
      <c r="F7" s="11" t="s">
        <v>5</v>
      </c>
      <c r="G7" s="54">
        <f>(Data!H8+Data!O8)*Data!R8</f>
        <v>0.7000000000000001</v>
      </c>
      <c r="H7" s="53">
        <f>'Multiplied Out'!G8+'Multiplied Out'!H8</f>
        <v>38</v>
      </c>
      <c r="I7" s="11" t="s">
        <v>5</v>
      </c>
      <c r="J7" s="20">
        <f>(Data!V8+Data!AC8)*Data!AF8</f>
        <v>1</v>
      </c>
      <c r="K7" s="57">
        <f t="shared" si="0"/>
        <v>0.31487889273356395</v>
      </c>
      <c r="L7" s="11" t="s">
        <v>5</v>
      </c>
      <c r="M7" s="58">
        <f t="shared" si="1"/>
        <v>0.04702782647781929</v>
      </c>
    </row>
    <row r="8" spans="1:13" ht="12.75">
      <c r="A8" s="8">
        <v>0.85</v>
      </c>
      <c r="B8" s="9" t="s">
        <v>4</v>
      </c>
      <c r="C8" s="22">
        <v>1</v>
      </c>
      <c r="D8" s="26">
        <v>0.92</v>
      </c>
      <c r="E8" s="53">
        <f>'Multiplied Out'!E9+'Multiplied Out'!F9</f>
        <v>26.9</v>
      </c>
      <c r="F8" s="11" t="s">
        <v>5</v>
      </c>
      <c r="G8" s="54">
        <f>(Data!H9+Data!O9)*Data!R9</f>
        <v>0.6</v>
      </c>
      <c r="H8" s="53">
        <f>'Multiplied Out'!G9+'Multiplied Out'!H9</f>
        <v>35.599999999999994</v>
      </c>
      <c r="I8" s="11" t="s">
        <v>5</v>
      </c>
      <c r="J8" s="20">
        <f>(Data!V9+Data!AC9)*Data!AF9</f>
        <v>0.8999999999999999</v>
      </c>
      <c r="K8" s="57">
        <f t="shared" si="0"/>
        <v>0.3234200743494422</v>
      </c>
      <c r="L8" s="11" t="s">
        <v>5</v>
      </c>
      <c r="M8" s="58">
        <f t="shared" si="1"/>
        <v>0.044617698309421756</v>
      </c>
    </row>
    <row r="9" spans="1:13" ht="12.75">
      <c r="A9" s="13">
        <v>1</v>
      </c>
      <c r="B9" s="9" t="s">
        <v>4</v>
      </c>
      <c r="C9" s="14">
        <v>1.2</v>
      </c>
      <c r="D9" s="26">
        <f>AVERAGE(A9,C9)</f>
        <v>1.1</v>
      </c>
      <c r="E9" s="53">
        <f>'Multiplied Out'!E10+'Multiplied Out'!F10</f>
        <v>24</v>
      </c>
      <c r="F9" s="11" t="s">
        <v>5</v>
      </c>
      <c r="G9" s="54">
        <f>(Data!H10+Data!O10)*Data!R10</f>
        <v>0.6</v>
      </c>
      <c r="H9" s="53">
        <f>'Multiplied Out'!G10+'Multiplied Out'!H10</f>
        <v>32.5</v>
      </c>
      <c r="I9" s="11" t="s">
        <v>5</v>
      </c>
      <c r="J9" s="20">
        <f>(Data!V10+Data!AC10)*Data!AF10</f>
        <v>0.7000000000000001</v>
      </c>
      <c r="K9" s="57">
        <f t="shared" si="0"/>
        <v>0.35416666666666674</v>
      </c>
      <c r="L9" s="11" t="s">
        <v>5</v>
      </c>
      <c r="M9" s="58">
        <f t="shared" si="1"/>
        <v>0.044685557455836765</v>
      </c>
    </row>
    <row r="10" spans="1:13" ht="12.75">
      <c r="A10" s="8">
        <v>1.2</v>
      </c>
      <c r="B10" s="9" t="s">
        <v>4</v>
      </c>
      <c r="C10" s="22">
        <v>1.4</v>
      </c>
      <c r="D10" s="26">
        <f>AVERAGE(A10,C10)</f>
        <v>1.2999999999999998</v>
      </c>
      <c r="E10" s="53">
        <f>'Multiplied Out'!E11+'Multiplied Out'!F11</f>
        <v>22.1</v>
      </c>
      <c r="F10" s="11" t="s">
        <v>5</v>
      </c>
      <c r="G10" s="54">
        <f>(Data!H11+Data!O11)*Data!R11</f>
        <v>0.5</v>
      </c>
      <c r="H10" s="53">
        <f>'Multiplied Out'!G11+'Multiplied Out'!H11</f>
        <v>28.3</v>
      </c>
      <c r="I10" s="11" t="s">
        <v>5</v>
      </c>
      <c r="J10" s="20">
        <f>(Data!V11+Data!AC11)*Data!AF11</f>
        <v>0.6</v>
      </c>
      <c r="K10" s="57">
        <f t="shared" si="0"/>
        <v>0.28054298642533926</v>
      </c>
      <c r="L10" s="11" t="s">
        <v>5</v>
      </c>
      <c r="M10" s="58">
        <f t="shared" si="1"/>
        <v>0.03970436977487339</v>
      </c>
    </row>
    <row r="11" spans="1:13" ht="12.75">
      <c r="A11" s="13">
        <v>1.4</v>
      </c>
      <c r="B11" s="9" t="s">
        <v>4</v>
      </c>
      <c r="C11" s="14">
        <v>1.6</v>
      </c>
      <c r="D11" s="26">
        <f>AVERAGE(A11,C11)</f>
        <v>1.5</v>
      </c>
      <c r="E11" s="53">
        <f>'Multiplied Out'!E12+'Multiplied Out'!F12</f>
        <v>18.9</v>
      </c>
      <c r="F11" s="11" t="s">
        <v>5</v>
      </c>
      <c r="G11" s="54">
        <f>(Data!H12+Data!O12)*Data!R12</f>
        <v>0.4</v>
      </c>
      <c r="H11" s="53">
        <f>'Multiplied Out'!G12+'Multiplied Out'!H12</f>
        <v>25.3</v>
      </c>
      <c r="I11" s="11" t="s">
        <v>5</v>
      </c>
      <c r="J11" s="20">
        <f>(Data!V12+Data!AC12)*Data!AF12</f>
        <v>0.56</v>
      </c>
      <c r="K11" s="57">
        <f t="shared" si="0"/>
        <v>0.3386243386243388</v>
      </c>
      <c r="L11" s="11" t="s">
        <v>5</v>
      </c>
      <c r="M11" s="58">
        <f t="shared" si="1"/>
        <v>0.04099441464198448</v>
      </c>
    </row>
    <row r="12" spans="1:13" ht="12.75">
      <c r="A12" s="8">
        <v>1.6</v>
      </c>
      <c r="B12" s="9" t="s">
        <v>4</v>
      </c>
      <c r="C12" s="22">
        <v>2.1</v>
      </c>
      <c r="D12" s="26">
        <v>1.84</v>
      </c>
      <c r="E12" s="53">
        <f>'Multiplied Out'!E13+'Multiplied Out'!F13</f>
        <v>16.4</v>
      </c>
      <c r="F12" s="11" t="s">
        <v>5</v>
      </c>
      <c r="G12" s="54">
        <f>(Data!H13+Data!O13)*Data!R13</f>
        <v>0.30000000000000004</v>
      </c>
      <c r="H12" s="53">
        <f>'Multiplied Out'!G13+'Multiplied Out'!H13</f>
        <v>19.2</v>
      </c>
      <c r="I12" s="11" t="s">
        <v>5</v>
      </c>
      <c r="J12" s="20">
        <f>(Data!V13+Data!AC13)*Data!AF13</f>
        <v>0.19</v>
      </c>
      <c r="K12" s="57">
        <f t="shared" si="0"/>
        <v>0.17073170731707332</v>
      </c>
      <c r="L12" s="11" t="s">
        <v>5</v>
      </c>
      <c r="M12" s="58">
        <f t="shared" si="1"/>
        <v>0.024348679962022442</v>
      </c>
    </row>
    <row r="13" spans="1:13" ht="12.75">
      <c r="A13" s="13">
        <v>2.1</v>
      </c>
      <c r="B13" s="9" t="s">
        <v>4</v>
      </c>
      <c r="C13" s="14">
        <v>2.94</v>
      </c>
      <c r="D13" s="26">
        <v>2.49</v>
      </c>
      <c r="E13" s="53">
        <f>'Multiplied Out'!E14+'Multiplied Out'!F14</f>
        <v>11.8</v>
      </c>
      <c r="F13" s="11" t="s">
        <v>5</v>
      </c>
      <c r="G13" s="54">
        <f>(Data!H14+Data!O14)*Data!R14</f>
        <v>0.19</v>
      </c>
      <c r="H13" s="53">
        <f>'Multiplied Out'!G14+'Multiplied Out'!H14</f>
        <v>12.7</v>
      </c>
      <c r="I13" s="11" t="s">
        <v>5</v>
      </c>
      <c r="J13" s="20">
        <f>(Data!V14+Data!AC14)*Data!AF14</f>
        <v>1.6</v>
      </c>
      <c r="K13" s="57">
        <f t="shared" si="0"/>
        <v>0.07627118644067776</v>
      </c>
      <c r="L13" s="11" t="s">
        <v>5</v>
      </c>
      <c r="M13" s="58">
        <f t="shared" si="1"/>
        <v>0.13669617051474584</v>
      </c>
    </row>
    <row r="14" spans="1:13" ht="12.75">
      <c r="A14" s="8">
        <v>2.94</v>
      </c>
      <c r="B14" s="9" t="s">
        <v>4</v>
      </c>
      <c r="C14" s="21">
        <v>4.12</v>
      </c>
      <c r="D14" s="26">
        <v>3.49</v>
      </c>
      <c r="E14" s="53">
        <f>'Multiplied Out'!E15+'Multiplied Out'!F15</f>
        <v>7.5</v>
      </c>
      <c r="F14" s="11" t="s">
        <v>5</v>
      </c>
      <c r="G14" s="54">
        <f>(Data!H15+Data!O15)*Data!R15</f>
        <v>0.13</v>
      </c>
      <c r="H14" s="53">
        <f>'Multiplied Out'!G15+'Multiplied Out'!H15</f>
        <v>8.66</v>
      </c>
      <c r="I14" s="11" t="s">
        <v>5</v>
      </c>
      <c r="J14" s="20">
        <f>(Data!V15+Data!AC15)*Data!AF15</f>
        <v>0.18</v>
      </c>
      <c r="K14" s="57">
        <f t="shared" si="0"/>
        <v>0.15466666666666673</v>
      </c>
      <c r="L14" s="11" t="s">
        <v>5</v>
      </c>
      <c r="M14" s="58">
        <f t="shared" si="1"/>
        <v>0.03125010545838996</v>
      </c>
    </row>
    <row r="15" spans="1:13" ht="12.75">
      <c r="A15" s="12">
        <v>4.12</v>
      </c>
      <c r="B15" s="9" t="s">
        <v>4</v>
      </c>
      <c r="C15" s="14">
        <v>5.5</v>
      </c>
      <c r="D15" s="26">
        <v>4.78</v>
      </c>
      <c r="E15" s="53">
        <f>'Multiplied Out'!E16+'Multiplied Out'!F16</f>
        <v>4.51</v>
      </c>
      <c r="F15" s="11" t="s">
        <v>5</v>
      </c>
      <c r="G15" s="54">
        <f>(Data!H16+Data!O16)*Data!R16</f>
        <v>0.09</v>
      </c>
      <c r="H15" s="53">
        <f>'Multiplied Out'!G16+'Multiplied Out'!H16</f>
        <v>5.25</v>
      </c>
      <c r="I15" s="11" t="s">
        <v>5</v>
      </c>
      <c r="J15" s="20">
        <f>(Data!V16+Data!AC16)*Data!AF16</f>
        <v>0.11</v>
      </c>
      <c r="K15" s="57">
        <f t="shared" si="0"/>
        <v>0.16407982261640797</v>
      </c>
      <c r="L15" s="11" t="s">
        <v>5</v>
      </c>
      <c r="M15" s="58">
        <f t="shared" si="1"/>
        <v>0.03368257268984283</v>
      </c>
    </row>
    <row r="16" spans="1:13" ht="12.75">
      <c r="A16" s="8">
        <v>5.5</v>
      </c>
      <c r="B16" s="9" t="s">
        <v>4</v>
      </c>
      <c r="C16" s="22">
        <v>7</v>
      </c>
      <c r="D16" s="26">
        <v>6.21</v>
      </c>
      <c r="E16" s="53">
        <f>'Multiplied Out'!E17+'Multiplied Out'!F17</f>
        <v>2.8600000000000003</v>
      </c>
      <c r="F16" s="11" t="s">
        <v>5</v>
      </c>
      <c r="G16" s="54">
        <f>(Data!H17+Data!O17)*Data!R17</f>
        <v>0.06</v>
      </c>
      <c r="H16" s="53">
        <f>'Multiplied Out'!G17+'Multiplied Out'!H17</f>
        <v>3.1500000000000004</v>
      </c>
      <c r="I16" s="11" t="s">
        <v>5</v>
      </c>
      <c r="J16" s="20">
        <f>(Data!V17+Data!AC17)*Data!AF17</f>
        <v>0.07</v>
      </c>
      <c r="K16" s="57">
        <f t="shared" si="0"/>
        <v>0.10139860139860146</v>
      </c>
      <c r="L16" s="11" t="s">
        <v>5</v>
      </c>
      <c r="M16" s="58">
        <f t="shared" si="1"/>
        <v>0.033659333791053056</v>
      </c>
    </row>
    <row r="17" spans="1:13" ht="12.75">
      <c r="A17" s="13">
        <v>7</v>
      </c>
      <c r="B17" s="9" t="s">
        <v>4</v>
      </c>
      <c r="C17" s="22">
        <v>10</v>
      </c>
      <c r="D17" s="26">
        <v>8.37</v>
      </c>
      <c r="E17" s="53">
        <f>'Multiplied Out'!E18+'Multiplied Out'!F18</f>
        <v>1.59</v>
      </c>
      <c r="F17" s="11" t="s">
        <v>5</v>
      </c>
      <c r="G17" s="54">
        <f>(Data!H18+Data!O18)*Data!R18</f>
        <v>0.030000000000000006</v>
      </c>
      <c r="H17" s="53">
        <f>'Multiplied Out'!G18+'Multiplied Out'!H18</f>
        <v>1.8</v>
      </c>
      <c r="I17" s="11" t="s">
        <v>5</v>
      </c>
      <c r="J17" s="20">
        <f>(Data!V18+Data!AC18)*Data!AF18</f>
        <v>0.04000000000000001</v>
      </c>
      <c r="K17" s="57">
        <f t="shared" si="0"/>
        <v>0.13207547169811318</v>
      </c>
      <c r="L17" s="11" t="s">
        <v>5</v>
      </c>
      <c r="M17" s="58">
        <f t="shared" si="1"/>
        <v>0.033002004596214454</v>
      </c>
    </row>
    <row r="18" spans="1:13" ht="12.75">
      <c r="A18" s="13">
        <v>10</v>
      </c>
      <c r="B18" s="9" t="s">
        <v>4</v>
      </c>
      <c r="C18" s="22">
        <v>15.5</v>
      </c>
      <c r="D18" s="26">
        <v>12.42</v>
      </c>
      <c r="E18" s="53">
        <f>'Multiplied Out'!E19+'Multiplied Out'!F19</f>
        <v>0.698</v>
      </c>
      <c r="F18" s="11" t="s">
        <v>5</v>
      </c>
      <c r="G18" s="54">
        <f>(Data!H19+Data!O19)*Data!R19</f>
        <v>0.015000000000000003</v>
      </c>
      <c r="H18" s="53">
        <f>'Multiplied Out'!G19+'Multiplied Out'!H19</f>
        <v>0.734</v>
      </c>
      <c r="I18" s="11" t="s">
        <v>5</v>
      </c>
      <c r="J18" s="20">
        <f>(Data!V19+Data!AC19)*Data!AF19</f>
        <v>0.016</v>
      </c>
      <c r="K18" s="57">
        <f t="shared" si="0"/>
        <v>0.05157593123209181</v>
      </c>
      <c r="L18" s="11" t="s">
        <v>5</v>
      </c>
      <c r="M18" s="58">
        <f t="shared" si="1"/>
        <v>0.03218900533424925</v>
      </c>
    </row>
    <row r="19" spans="1:13" ht="12.75">
      <c r="A19" s="13">
        <v>15.5</v>
      </c>
      <c r="B19" s="9" t="s">
        <v>4</v>
      </c>
      <c r="C19" s="22">
        <v>23</v>
      </c>
      <c r="D19" s="26">
        <v>18.85</v>
      </c>
      <c r="E19" s="53">
        <f>'Multiplied Out'!E20+'Multiplied Out'!F20</f>
        <v>0.246</v>
      </c>
      <c r="F19" s="11" t="s">
        <v>5</v>
      </c>
      <c r="G19" s="54">
        <f>(Data!H20+Data!O20)*Data!R20</f>
        <v>0.007000000000000001</v>
      </c>
      <c r="H19" s="53">
        <f>'Multiplied Out'!G20+'Multiplied Out'!H20</f>
        <v>0.27</v>
      </c>
      <c r="I19" s="11" t="s">
        <v>5</v>
      </c>
      <c r="J19" s="20">
        <f>(Data!V20+Data!AC20)*Data!AF20</f>
        <v>0.007000000000000001</v>
      </c>
      <c r="K19" s="57">
        <f t="shared" si="0"/>
        <v>0.09756097560975618</v>
      </c>
      <c r="L19" s="11" t="s">
        <v>5</v>
      </c>
      <c r="M19" s="58">
        <f t="shared" si="1"/>
        <v>0.04225049327248502</v>
      </c>
    </row>
    <row r="20" spans="1:13" ht="12.75">
      <c r="A20" s="13">
        <v>23</v>
      </c>
      <c r="B20" s="9" t="s">
        <v>4</v>
      </c>
      <c r="C20" s="22">
        <v>31.1</v>
      </c>
      <c r="D20" s="26">
        <v>26.68</v>
      </c>
      <c r="E20" s="53">
        <f>'Multiplied Out'!E21+'Multiplied Out'!F21</f>
        <v>0.109</v>
      </c>
      <c r="F20" s="11" t="s">
        <v>5</v>
      </c>
      <c r="G20" s="54">
        <f>(Data!H21+Data!O21)*Data!R21</f>
        <v>0.005</v>
      </c>
      <c r="H20" s="53">
        <f>'Multiplied Out'!G21+'Multiplied Out'!H21</f>
        <v>0.109</v>
      </c>
      <c r="I20" s="11" t="s">
        <v>5</v>
      </c>
      <c r="J20" s="20">
        <f>(Data!V21+Data!AC21)*Data!AF21</f>
        <v>0.004</v>
      </c>
      <c r="K20" s="57">
        <f t="shared" si="0"/>
        <v>0</v>
      </c>
      <c r="L20" s="11" t="s">
        <v>5</v>
      </c>
      <c r="M20" s="58">
        <f t="shared" si="1"/>
        <v>0.058744259059016965</v>
      </c>
    </row>
    <row r="21" spans="1:13" ht="12.75">
      <c r="A21" s="13">
        <v>31.1</v>
      </c>
      <c r="B21" s="9" t="s">
        <v>4</v>
      </c>
      <c r="C21" s="14">
        <v>43.6</v>
      </c>
      <c r="D21" s="26">
        <v>36.69</v>
      </c>
      <c r="E21" s="53">
        <f>'Multiplied Out'!E22+'Multiplied Out'!F22</f>
        <v>0.047</v>
      </c>
      <c r="F21" s="11" t="s">
        <v>5</v>
      </c>
      <c r="G21" s="54">
        <f>(Data!H22+Data!O22)*Data!R22</f>
        <v>0.002</v>
      </c>
      <c r="H21" s="53">
        <f>'Multiplied Out'!G22+'Multiplied Out'!H22</f>
        <v>0.048299999999999996</v>
      </c>
      <c r="I21" s="11" t="s">
        <v>5</v>
      </c>
      <c r="J21" s="20">
        <f>(Data!V22+Data!AC22)*Data!AF22</f>
        <v>0.0018</v>
      </c>
      <c r="K21" s="57">
        <f t="shared" si="0"/>
        <v>0.02765957446808498</v>
      </c>
      <c r="L21" s="11" t="s">
        <v>5</v>
      </c>
      <c r="M21" s="58">
        <f t="shared" si="1"/>
        <v>0.05812965637821221</v>
      </c>
    </row>
    <row r="22" spans="1:13" ht="12.75">
      <c r="A22" s="8">
        <v>43.6</v>
      </c>
      <c r="B22" s="9" t="s">
        <v>4</v>
      </c>
      <c r="C22" s="22">
        <v>61.1</v>
      </c>
      <c r="D22" s="26">
        <v>51.47</v>
      </c>
      <c r="E22" s="53">
        <f>'Multiplied Out'!E23+'Multiplied Out'!F23</f>
        <v>0.017</v>
      </c>
      <c r="F22" s="11" t="s">
        <v>5</v>
      </c>
      <c r="G22" s="54">
        <f>(Data!H23+Data!O23)*Data!R23</f>
        <v>0.0013</v>
      </c>
      <c r="H22" s="53">
        <f>'Multiplied Out'!G23+'Multiplied Out'!H23</f>
        <v>0.0179</v>
      </c>
      <c r="I22" s="11" t="s">
        <v>5</v>
      </c>
      <c r="J22" s="20">
        <f>(Data!V23+Data!AC23)*Data!AF23</f>
        <v>0.0009000000000000001</v>
      </c>
      <c r="K22" s="57">
        <f t="shared" si="0"/>
        <v>0.05294117647058805</v>
      </c>
      <c r="L22" s="11" t="s">
        <v>5</v>
      </c>
      <c r="M22" s="58">
        <f t="shared" si="1"/>
        <v>0.09636432193563733</v>
      </c>
    </row>
    <row r="23" spans="1:13" ht="12.75">
      <c r="A23" s="13">
        <v>61.1</v>
      </c>
      <c r="B23" s="9" t="s">
        <v>4</v>
      </c>
      <c r="C23" s="14">
        <v>85.6</v>
      </c>
      <c r="D23" s="26">
        <v>72.08</v>
      </c>
      <c r="E23" s="53">
        <f>'Multiplied Out'!E24+'Multiplied Out'!F24</f>
        <v>0.0066</v>
      </c>
      <c r="F23" s="11" t="s">
        <v>5</v>
      </c>
      <c r="G23" s="54">
        <f>(Data!H24+Data!O24)*Data!R24</f>
        <v>0.0006</v>
      </c>
      <c r="H23" s="53">
        <f>'Multiplied Out'!G24+'Multiplied Out'!H24</f>
        <v>0.0074</v>
      </c>
      <c r="I23" s="11" t="s">
        <v>5</v>
      </c>
      <c r="J23" s="20">
        <f>(Data!V24+Data!AC24)*Data!AF24</f>
        <v>0.0005</v>
      </c>
      <c r="K23" s="57">
        <f t="shared" si="0"/>
        <v>0.12121212121212133</v>
      </c>
      <c r="L23" s="11" t="s">
        <v>5</v>
      </c>
      <c r="M23" s="58">
        <f t="shared" si="1"/>
        <v>0.12699844032352073</v>
      </c>
    </row>
    <row r="24" spans="1:13" ht="12.75">
      <c r="A24" s="8">
        <v>85.6</v>
      </c>
      <c r="B24" s="9" t="s">
        <v>4</v>
      </c>
      <c r="C24" s="22">
        <v>120</v>
      </c>
      <c r="D24" s="26">
        <v>100.96</v>
      </c>
      <c r="E24" s="53">
        <f>'Multiplied Out'!E25+'Multiplied Out'!F25</f>
        <v>0.0026</v>
      </c>
      <c r="F24" s="11" t="s">
        <v>5</v>
      </c>
      <c r="G24" s="54">
        <f>(Data!H25+Data!O25)*Data!R25</f>
        <v>0.0004</v>
      </c>
      <c r="H24" s="53">
        <f>'Multiplied Out'!G25+'Multiplied Out'!H25</f>
        <v>0.0026</v>
      </c>
      <c r="I24" s="11" t="s">
        <v>5</v>
      </c>
      <c r="J24" s="20">
        <f>(Data!V25+Data!AC25)*Data!AF25</f>
        <v>0.0002</v>
      </c>
      <c r="K24" s="57">
        <f t="shared" si="0"/>
        <v>0</v>
      </c>
      <c r="L24" s="11" t="s">
        <v>5</v>
      </c>
      <c r="M24" s="58">
        <f t="shared" si="1"/>
        <v>0.17200522903844537</v>
      </c>
    </row>
    <row r="25" spans="1:4" ht="12.75">
      <c r="A25" s="55"/>
      <c r="B25" s="55"/>
      <c r="C25" s="56"/>
      <c r="D25" s="55"/>
    </row>
    <row r="27" spans="1:5" ht="12.75">
      <c r="A27" s="26" t="s">
        <v>30</v>
      </c>
      <c r="B27" s="26" t="s">
        <v>38</v>
      </c>
      <c r="C27" s="26" t="s">
        <v>39</v>
      </c>
      <c r="D27" s="49" t="s">
        <v>36</v>
      </c>
      <c r="E27" s="49" t="s">
        <v>37</v>
      </c>
    </row>
    <row r="28" spans="1:5" ht="12.75">
      <c r="A28" s="26">
        <v>94</v>
      </c>
      <c r="B28" s="26">
        <f>Integral!F52-Integral!F37</f>
        <v>58.14884</v>
      </c>
      <c r="C28" s="26">
        <f>Integral!F52-Integral!F43</f>
        <v>16.763040000000004</v>
      </c>
      <c r="D28" s="25">
        <f>Integral!F52-Integral!F46</f>
        <v>3.864040000000003</v>
      </c>
      <c r="E28" s="25">
        <f>Integral!F52-Integral!F49</f>
        <v>0.5486399999999918</v>
      </c>
    </row>
    <row r="29" spans="1:5" ht="12.75">
      <c r="A29" s="26">
        <v>97</v>
      </c>
      <c r="B29" s="26">
        <f>Integral!H52-Integral!H37</f>
        <v>66.70944</v>
      </c>
      <c r="C29" s="26">
        <f>Integral!H52-Integral!H43</f>
        <v>18.25764000000001</v>
      </c>
      <c r="D29" s="25">
        <f>Integral!H52-Integral!H46</f>
        <v>4.095640000000003</v>
      </c>
      <c r="E29" s="25">
        <f>Integral!H52-Integral!H49</f>
        <v>0.5839899999999858</v>
      </c>
    </row>
    <row r="30" spans="1:5" ht="12.75">
      <c r="A30" s="26" t="s">
        <v>34</v>
      </c>
      <c r="B30" s="26">
        <f>B29/B28</f>
        <v>1.1472187579322304</v>
      </c>
      <c r="C30" s="26">
        <f>C29/C28</f>
        <v>1.0891604386793807</v>
      </c>
      <c r="D30" s="26">
        <f>D29/D28</f>
        <v>1.0599372677301477</v>
      </c>
      <c r="E30" s="26">
        <f>E29/E28</f>
        <v>1.0644320501603866</v>
      </c>
    </row>
    <row r="31" spans="1:5" ht="12.75">
      <c r="A31" s="26" t="s">
        <v>35</v>
      </c>
      <c r="B31" s="26">
        <f>B28/B29</f>
        <v>0.8716733343886562</v>
      </c>
      <c r="C31" s="26">
        <f>C28/C29</f>
        <v>0.9181383793305157</v>
      </c>
      <c r="D31" s="26">
        <f>D28/D29</f>
        <v>0.9434520612163179</v>
      </c>
      <c r="E31" s="26">
        <f>E28/E29</f>
        <v>0.9394681415777756</v>
      </c>
    </row>
    <row r="32" spans="1:5" ht="12.75">
      <c r="A32" s="4"/>
      <c r="B32" s="4"/>
      <c r="C32" s="4"/>
      <c r="D32" s="4"/>
      <c r="E32"/>
    </row>
    <row r="33" spans="1:5" ht="12.75">
      <c r="A33" s="76" t="s">
        <v>31</v>
      </c>
      <c r="B33" s="76" t="s">
        <v>32</v>
      </c>
      <c r="C33" s="83" t="s">
        <v>33</v>
      </c>
      <c r="D33" s="77"/>
      <c r="E33"/>
    </row>
    <row r="34" spans="1:5" ht="12.75">
      <c r="A34" s="76"/>
      <c r="B34" s="76"/>
      <c r="C34" s="84"/>
      <c r="D34" s="78"/>
      <c r="E34"/>
    </row>
    <row r="35" spans="1:5" ht="12.75">
      <c r="A35" s="26">
        <v>94</v>
      </c>
      <c r="B35" s="26">
        <v>360</v>
      </c>
      <c r="C35" s="26">
        <v>1000</v>
      </c>
      <c r="D35" s="26"/>
      <c r="E35"/>
    </row>
    <row r="36" spans="1:5" ht="12.75">
      <c r="A36" s="26">
        <v>97</v>
      </c>
      <c r="B36" s="26">
        <v>1270</v>
      </c>
      <c r="C36" s="26">
        <v>886</v>
      </c>
      <c r="D36" s="26"/>
      <c r="E36"/>
    </row>
    <row r="37" spans="1:5" ht="12.75">
      <c r="A37" s="26" t="s">
        <v>34</v>
      </c>
      <c r="B37" s="26">
        <f>B36/B35</f>
        <v>3.5277777777777777</v>
      </c>
      <c r="C37" s="26">
        <f>C36/C35</f>
        <v>0.886</v>
      </c>
      <c r="D37" s="26"/>
      <c r="E37"/>
    </row>
    <row r="38" spans="1:5" ht="12.75">
      <c r="A38" s="26" t="s">
        <v>35</v>
      </c>
      <c r="B38" s="26">
        <f>B35/B36</f>
        <v>0.28346456692913385</v>
      </c>
      <c r="C38" s="26">
        <f>C35/C36</f>
        <v>1.1286681715575622</v>
      </c>
      <c r="D38" s="26"/>
      <c r="E38"/>
    </row>
  </sheetData>
  <mergeCells count="8">
    <mergeCell ref="A2:C2"/>
    <mergeCell ref="E2:G2"/>
    <mergeCell ref="H2:J2"/>
    <mergeCell ref="K2:M2"/>
    <mergeCell ref="D33:D34"/>
    <mergeCell ref="A33:A34"/>
    <mergeCell ref="B33:B34"/>
    <mergeCell ref="C33:C3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I12" sqref="I12"/>
    </sheetView>
  </sheetViews>
  <sheetFormatPr defaultColWidth="9.140625" defaultRowHeight="12.75"/>
  <cols>
    <col min="4" max="4" width="10.28125" style="0" customWidth="1"/>
    <col min="5" max="5" width="24.8515625" style="0" customWidth="1"/>
    <col min="6" max="6" width="24.00390625" style="0" customWidth="1"/>
    <col min="7" max="7" width="12.421875" style="0" customWidth="1"/>
    <col min="8" max="8" width="14.00390625" style="0" customWidth="1"/>
    <col min="9" max="9" width="12.7109375" style="0" customWidth="1"/>
    <col min="10" max="10" width="10.7109375" style="0" customWidth="1"/>
    <col min="11" max="11" width="11.140625" style="0" customWidth="1"/>
  </cols>
  <sheetData>
    <row r="1" s="27" customFormat="1" ht="26.25">
      <c r="A1" s="27" t="s">
        <v>66</v>
      </c>
    </row>
    <row r="2" spans="1:11" ht="51">
      <c r="A2" s="74" t="s">
        <v>0</v>
      </c>
      <c r="B2" s="74"/>
      <c r="C2" s="74"/>
      <c r="D2" s="29" t="s">
        <v>1</v>
      </c>
      <c r="E2" s="38" t="s">
        <v>11</v>
      </c>
      <c r="F2" s="38" t="s">
        <v>12</v>
      </c>
      <c r="G2" s="68" t="s">
        <v>65</v>
      </c>
      <c r="H2" s="68" t="s">
        <v>61</v>
      </c>
      <c r="I2" s="68" t="s">
        <v>62</v>
      </c>
      <c r="J2" s="68" t="s">
        <v>63</v>
      </c>
      <c r="K2" s="68" t="s">
        <v>64</v>
      </c>
    </row>
    <row r="3" spans="1:11" ht="12.75">
      <c r="A3" s="25">
        <v>0.2</v>
      </c>
      <c r="B3" s="26" t="s">
        <v>4</v>
      </c>
      <c r="C3" s="69">
        <v>0.3</v>
      </c>
      <c r="D3" s="26">
        <f>AVERAGE(A3,C3)</f>
        <v>0.25</v>
      </c>
      <c r="E3" s="29">
        <f>'Multiplied Out'!E4+'Multiplied Out'!F4</f>
        <v>25</v>
      </c>
      <c r="F3" s="26">
        <f>'Multiplied Out'!G4+'Multiplied Out'!H4</f>
        <v>22.700000000000003</v>
      </c>
      <c r="G3" s="25"/>
      <c r="H3" s="25"/>
      <c r="I3" s="25"/>
      <c r="J3" s="25"/>
      <c r="K3" s="25"/>
    </row>
    <row r="4" spans="1:11" ht="12.75">
      <c r="A4" s="25">
        <v>0.3</v>
      </c>
      <c r="B4" s="26" t="s">
        <v>4</v>
      </c>
      <c r="C4" s="70">
        <v>0.4</v>
      </c>
      <c r="D4" s="26">
        <f>AVERAGE(A4,C4)</f>
        <v>0.35</v>
      </c>
      <c r="E4" s="29">
        <f>'Multiplied Out'!E5+'Multiplied Out'!F5</f>
        <v>30.400000000000002</v>
      </c>
      <c r="F4" s="26">
        <f>'Multiplied Out'!G5+'Multiplied Out'!H5</f>
        <v>32.2</v>
      </c>
      <c r="G4" s="25">
        <f>(269+180*D4)</f>
        <v>332</v>
      </c>
      <c r="H4" s="25">
        <f>EXP(-1000/$G4)</f>
        <v>0.04919082322140158</v>
      </c>
      <c r="I4" s="25">
        <f>EXP(-886/$G4)</f>
        <v>0.06934406621197171</v>
      </c>
      <c r="J4" s="25">
        <f>I4/H4</f>
        <v>1.4096951762702359</v>
      </c>
      <c r="K4" s="25">
        <f>E4*J4</f>
        <v>42.85473335861517</v>
      </c>
    </row>
    <row r="5" spans="1:11" ht="12.75">
      <c r="A5" s="71">
        <v>0.4</v>
      </c>
      <c r="B5" s="26" t="s">
        <v>4</v>
      </c>
      <c r="C5" s="69">
        <v>0.55</v>
      </c>
      <c r="D5" s="26">
        <v>0.47</v>
      </c>
      <c r="E5" s="29">
        <f>'Multiplied Out'!E6+'Multiplied Out'!F6</f>
        <v>31.599999999999998</v>
      </c>
      <c r="F5" s="26">
        <f>'Multiplied Out'!G6+'Multiplied Out'!H6</f>
        <v>38.199999999999996</v>
      </c>
      <c r="G5" s="25">
        <f aca="true" t="shared" si="0" ref="G5:G17">(269+180*D5)</f>
        <v>353.6</v>
      </c>
      <c r="H5" s="25">
        <f aca="true" t="shared" si="1" ref="H5:H17">EXP(-1000/$G5)</f>
        <v>0.05912778683548999</v>
      </c>
      <c r="I5" s="25">
        <f aca="true" t="shared" si="2" ref="I5:I17">EXP(-886/$G5)</f>
        <v>0.08162202749921689</v>
      </c>
      <c r="J5" s="25">
        <f aca="true" t="shared" si="3" ref="J5:J17">I5/H5</f>
        <v>1.3804343417471747</v>
      </c>
      <c r="K5" s="25">
        <f aca="true" t="shared" si="4" ref="K5:K17">E5*J5</f>
        <v>43.621725199210715</v>
      </c>
    </row>
    <row r="6" spans="1:11" ht="12.75">
      <c r="A6" s="25">
        <v>0.55</v>
      </c>
      <c r="B6" s="26" t="s">
        <v>4</v>
      </c>
      <c r="C6" s="70">
        <v>0.7</v>
      </c>
      <c r="D6" s="26">
        <v>0.62</v>
      </c>
      <c r="E6" s="29">
        <f>'Multiplied Out'!E7+'Multiplied Out'!F7</f>
        <v>30.099999999999998</v>
      </c>
      <c r="F6" s="26">
        <f>'Multiplied Out'!G7+'Multiplied Out'!H7</f>
        <v>39.800000000000004</v>
      </c>
      <c r="G6" s="25">
        <f t="shared" si="0"/>
        <v>380.6</v>
      </c>
      <c r="H6" s="25">
        <f t="shared" si="1"/>
        <v>0.0722639151649669</v>
      </c>
      <c r="I6" s="25">
        <f t="shared" si="2"/>
        <v>0.09749996006557456</v>
      </c>
      <c r="J6" s="25">
        <f t="shared" si="3"/>
        <v>1.3492205597080897</v>
      </c>
      <c r="K6" s="25">
        <f t="shared" si="4"/>
        <v>40.611538847213495</v>
      </c>
    </row>
    <row r="7" spans="1:11" ht="12.75">
      <c r="A7" s="71">
        <v>0.7</v>
      </c>
      <c r="B7" s="26" t="s">
        <v>4</v>
      </c>
      <c r="C7" s="69">
        <v>0.85</v>
      </c>
      <c r="D7" s="26">
        <v>0.78</v>
      </c>
      <c r="E7" s="29">
        <f>'Multiplied Out'!E8+'Multiplied Out'!F8</f>
        <v>28.900000000000002</v>
      </c>
      <c r="F7" s="26">
        <f>'Multiplied Out'!G8+'Multiplied Out'!H8</f>
        <v>38</v>
      </c>
      <c r="G7" s="25">
        <f t="shared" si="0"/>
        <v>409.4</v>
      </c>
      <c r="H7" s="25">
        <f t="shared" si="1"/>
        <v>0.08693462102907178</v>
      </c>
      <c r="I7" s="25">
        <f t="shared" si="2"/>
        <v>0.11484835789445531</v>
      </c>
      <c r="J7" s="25">
        <f t="shared" si="3"/>
        <v>1.3210888427988765</v>
      </c>
      <c r="K7" s="25">
        <f t="shared" si="4"/>
        <v>38.17946755688753</v>
      </c>
    </row>
    <row r="8" spans="1:11" ht="12.75">
      <c r="A8" s="25">
        <v>0.85</v>
      </c>
      <c r="B8" s="26" t="s">
        <v>4</v>
      </c>
      <c r="C8" s="72">
        <v>1</v>
      </c>
      <c r="D8" s="26">
        <v>0.92</v>
      </c>
      <c r="E8" s="29">
        <f>'Multiplied Out'!E9+'Multiplied Out'!F9</f>
        <v>26.9</v>
      </c>
      <c r="F8" s="26">
        <f>'Multiplied Out'!G9+'Multiplied Out'!H9</f>
        <v>35.599999999999994</v>
      </c>
      <c r="G8" s="25">
        <f t="shared" si="0"/>
        <v>434.6</v>
      </c>
      <c r="H8" s="25">
        <f t="shared" si="1"/>
        <v>0.10016199978846942</v>
      </c>
      <c r="I8" s="25">
        <f t="shared" si="2"/>
        <v>0.13020355627781696</v>
      </c>
      <c r="J8" s="25">
        <f t="shared" si="3"/>
        <v>1.299929679447214</v>
      </c>
      <c r="K8" s="25">
        <f t="shared" si="4"/>
        <v>34.96810837713005</v>
      </c>
    </row>
    <row r="9" spans="1:11" ht="12.75">
      <c r="A9" s="73">
        <v>1</v>
      </c>
      <c r="B9" s="26" t="s">
        <v>4</v>
      </c>
      <c r="C9" s="69">
        <v>1.2</v>
      </c>
      <c r="D9" s="26">
        <f>AVERAGE(A9,C9)</f>
        <v>1.1</v>
      </c>
      <c r="E9" s="29">
        <f>'Multiplied Out'!E10+'Multiplied Out'!F10</f>
        <v>24</v>
      </c>
      <c r="F9" s="26">
        <f>'Multiplied Out'!G10+'Multiplied Out'!H10</f>
        <v>32.5</v>
      </c>
      <c r="G9" s="25">
        <f t="shared" si="0"/>
        <v>467</v>
      </c>
      <c r="H9" s="25">
        <f t="shared" si="1"/>
        <v>0.11749874537360952</v>
      </c>
      <c r="I9" s="25">
        <f t="shared" si="2"/>
        <v>0.14998555731474034</v>
      </c>
      <c r="J9" s="25">
        <f t="shared" si="3"/>
        <v>1.276486458113513</v>
      </c>
      <c r="K9" s="25">
        <f t="shared" si="4"/>
        <v>30.63567499472431</v>
      </c>
    </row>
    <row r="10" spans="1:11" ht="12.75">
      <c r="A10" s="25">
        <v>1.2</v>
      </c>
      <c r="B10" s="26" t="s">
        <v>4</v>
      </c>
      <c r="C10" s="72">
        <v>1.4</v>
      </c>
      <c r="D10" s="26">
        <f>AVERAGE(A10,C10)</f>
        <v>1.2999999999999998</v>
      </c>
      <c r="E10" s="29">
        <f>'Multiplied Out'!E11+'Multiplied Out'!F11</f>
        <v>22.1</v>
      </c>
      <c r="F10" s="26">
        <f>'Multiplied Out'!G11+'Multiplied Out'!H11</f>
        <v>28.3</v>
      </c>
      <c r="G10" s="25">
        <f t="shared" si="0"/>
        <v>503</v>
      </c>
      <c r="H10" s="25">
        <f t="shared" si="1"/>
        <v>0.13695928726368056</v>
      </c>
      <c r="I10" s="25">
        <f t="shared" si="2"/>
        <v>0.17179877299180218</v>
      </c>
      <c r="J10" s="25">
        <f t="shared" si="3"/>
        <v>1.254378409994548</v>
      </c>
      <c r="K10" s="25">
        <f t="shared" si="4"/>
        <v>27.721762860879515</v>
      </c>
    </row>
    <row r="11" spans="1:11" ht="12.75">
      <c r="A11" s="73">
        <v>1.4</v>
      </c>
      <c r="B11" s="26" t="s">
        <v>4</v>
      </c>
      <c r="C11" s="69">
        <v>1.6</v>
      </c>
      <c r="D11" s="26">
        <f>AVERAGE(A11,C11)</f>
        <v>1.5</v>
      </c>
      <c r="E11" s="29">
        <f>'Multiplied Out'!E12+'Multiplied Out'!F12</f>
        <v>18.9</v>
      </c>
      <c r="F11" s="26">
        <f>'Multiplied Out'!G12+'Multiplied Out'!H12</f>
        <v>25.3</v>
      </c>
      <c r="G11" s="25">
        <f t="shared" si="0"/>
        <v>539</v>
      </c>
      <c r="H11" s="25">
        <f t="shared" si="1"/>
        <v>0.1564079580374072</v>
      </c>
      <c r="I11" s="25">
        <f t="shared" si="2"/>
        <v>0.19324725681111468</v>
      </c>
      <c r="J11" s="25">
        <f t="shared" si="3"/>
        <v>1.235533404028565</v>
      </c>
      <c r="K11" s="25">
        <f t="shared" si="4"/>
        <v>23.351581336139876</v>
      </c>
    </row>
    <row r="12" spans="1:11" ht="12.75">
      <c r="A12" s="25">
        <v>1.6</v>
      </c>
      <c r="B12" s="26" t="s">
        <v>4</v>
      </c>
      <c r="C12" s="72">
        <v>2.1</v>
      </c>
      <c r="D12" s="26">
        <v>1.84</v>
      </c>
      <c r="E12" s="29">
        <f>'Multiplied Out'!E13+'Multiplied Out'!F13</f>
        <v>16.4</v>
      </c>
      <c r="F12" s="26">
        <f>'Multiplied Out'!G13+'Multiplied Out'!H13</f>
        <v>19.2</v>
      </c>
      <c r="G12" s="25">
        <f t="shared" si="0"/>
        <v>600.2</v>
      </c>
      <c r="H12" s="25">
        <f t="shared" si="1"/>
        <v>0.18898052789615946</v>
      </c>
      <c r="I12" s="25">
        <f t="shared" si="2"/>
        <v>0.22851015937789365</v>
      </c>
      <c r="J12" s="25">
        <f t="shared" si="3"/>
        <v>1.209173039793046</v>
      </c>
      <c r="K12" s="25">
        <f t="shared" si="4"/>
        <v>19.830437852605954</v>
      </c>
    </row>
    <row r="13" spans="1:11" ht="12.75">
      <c r="A13" s="73">
        <v>2.1</v>
      </c>
      <c r="B13" s="26" t="s">
        <v>4</v>
      </c>
      <c r="C13" s="69">
        <v>2.94</v>
      </c>
      <c r="D13" s="26">
        <v>2.49</v>
      </c>
      <c r="E13" s="29">
        <f>'Multiplied Out'!E14+'Multiplied Out'!F14</f>
        <v>11.8</v>
      </c>
      <c r="F13" s="26">
        <f>'Multiplied Out'!G14+'Multiplied Out'!H14</f>
        <v>12.7</v>
      </c>
      <c r="G13" s="25">
        <f t="shared" si="0"/>
        <v>717.2</v>
      </c>
      <c r="H13" s="25">
        <f t="shared" si="1"/>
        <v>0.248003800022759</v>
      </c>
      <c r="I13" s="25">
        <f t="shared" si="2"/>
        <v>0.2907301585279373</v>
      </c>
      <c r="J13" s="25">
        <f t="shared" si="3"/>
        <v>1.1722810638436079</v>
      </c>
      <c r="K13" s="25">
        <f t="shared" si="4"/>
        <v>13.832916553354574</v>
      </c>
    </row>
    <row r="14" spans="1:11" ht="12.75">
      <c r="A14" s="25">
        <v>2.94</v>
      </c>
      <c r="B14" s="26" t="s">
        <v>4</v>
      </c>
      <c r="C14" s="70">
        <v>4.12</v>
      </c>
      <c r="D14" s="26">
        <v>3.49</v>
      </c>
      <c r="E14" s="29">
        <f>'Multiplied Out'!E15+'Multiplied Out'!F15</f>
        <v>7.5</v>
      </c>
      <c r="F14" s="26">
        <f>'Multiplied Out'!G15+'Multiplied Out'!H15</f>
        <v>8.66</v>
      </c>
      <c r="G14" s="25">
        <f t="shared" si="0"/>
        <v>897.2</v>
      </c>
      <c r="H14" s="25">
        <f t="shared" si="1"/>
        <v>0.3280534622369057</v>
      </c>
      <c r="I14" s="25">
        <f t="shared" si="2"/>
        <v>0.3725005671250453</v>
      </c>
      <c r="J14" s="25">
        <f t="shared" si="3"/>
        <v>1.1354873824073282</v>
      </c>
      <c r="K14" s="25">
        <f t="shared" si="4"/>
        <v>8.516155368054962</v>
      </c>
    </row>
    <row r="15" spans="1:11" ht="12.75">
      <c r="A15" s="71">
        <v>4.12</v>
      </c>
      <c r="B15" s="26" t="s">
        <v>4</v>
      </c>
      <c r="C15" s="69">
        <v>5.5</v>
      </c>
      <c r="D15" s="26">
        <v>4.78</v>
      </c>
      <c r="E15" s="29">
        <f>'Multiplied Out'!E16+'Multiplied Out'!F16</f>
        <v>4.51</v>
      </c>
      <c r="F15" s="26">
        <f>'Multiplied Out'!G16+'Multiplied Out'!H16</f>
        <v>5.25</v>
      </c>
      <c r="G15" s="25">
        <f t="shared" si="0"/>
        <v>1129.4</v>
      </c>
      <c r="H15" s="25">
        <f t="shared" si="1"/>
        <v>0.4125384399246354</v>
      </c>
      <c r="I15" s="25">
        <f t="shared" si="2"/>
        <v>0.45635359678665843</v>
      </c>
      <c r="J15" s="25">
        <f t="shared" si="3"/>
        <v>1.1062086647489804</v>
      </c>
      <c r="K15" s="25">
        <f t="shared" si="4"/>
        <v>4.9890010780179015</v>
      </c>
    </row>
    <row r="16" spans="1:11" ht="12.75">
      <c r="A16" s="25">
        <v>5.5</v>
      </c>
      <c r="B16" s="26" t="s">
        <v>4</v>
      </c>
      <c r="C16" s="72">
        <v>7</v>
      </c>
      <c r="D16" s="26">
        <v>6.21</v>
      </c>
      <c r="E16" s="29">
        <f>'Multiplied Out'!E17+'Multiplied Out'!F17</f>
        <v>2.8600000000000003</v>
      </c>
      <c r="F16" s="26">
        <f>'Multiplied Out'!G17+'Multiplied Out'!H17</f>
        <v>3.1500000000000004</v>
      </c>
      <c r="G16" s="25">
        <f t="shared" si="0"/>
        <v>1386.8</v>
      </c>
      <c r="H16" s="25">
        <f t="shared" si="1"/>
        <v>0.48622465388001407</v>
      </c>
      <c r="I16" s="25">
        <f t="shared" si="2"/>
        <v>0.5278828595309298</v>
      </c>
      <c r="J16" s="25">
        <f t="shared" si="3"/>
        <v>1.0856768683333688</v>
      </c>
      <c r="K16" s="25">
        <f t="shared" si="4"/>
        <v>3.105035843433435</v>
      </c>
    </row>
    <row r="17" spans="1:11" ht="12.75">
      <c r="A17" s="73">
        <v>7</v>
      </c>
      <c r="B17" s="26" t="s">
        <v>4</v>
      </c>
      <c r="C17" s="72">
        <v>10</v>
      </c>
      <c r="D17" s="26">
        <v>8.37</v>
      </c>
      <c r="E17" s="29">
        <f>'Multiplied Out'!E18+'Multiplied Out'!F18</f>
        <v>1.59</v>
      </c>
      <c r="F17" s="26">
        <f>'Multiplied Out'!G18+'Multiplied Out'!H18</f>
        <v>1.8</v>
      </c>
      <c r="G17" s="25">
        <f t="shared" si="0"/>
        <v>1775.6</v>
      </c>
      <c r="H17" s="25">
        <f t="shared" si="1"/>
        <v>0.569389862778105</v>
      </c>
      <c r="I17" s="25">
        <f t="shared" si="2"/>
        <v>0.6071458369786153</v>
      </c>
      <c r="J17" s="25">
        <f t="shared" si="3"/>
        <v>1.0663095300227081</v>
      </c>
      <c r="K17" s="25">
        <f t="shared" si="4"/>
        <v>1.695432152736106</v>
      </c>
    </row>
    <row r="18" spans="1:11" ht="12.75">
      <c r="A18" s="73">
        <v>10</v>
      </c>
      <c r="B18" s="26" t="s">
        <v>4</v>
      </c>
      <c r="C18" s="72">
        <v>15.5</v>
      </c>
      <c r="D18" s="26">
        <v>12.42</v>
      </c>
      <c r="E18" s="29">
        <f>'Multiplied Out'!E19+'Multiplied Out'!F19</f>
        <v>0.698</v>
      </c>
      <c r="F18" s="26">
        <f>'Multiplied Out'!G19+'Multiplied Out'!H19</f>
        <v>0.734</v>
      </c>
      <c r="G18" s="26"/>
      <c r="H18" s="25"/>
      <c r="I18" s="25"/>
      <c r="J18" s="25"/>
      <c r="K18" s="25"/>
    </row>
    <row r="19" spans="1:11" ht="12.75">
      <c r="A19" s="73">
        <v>15.5</v>
      </c>
      <c r="B19" s="26" t="s">
        <v>4</v>
      </c>
      <c r="C19" s="72">
        <v>23</v>
      </c>
      <c r="D19" s="26">
        <v>18.85</v>
      </c>
      <c r="E19" s="29">
        <f>'Multiplied Out'!E20+'Multiplied Out'!F20</f>
        <v>0.246</v>
      </c>
      <c r="F19" s="26">
        <f>'Multiplied Out'!G20+'Multiplied Out'!H20</f>
        <v>0.27</v>
      </c>
      <c r="G19" s="26"/>
      <c r="H19" s="25"/>
      <c r="I19" s="25"/>
      <c r="J19" s="25"/>
      <c r="K19" s="25"/>
    </row>
    <row r="20" spans="1:11" ht="12.75">
      <c r="A20" s="73">
        <v>23</v>
      </c>
      <c r="B20" s="26" t="s">
        <v>4</v>
      </c>
      <c r="C20" s="72">
        <v>31.1</v>
      </c>
      <c r="D20" s="26">
        <v>26.68</v>
      </c>
      <c r="E20" s="29">
        <f>'Multiplied Out'!E21+'Multiplied Out'!F21</f>
        <v>0.109</v>
      </c>
      <c r="F20" s="26">
        <f>'Multiplied Out'!G21+'Multiplied Out'!H21</f>
        <v>0.109</v>
      </c>
      <c r="G20" s="26"/>
      <c r="H20" s="25"/>
      <c r="I20" s="25"/>
      <c r="J20" s="25"/>
      <c r="K20" s="25"/>
    </row>
    <row r="21" spans="1:11" ht="12.75">
      <c r="A21" s="73">
        <v>31.1</v>
      </c>
      <c r="B21" s="26" t="s">
        <v>4</v>
      </c>
      <c r="C21" s="69">
        <v>43.6</v>
      </c>
      <c r="D21" s="26">
        <v>36.69</v>
      </c>
      <c r="E21" s="29">
        <f>'Multiplied Out'!E22+'Multiplied Out'!F22</f>
        <v>0.047</v>
      </c>
      <c r="F21" s="26">
        <f>'Multiplied Out'!G22+'Multiplied Out'!H22</f>
        <v>0.048299999999999996</v>
      </c>
      <c r="G21" s="26"/>
      <c r="H21" s="25"/>
      <c r="I21" s="25"/>
      <c r="J21" s="25"/>
      <c r="K21" s="25"/>
    </row>
    <row r="22" spans="1:11" ht="12.75">
      <c r="A22" s="25">
        <v>43.6</v>
      </c>
      <c r="B22" s="26" t="s">
        <v>4</v>
      </c>
      <c r="C22" s="72">
        <v>61.1</v>
      </c>
      <c r="D22" s="26">
        <v>51.47</v>
      </c>
      <c r="E22" s="29">
        <f>'Multiplied Out'!E23+'Multiplied Out'!F23</f>
        <v>0.017</v>
      </c>
      <c r="F22" s="26">
        <f>'Multiplied Out'!G23+'Multiplied Out'!H23</f>
        <v>0.0179</v>
      </c>
      <c r="G22" s="26"/>
      <c r="H22" s="25"/>
      <c r="I22" s="25"/>
      <c r="J22" s="25"/>
      <c r="K22" s="25"/>
    </row>
    <row r="23" spans="1:11" ht="12.75">
      <c r="A23" s="73">
        <v>61.1</v>
      </c>
      <c r="B23" s="26" t="s">
        <v>4</v>
      </c>
      <c r="C23" s="69">
        <v>85.6</v>
      </c>
      <c r="D23" s="26">
        <v>72.08</v>
      </c>
      <c r="E23" s="29">
        <f>'Multiplied Out'!E24+'Multiplied Out'!F24</f>
        <v>0.0066</v>
      </c>
      <c r="F23" s="26">
        <f>'Multiplied Out'!G24+'Multiplied Out'!H24</f>
        <v>0.0074</v>
      </c>
      <c r="G23" s="26"/>
      <c r="H23" s="25"/>
      <c r="I23" s="25"/>
      <c r="J23" s="25"/>
      <c r="K23" s="25"/>
    </row>
    <row r="24" spans="1:11" ht="12.75">
      <c r="A24" s="25">
        <v>85.6</v>
      </c>
      <c r="B24" s="26" t="s">
        <v>4</v>
      </c>
      <c r="C24" s="72">
        <v>120</v>
      </c>
      <c r="D24" s="26">
        <v>100.96</v>
      </c>
      <c r="E24" s="29">
        <f>'Multiplied Out'!E25+'Multiplied Out'!F25</f>
        <v>0.0026</v>
      </c>
      <c r="F24" s="26">
        <f>'Multiplied Out'!G25+'Multiplied Out'!H25</f>
        <v>0.0026</v>
      </c>
      <c r="G24" s="26"/>
      <c r="H24" s="25"/>
      <c r="I24" s="25"/>
      <c r="J24" s="25"/>
      <c r="K24" s="25"/>
    </row>
  </sheetData>
  <mergeCells count="1">
    <mergeCell ref="A2:C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84"/>
  <sheetViews>
    <sheetView workbookViewId="0" topLeftCell="A1">
      <selection activeCell="E87" sqref="E87"/>
    </sheetView>
  </sheetViews>
  <sheetFormatPr defaultColWidth="9.140625" defaultRowHeight="12.75"/>
  <cols>
    <col min="1" max="1" width="13.8515625" style="1" customWidth="1"/>
    <col min="2" max="2" width="9.57421875" style="1" bestFit="1" customWidth="1"/>
    <col min="3" max="3" width="14.8515625" style="1" customWidth="1"/>
    <col min="4" max="4" width="12.8515625" style="1" customWidth="1"/>
    <col min="5" max="5" width="15.00390625" style="1" customWidth="1"/>
    <col min="6" max="6" width="19.7109375" style="1" customWidth="1"/>
    <col min="7" max="7" width="14.28125" style="1" customWidth="1"/>
    <col min="8" max="8" width="23.421875" style="1" customWidth="1"/>
    <col min="9" max="9" width="12.7109375" style="1" customWidth="1"/>
    <col min="10" max="10" width="25.57421875" style="1" bestFit="1" customWidth="1"/>
    <col min="11" max="11" width="12.00390625" style="1" customWidth="1"/>
    <col min="12" max="12" width="25.57421875" style="1" bestFit="1" customWidth="1"/>
    <col min="13" max="13" width="25.57421875" style="1" customWidth="1"/>
    <col min="14" max="14" width="25.7109375" style="1" bestFit="1" customWidth="1"/>
    <col min="15" max="15" width="25.7109375" style="1" customWidth="1"/>
    <col min="16" max="16" width="25.7109375" style="1" bestFit="1" customWidth="1"/>
    <col min="17" max="17" width="12.140625" style="1" customWidth="1"/>
    <col min="18" max="16384" width="9.140625" style="1" customWidth="1"/>
  </cols>
  <sheetData>
    <row r="1" spans="1:8" ht="31.5" customHeight="1">
      <c r="A1" s="59" t="s">
        <v>48</v>
      </c>
      <c r="B1" s="60"/>
      <c r="C1" s="60"/>
      <c r="D1" s="60"/>
      <c r="E1" s="60"/>
      <c r="F1" s="60"/>
      <c r="G1" s="60"/>
      <c r="H1" s="60"/>
    </row>
    <row r="2" spans="1:15" s="45" customFormat="1" ht="38.25" customHeight="1">
      <c r="A2" s="29" t="s">
        <v>67</v>
      </c>
      <c r="B2" s="29" t="s">
        <v>41</v>
      </c>
      <c r="C2" s="29" t="s">
        <v>42</v>
      </c>
      <c r="D2" s="29" t="s">
        <v>43</v>
      </c>
      <c r="E2" s="29" t="s">
        <v>70</v>
      </c>
      <c r="F2" s="29" t="s">
        <v>71</v>
      </c>
      <c r="G2" s="29" t="s">
        <v>44</v>
      </c>
      <c r="H2" s="29" t="s">
        <v>72</v>
      </c>
      <c r="I2" s="29" t="s">
        <v>45</v>
      </c>
      <c r="J2" s="29" t="s">
        <v>46</v>
      </c>
      <c r="M2" s="28"/>
      <c r="N2" s="28"/>
      <c r="O2" s="28"/>
    </row>
    <row r="3" spans="1:15" ht="12.75">
      <c r="A3" s="29">
        <v>10</v>
      </c>
      <c r="B3" s="52">
        <f>(A3^2+2*A3*105.6)^0.5</f>
        <v>47.031904065219386</v>
      </c>
      <c r="C3" s="29">
        <v>5.696</v>
      </c>
      <c r="D3" s="29">
        <f>C3*1.396</f>
        <v>7.951615999999999</v>
      </c>
      <c r="E3" s="38">
        <f>D3^-1</f>
        <v>0.12576060010946205</v>
      </c>
      <c r="F3" s="38">
        <f>0.5*A3*(E3)</f>
        <v>0.6288030005473102</v>
      </c>
      <c r="G3" s="29">
        <f>F3</f>
        <v>0.6288030005473102</v>
      </c>
      <c r="H3" s="29">
        <f>G3*0.01</f>
        <v>0.006288030005473102</v>
      </c>
      <c r="I3" s="29" t="str">
        <f>IF(H3&lt;40,"YES","NO")</f>
        <v>YES</v>
      </c>
      <c r="J3" s="29"/>
      <c r="M3" s="28"/>
      <c r="N3" s="28"/>
      <c r="O3" s="36"/>
    </row>
    <row r="4" spans="1:15" ht="12.75">
      <c r="A4" s="29">
        <v>14</v>
      </c>
      <c r="B4" s="52">
        <f aca="true" t="shared" si="0" ref="B4:B28">(A4^2+2*A4*105.6)^0.5</f>
        <v>56.14979964345376</v>
      </c>
      <c r="C4" s="29">
        <v>4.466</v>
      </c>
      <c r="D4" s="29">
        <f aca="true" t="shared" si="1" ref="D4:D28">C4*1.396</f>
        <v>6.234535999999999</v>
      </c>
      <c r="E4" s="38">
        <f aca="true" t="shared" si="2" ref="E4:E28">D4^-1</f>
        <v>0.1603968603276972</v>
      </c>
      <c r="F4" s="38">
        <f>0.5*(A4-A3)*(E4+E3)</f>
        <v>0.5723149208743186</v>
      </c>
      <c r="G4" s="29">
        <f>SUM(F$3:F4)</f>
        <v>1.2011179214216288</v>
      </c>
      <c r="H4" s="29">
        <f aca="true" t="shared" si="3" ref="H4:H28">G4*0.01</f>
        <v>0.012011179214216287</v>
      </c>
      <c r="I4" s="29" t="str">
        <f>IF(H4&lt;40,"YES","NO")</f>
        <v>YES</v>
      </c>
      <c r="J4" s="29"/>
      <c r="M4" s="28"/>
      <c r="N4" s="28"/>
      <c r="O4" s="36"/>
    </row>
    <row r="5" spans="1:15" ht="12.75">
      <c r="A5" s="29">
        <v>20</v>
      </c>
      <c r="B5" s="52">
        <f t="shared" si="0"/>
        <v>68</v>
      </c>
      <c r="C5" s="29">
        <v>3.505</v>
      </c>
      <c r="D5" s="29">
        <f t="shared" si="1"/>
        <v>4.89298</v>
      </c>
      <c r="E5" s="38">
        <f t="shared" si="2"/>
        <v>0.20437443030627553</v>
      </c>
      <c r="F5" s="38">
        <f aca="true" t="shared" si="4" ref="F5:F28">0.5*(A5-A4)*(E5+E4)</f>
        <v>1.0943138719019183</v>
      </c>
      <c r="G5" s="29">
        <f>SUM(F$3:F5)</f>
        <v>2.295431793323547</v>
      </c>
      <c r="H5" s="29">
        <f t="shared" si="3"/>
        <v>0.02295431793323547</v>
      </c>
      <c r="I5" s="29" t="str">
        <f>IF(H5&lt;40,"YES","NO")</f>
        <v>YES</v>
      </c>
      <c r="J5" s="29"/>
      <c r="M5" s="28"/>
      <c r="N5" s="28"/>
      <c r="O5" s="36"/>
    </row>
    <row r="6" spans="1:15" ht="12.75">
      <c r="A6" s="29">
        <v>30</v>
      </c>
      <c r="B6" s="52">
        <f t="shared" si="0"/>
        <v>85.06468127254695</v>
      </c>
      <c r="C6" s="29">
        <v>2.732</v>
      </c>
      <c r="D6" s="29">
        <f t="shared" si="1"/>
        <v>3.813872</v>
      </c>
      <c r="E6" s="38">
        <f t="shared" si="2"/>
        <v>0.2622007240935197</v>
      </c>
      <c r="F6" s="38">
        <f t="shared" si="4"/>
        <v>2.3328757719989763</v>
      </c>
      <c r="G6" s="29">
        <f>SUM(F$3:F6)</f>
        <v>4.628307565322523</v>
      </c>
      <c r="H6" s="29">
        <f t="shared" si="3"/>
        <v>0.04628307565322524</v>
      </c>
      <c r="I6" s="29" t="str">
        <f>IF(H6&lt;40,"YES","NO")</f>
        <v>YES</v>
      </c>
      <c r="J6" s="29"/>
      <c r="M6" s="28"/>
      <c r="N6" s="28"/>
      <c r="O6" s="36"/>
    </row>
    <row r="7" spans="1:15" ht="12.75">
      <c r="A7" s="29">
        <v>40</v>
      </c>
      <c r="B7" s="61">
        <f t="shared" si="0"/>
        <v>100.23971268913334</v>
      </c>
      <c r="C7" s="29">
        <v>2.341</v>
      </c>
      <c r="D7" s="29">
        <f t="shared" si="1"/>
        <v>3.268036</v>
      </c>
      <c r="E7" s="38">
        <f t="shared" si="2"/>
        <v>0.30599418121465005</v>
      </c>
      <c r="F7" s="38">
        <f t="shared" si="4"/>
        <v>2.840974526540849</v>
      </c>
      <c r="G7" s="29">
        <f>SUM(F$3:F7)</f>
        <v>7.469282091863372</v>
      </c>
      <c r="H7" s="29">
        <f t="shared" si="3"/>
        <v>0.07469282091863372</v>
      </c>
      <c r="I7" s="29" t="str">
        <f>IF(H7&lt;40,"YES","NO")</f>
        <v>YES</v>
      </c>
      <c r="J7" s="29"/>
      <c r="M7" s="28"/>
      <c r="N7" s="28"/>
      <c r="O7" s="36"/>
    </row>
    <row r="8" spans="1:15" ht="12.75">
      <c r="A8" s="29">
        <v>80</v>
      </c>
      <c r="B8" s="61">
        <f t="shared" si="0"/>
        <v>152.6302722267113</v>
      </c>
      <c r="C8" s="29">
        <v>1.771</v>
      </c>
      <c r="D8" s="29">
        <f t="shared" si="1"/>
        <v>2.4723159999999997</v>
      </c>
      <c r="E8" s="38">
        <f t="shared" si="2"/>
        <v>0.4044790390872365</v>
      </c>
      <c r="F8" s="38">
        <f t="shared" si="4"/>
        <v>14.20946440603773</v>
      </c>
      <c r="G8" s="29">
        <f>SUM(F$3:F8)</f>
        <v>21.678746497901102</v>
      </c>
      <c r="H8" s="29">
        <f t="shared" si="3"/>
        <v>0.21678746497901102</v>
      </c>
      <c r="I8" s="29" t="str">
        <f>IF(H8&lt;40,"YES","NO")</f>
        <v>YES</v>
      </c>
      <c r="J8" s="29"/>
      <c r="M8" s="28"/>
      <c r="N8" s="28"/>
      <c r="O8" s="36"/>
    </row>
    <row r="9" spans="1:15" ht="12.75">
      <c r="A9" s="29">
        <v>100</v>
      </c>
      <c r="B9" s="61">
        <f t="shared" si="0"/>
        <v>176.40861656959956</v>
      </c>
      <c r="C9" s="29">
        <v>1.67</v>
      </c>
      <c r="D9" s="29">
        <f t="shared" si="1"/>
        <v>2.33132</v>
      </c>
      <c r="E9" s="38">
        <f t="shared" si="2"/>
        <v>0.42894154384640465</v>
      </c>
      <c r="F9" s="38">
        <f t="shared" si="4"/>
        <v>8.334205829336412</v>
      </c>
      <c r="G9" s="29">
        <f>SUM(F$3:F9)</f>
        <v>30.012952327237514</v>
      </c>
      <c r="H9" s="29">
        <f t="shared" si="3"/>
        <v>0.30012952327237513</v>
      </c>
      <c r="I9" s="29" t="str">
        <f>IF(H9&lt;40,"YES","NO")</f>
        <v>YES</v>
      </c>
      <c r="J9" s="29"/>
      <c r="M9" s="28"/>
      <c r="N9" s="28"/>
      <c r="O9" s="36"/>
    </row>
    <row r="10" spans="1:15" ht="12.75">
      <c r="A10" s="29">
        <v>140</v>
      </c>
      <c r="B10" s="61">
        <f t="shared" si="0"/>
        <v>221.7385848245632</v>
      </c>
      <c r="C10" s="29">
        <v>1.57</v>
      </c>
      <c r="D10" s="29">
        <f t="shared" si="1"/>
        <v>2.19172</v>
      </c>
      <c r="E10" s="38">
        <f t="shared" si="2"/>
        <v>0.45626266128885073</v>
      </c>
      <c r="F10" s="38">
        <f t="shared" si="4"/>
        <v>17.704084102705107</v>
      </c>
      <c r="G10" s="29">
        <f>SUM(F$3:F10)</f>
        <v>47.717036429942624</v>
      </c>
      <c r="H10" s="29">
        <f t="shared" si="3"/>
        <v>0.4771703642994263</v>
      </c>
      <c r="I10" s="29" t="str">
        <f>IF(H10&lt;40,"YES","NO")</f>
        <v>YES</v>
      </c>
      <c r="J10" s="29"/>
      <c r="M10" s="28"/>
      <c r="N10" s="28"/>
      <c r="O10" s="36"/>
    </row>
    <row r="11" spans="1:15" ht="12.75">
      <c r="A11" s="29">
        <v>200</v>
      </c>
      <c r="B11" s="61">
        <f t="shared" si="0"/>
        <v>286.77517326295873</v>
      </c>
      <c r="C11" s="29">
        <v>1.519</v>
      </c>
      <c r="D11" s="29">
        <f t="shared" si="1"/>
        <v>2.1205239999999996</v>
      </c>
      <c r="E11" s="38">
        <f t="shared" si="2"/>
        <v>0.47158155248419736</v>
      </c>
      <c r="F11" s="38">
        <f t="shared" si="4"/>
        <v>27.835326413191442</v>
      </c>
      <c r="G11" s="29">
        <f>SUM(F$3:F11)</f>
        <v>75.55236284313406</v>
      </c>
      <c r="H11" s="29">
        <f t="shared" si="3"/>
        <v>0.7555236284313407</v>
      </c>
      <c r="I11" s="29" t="str">
        <f>IF(H11&lt;40,"YES","NO")</f>
        <v>YES</v>
      </c>
      <c r="J11" s="29"/>
      <c r="M11" s="28"/>
      <c r="N11" s="28"/>
      <c r="O11" s="36"/>
    </row>
    <row r="12" spans="1:15" ht="12.75">
      <c r="A12" s="29">
        <v>266</v>
      </c>
      <c r="B12" s="61">
        <f t="shared" si="0"/>
        <v>356.27966543152587</v>
      </c>
      <c r="C12" s="29">
        <v>1.508</v>
      </c>
      <c r="D12" s="29">
        <f t="shared" si="1"/>
        <v>2.105168</v>
      </c>
      <c r="E12" s="38">
        <f t="shared" si="2"/>
        <v>0.47502147097048786</v>
      </c>
      <c r="F12" s="38">
        <f t="shared" si="4"/>
        <v>31.23789977400461</v>
      </c>
      <c r="G12" s="29">
        <f>SUM(F$3:F12)</f>
        <v>106.79026261713867</v>
      </c>
      <c r="H12" s="29">
        <f t="shared" si="3"/>
        <v>1.0679026261713866</v>
      </c>
      <c r="I12" s="29" t="str">
        <f>IF(H12&lt;40,"YES","NO")</f>
        <v>YES</v>
      </c>
      <c r="J12" s="29"/>
      <c r="M12" s="28"/>
      <c r="N12" s="28"/>
      <c r="O12" s="36"/>
    </row>
    <row r="13" spans="1:15" ht="12.75">
      <c r="A13" s="29">
        <v>300</v>
      </c>
      <c r="B13" s="61">
        <f t="shared" si="0"/>
        <v>391.6120529299373</v>
      </c>
      <c r="C13" s="29">
        <v>1.51</v>
      </c>
      <c r="D13" s="29">
        <f t="shared" si="1"/>
        <v>2.10796</v>
      </c>
      <c r="E13" s="38">
        <f t="shared" si="2"/>
        <v>0.4743923034592687</v>
      </c>
      <c r="F13" s="38">
        <f t="shared" si="4"/>
        <v>16.140034165305863</v>
      </c>
      <c r="G13" s="29">
        <f>SUM(F$3:F13)</f>
        <v>122.93029678244453</v>
      </c>
      <c r="H13" s="29">
        <f t="shared" si="3"/>
        <v>1.2293029678244454</v>
      </c>
      <c r="I13" s="29" t="str">
        <f>IF(H13&lt;40,"YES","NO")</f>
        <v>YES</v>
      </c>
      <c r="J13" s="29"/>
      <c r="M13" s="28"/>
      <c r="N13" s="28"/>
      <c r="O13" s="36"/>
    </row>
    <row r="14" spans="1:15" ht="12.75">
      <c r="A14" s="29">
        <v>400</v>
      </c>
      <c r="B14" s="61">
        <f t="shared" si="0"/>
        <v>494.4491884915982</v>
      </c>
      <c r="C14" s="29">
        <v>1.526</v>
      </c>
      <c r="D14" s="29">
        <f t="shared" si="1"/>
        <v>2.130296</v>
      </c>
      <c r="E14" s="38">
        <f t="shared" si="2"/>
        <v>0.46941833435353586</v>
      </c>
      <c r="F14" s="38">
        <f t="shared" si="4"/>
        <v>47.19053189064023</v>
      </c>
      <c r="G14" s="29">
        <f>SUM(F$3:F14)</f>
        <v>170.12082867308476</v>
      </c>
      <c r="H14" s="29">
        <f t="shared" si="3"/>
        <v>1.7012082867308476</v>
      </c>
      <c r="I14" s="29" t="str">
        <f>IF(H14&lt;40,"YES","NO")</f>
        <v>YES</v>
      </c>
      <c r="J14" s="29"/>
      <c r="M14" s="28"/>
      <c r="N14" s="28"/>
      <c r="O14" s="36"/>
    </row>
    <row r="15" spans="1:15" ht="12.75">
      <c r="A15" s="29">
        <v>800</v>
      </c>
      <c r="B15" s="61">
        <f t="shared" si="0"/>
        <v>899.4220366435326</v>
      </c>
      <c r="C15" s="29">
        <v>1.61</v>
      </c>
      <c r="D15" s="29">
        <f t="shared" si="1"/>
        <v>2.24756</v>
      </c>
      <c r="E15" s="38">
        <f t="shared" si="2"/>
        <v>0.4449269429959601</v>
      </c>
      <c r="F15" s="38">
        <f t="shared" si="4"/>
        <v>182.8690554698992</v>
      </c>
      <c r="G15" s="29">
        <f>SUM(F$3:F15)</f>
        <v>352.98988414298395</v>
      </c>
      <c r="H15" s="29">
        <f t="shared" si="3"/>
        <v>3.52989884142984</v>
      </c>
      <c r="I15" s="29" t="str">
        <f>IF(H15&lt;40,"YES","NO")</f>
        <v>YES</v>
      </c>
      <c r="J15" s="29"/>
      <c r="M15" s="28"/>
      <c r="N15" s="28"/>
      <c r="O15" s="36"/>
    </row>
    <row r="16" spans="1:15" ht="12.75">
      <c r="A16" s="62">
        <v>1000</v>
      </c>
      <c r="B16" s="61">
        <f t="shared" si="0"/>
        <v>1100.5453193758083</v>
      </c>
      <c r="C16" s="29">
        <v>1.645</v>
      </c>
      <c r="D16" s="29">
        <f t="shared" si="1"/>
        <v>2.29642</v>
      </c>
      <c r="E16" s="38">
        <f t="shared" si="2"/>
        <v>0.43546041229391835</v>
      </c>
      <c r="F16" s="38">
        <f t="shared" si="4"/>
        <v>88.03873552898784</v>
      </c>
      <c r="G16" s="29">
        <f>SUM(F$3:F16)</f>
        <v>441.0286196719718</v>
      </c>
      <c r="H16" s="29">
        <f t="shared" si="3"/>
        <v>4.410286196719718</v>
      </c>
      <c r="I16" s="29" t="str">
        <f>IF(H16&lt;40,"YES","NO")</f>
        <v>YES</v>
      </c>
      <c r="J16" s="29"/>
      <c r="M16" s="28"/>
      <c r="N16" s="28"/>
      <c r="O16" s="36"/>
    </row>
    <row r="17" spans="1:15" ht="12.75">
      <c r="A17" s="62">
        <v>1400</v>
      </c>
      <c r="B17" s="61">
        <f t="shared" si="0"/>
        <v>1501.892139935488</v>
      </c>
      <c r="C17" s="29">
        <v>1.7</v>
      </c>
      <c r="D17" s="29">
        <f t="shared" si="1"/>
        <v>2.3731999999999998</v>
      </c>
      <c r="E17" s="38">
        <f t="shared" si="2"/>
        <v>0.4213719871902916</v>
      </c>
      <c r="F17" s="38">
        <f t="shared" si="4"/>
        <v>171.366479896842</v>
      </c>
      <c r="G17" s="29">
        <f>SUM(F$3:F17)</f>
        <v>612.3950995688137</v>
      </c>
      <c r="H17" s="29">
        <f t="shared" si="3"/>
        <v>6.123950995688138</v>
      </c>
      <c r="I17" s="29" t="str">
        <f>IF(H17&lt;40,"YES","NO")</f>
        <v>YES</v>
      </c>
      <c r="J17" s="29"/>
      <c r="M17" s="28"/>
      <c r="N17" s="28"/>
      <c r="O17" s="36"/>
    </row>
    <row r="18" spans="1:15" ht="12.75">
      <c r="A18" s="62">
        <v>2000</v>
      </c>
      <c r="B18" s="61">
        <f t="shared" si="0"/>
        <v>2102.9503084951866</v>
      </c>
      <c r="C18" s="29">
        <v>1.761</v>
      </c>
      <c r="D18" s="29">
        <f t="shared" si="1"/>
        <v>2.4583559999999998</v>
      </c>
      <c r="E18" s="38">
        <f t="shared" si="2"/>
        <v>0.40677591040516514</v>
      </c>
      <c r="F18" s="38">
        <f t="shared" si="4"/>
        <v>248.44436927863705</v>
      </c>
      <c r="G18" s="29">
        <f>SUM(F$3:F18)</f>
        <v>860.8394688474508</v>
      </c>
      <c r="H18" s="29">
        <f t="shared" si="3"/>
        <v>8.608394688474508</v>
      </c>
      <c r="I18" s="29" t="str">
        <f>IF(H18&lt;40,"YES","NO")</f>
        <v>YES</v>
      </c>
      <c r="J18" s="29"/>
      <c r="M18" s="28"/>
      <c r="N18" s="28"/>
      <c r="O18" s="36"/>
    </row>
    <row r="19" spans="1:15" ht="12.75">
      <c r="A19" s="62">
        <v>3000</v>
      </c>
      <c r="B19" s="61">
        <f t="shared" si="0"/>
        <v>3103.8041175306153</v>
      </c>
      <c r="C19" s="29">
        <v>1.829</v>
      </c>
      <c r="D19" s="29">
        <f t="shared" si="1"/>
        <v>2.5532839999999997</v>
      </c>
      <c r="E19" s="38">
        <f t="shared" si="2"/>
        <v>0.3916524757919605</v>
      </c>
      <c r="F19" s="38">
        <f t="shared" si="4"/>
        <v>399.2141930985628</v>
      </c>
      <c r="G19" s="29">
        <f>SUM(F$3:F19)</f>
        <v>1260.0536619460136</v>
      </c>
      <c r="H19" s="29">
        <f t="shared" si="3"/>
        <v>12.600536619460136</v>
      </c>
      <c r="I19" s="29" t="str">
        <f>IF(H19&lt;40,"YES","NO")</f>
        <v>YES</v>
      </c>
      <c r="J19" s="29"/>
      <c r="M19" s="28"/>
      <c r="N19" s="28"/>
      <c r="O19" s="36"/>
    </row>
    <row r="20" spans="1:15" ht="12.75">
      <c r="A20" s="62">
        <v>4000</v>
      </c>
      <c r="B20" s="61">
        <f t="shared" si="0"/>
        <v>4104.241708281811</v>
      </c>
      <c r="C20" s="29">
        <v>1.877</v>
      </c>
      <c r="D20" s="29">
        <f t="shared" si="1"/>
        <v>2.6202919999999996</v>
      </c>
      <c r="E20" s="38">
        <f t="shared" si="2"/>
        <v>0.38163685573974204</v>
      </c>
      <c r="F20" s="38">
        <f t="shared" si="4"/>
        <v>386.64466576585124</v>
      </c>
      <c r="G20" s="29">
        <f>SUM(F$3:F20)</f>
        <v>1646.6983277118647</v>
      </c>
      <c r="H20" s="29">
        <f t="shared" si="3"/>
        <v>16.466983277118647</v>
      </c>
      <c r="I20" s="29" t="str">
        <f>IF(H20&lt;40,"YES","NO")</f>
        <v>YES</v>
      </c>
      <c r="J20" s="29"/>
      <c r="M20" s="28"/>
      <c r="N20" s="28"/>
      <c r="O20" s="36"/>
    </row>
    <row r="21" spans="1:15" ht="12.75">
      <c r="A21" s="62">
        <v>8000</v>
      </c>
      <c r="B21" s="61">
        <f t="shared" si="0"/>
        <v>8104.9120908249215</v>
      </c>
      <c r="C21" s="29">
        <v>1.991</v>
      </c>
      <c r="D21" s="29">
        <f t="shared" si="1"/>
        <v>2.779436</v>
      </c>
      <c r="E21" s="38">
        <f t="shared" si="2"/>
        <v>0.35978522261350865</v>
      </c>
      <c r="F21" s="38">
        <f t="shared" si="4"/>
        <v>1482.8441567065013</v>
      </c>
      <c r="G21" s="29">
        <f>SUM(F$3:F21)</f>
        <v>3129.5424844183663</v>
      </c>
      <c r="H21" s="29">
        <f t="shared" si="3"/>
        <v>31.295424844183664</v>
      </c>
      <c r="I21" s="29" t="str">
        <f>IF(H21&lt;40,"YES","NO")</f>
        <v>YES</v>
      </c>
      <c r="J21" s="29"/>
      <c r="M21" s="28"/>
      <c r="N21" s="28"/>
      <c r="O21" s="36"/>
    </row>
    <row r="22" spans="1:15" ht="12.75">
      <c r="A22" s="62">
        <v>10000</v>
      </c>
      <c r="B22" s="61">
        <f t="shared" si="0"/>
        <v>10105.048243328678</v>
      </c>
      <c r="C22" s="29">
        <v>2.028</v>
      </c>
      <c r="D22" s="29">
        <f t="shared" si="1"/>
        <v>2.831088</v>
      </c>
      <c r="E22" s="38">
        <f t="shared" si="2"/>
        <v>0.3532210937985679</v>
      </c>
      <c r="F22" s="38">
        <f t="shared" si="4"/>
        <v>713.0063164120766</v>
      </c>
      <c r="G22" s="29">
        <f>SUM(F$3:F22)</f>
        <v>3842.548800830443</v>
      </c>
      <c r="H22" s="29">
        <f t="shared" si="3"/>
        <v>38.42548800830443</v>
      </c>
      <c r="I22" s="29" t="str">
        <f>IF(H22&lt;40,"YES","NO")</f>
        <v>YES</v>
      </c>
      <c r="J22" s="29"/>
      <c r="M22" s="28"/>
      <c r="N22" s="28"/>
      <c r="O22" s="36"/>
    </row>
    <row r="23" spans="1:15" ht="12.75">
      <c r="A23" s="62">
        <v>14000</v>
      </c>
      <c r="B23" s="61">
        <f t="shared" si="0"/>
        <v>14105.204713154644</v>
      </c>
      <c r="C23" s="29">
        <v>2.084</v>
      </c>
      <c r="D23" s="29">
        <f t="shared" si="1"/>
        <v>2.909264</v>
      </c>
      <c r="E23" s="38">
        <f t="shared" si="2"/>
        <v>0.34372954809188855</v>
      </c>
      <c r="F23" s="38">
        <f t="shared" si="4"/>
        <v>1393.901283780913</v>
      </c>
      <c r="G23" s="29">
        <f>SUM(F$3:F23)</f>
        <v>5236.450084611356</v>
      </c>
      <c r="H23" s="29">
        <f t="shared" si="3"/>
        <v>52.364500846113565</v>
      </c>
      <c r="I23" s="29" t="str">
        <f>IF(H23&lt;40,"YES","NO")</f>
        <v>NO</v>
      </c>
      <c r="J23" s="29" t="str">
        <f>IF(H23&lt;57,"YES","NO")</f>
        <v>YES</v>
      </c>
      <c r="M23" s="28"/>
      <c r="N23" s="28"/>
      <c r="O23" s="36"/>
    </row>
    <row r="24" spans="1:15" ht="12.75">
      <c r="A24" s="62">
        <v>20000</v>
      </c>
      <c r="B24" s="61">
        <f t="shared" si="0"/>
        <v>20105.322678335706</v>
      </c>
      <c r="C24" s="29">
        <v>2.149</v>
      </c>
      <c r="D24" s="29">
        <f t="shared" si="1"/>
        <v>3.0000039999999997</v>
      </c>
      <c r="E24" s="38">
        <f t="shared" si="2"/>
        <v>0.33333288888948154</v>
      </c>
      <c r="F24" s="38">
        <f t="shared" si="4"/>
        <v>2031.18731094411</v>
      </c>
      <c r="G24" s="29">
        <f>SUM(F$3:F24)</f>
        <v>7267.637395555466</v>
      </c>
      <c r="H24" s="29">
        <f t="shared" si="3"/>
        <v>72.67637395555467</v>
      </c>
      <c r="I24" s="29" t="str">
        <f>IF(H24&lt;40,"YES","NO")</f>
        <v>NO</v>
      </c>
      <c r="J24" s="29" t="str">
        <f>IF(H24&lt;57,"YES","NO")</f>
        <v>NO</v>
      </c>
      <c r="M24" s="28"/>
      <c r="N24" s="28"/>
      <c r="O24" s="36"/>
    </row>
    <row r="25" spans="1:15" ht="12.75">
      <c r="A25" s="62">
        <v>30000</v>
      </c>
      <c r="B25" s="61">
        <f t="shared" si="0"/>
        <v>30105.414795348694</v>
      </c>
      <c r="C25" s="29">
        <v>2.232</v>
      </c>
      <c r="D25" s="29">
        <f t="shared" si="1"/>
        <v>3.115872</v>
      </c>
      <c r="E25" s="38">
        <f t="shared" si="2"/>
        <v>0.3209374454406343</v>
      </c>
      <c r="F25" s="38">
        <f t="shared" si="4"/>
        <v>3271.351671650579</v>
      </c>
      <c r="G25" s="29">
        <f>SUM(F$3:F25)</f>
        <v>10538.989067206046</v>
      </c>
      <c r="H25" s="29">
        <f t="shared" si="3"/>
        <v>105.38989067206046</v>
      </c>
      <c r="I25" s="29" t="str">
        <f>IF(H25&lt;40,"YES","NO")</f>
        <v>NO</v>
      </c>
      <c r="J25" s="29" t="str">
        <f>IF(H25&lt;57,"YES","NO")</f>
        <v>NO</v>
      </c>
      <c r="M25" s="28"/>
      <c r="N25" s="28"/>
      <c r="O25" s="36"/>
    </row>
    <row r="26" spans="1:15" ht="12.75">
      <c r="A26" s="62">
        <v>40000</v>
      </c>
      <c r="B26" s="61">
        <f t="shared" si="0"/>
        <v>40105.46097478497</v>
      </c>
      <c r="C26" s="29">
        <v>2.304</v>
      </c>
      <c r="D26" s="29">
        <f t="shared" si="1"/>
        <v>3.2163839999999997</v>
      </c>
      <c r="E26" s="38">
        <f t="shared" si="2"/>
        <v>0.31090815027061447</v>
      </c>
      <c r="F26" s="38">
        <f t="shared" si="4"/>
        <v>3159.2279785562437</v>
      </c>
      <c r="G26" s="29">
        <f>SUM(F$3:F26)</f>
        <v>13698.21704576229</v>
      </c>
      <c r="H26" s="29">
        <f t="shared" si="3"/>
        <v>136.9821704576229</v>
      </c>
      <c r="I26" s="29" t="str">
        <f>IF(H26&lt;40,"YES","NO")</f>
        <v>NO</v>
      </c>
      <c r="J26" s="29" t="str">
        <f>IF(H26&lt;57,"YES","NO")</f>
        <v>NO</v>
      </c>
      <c r="M26" s="28"/>
      <c r="N26" s="28"/>
      <c r="O26" s="36"/>
    </row>
    <row r="27" spans="1:15" ht="12.75">
      <c r="A27" s="62">
        <v>80000</v>
      </c>
      <c r="B27" s="61">
        <f t="shared" si="0"/>
        <v>80105.5303958472</v>
      </c>
      <c r="C27" s="29">
        <v>2.548</v>
      </c>
      <c r="D27" s="29">
        <f t="shared" si="1"/>
        <v>3.5570079999999997</v>
      </c>
      <c r="E27" s="38">
        <f t="shared" si="2"/>
        <v>0.2811351562886561</v>
      </c>
      <c r="F27" s="38">
        <f t="shared" si="4"/>
        <v>11840.86613118541</v>
      </c>
      <c r="G27" s="29">
        <f>SUM(F$3:F27)</f>
        <v>25539.0831769477</v>
      </c>
      <c r="H27" s="29">
        <f t="shared" si="3"/>
        <v>255.39083176947702</v>
      </c>
      <c r="I27" s="29" t="str">
        <f>IF(H27&lt;40,"YES","NO")</f>
        <v>NO</v>
      </c>
      <c r="J27" s="29" t="str">
        <f>IF(H27&lt;57,"YES","NO")</f>
        <v>NO</v>
      </c>
      <c r="M27" s="28"/>
      <c r="N27" s="28"/>
      <c r="O27" s="36"/>
    </row>
    <row r="28" spans="1:15" ht="12.75">
      <c r="A28" s="62">
        <v>100000</v>
      </c>
      <c r="B28" s="61">
        <f t="shared" si="0"/>
        <v>100105.54430200158</v>
      </c>
      <c r="C28" s="29">
        <v>2.663</v>
      </c>
      <c r="D28" s="29">
        <f t="shared" si="1"/>
        <v>3.7175479999999994</v>
      </c>
      <c r="E28" s="38">
        <f t="shared" si="2"/>
        <v>0.26899450928407653</v>
      </c>
      <c r="F28" s="38">
        <f t="shared" si="4"/>
        <v>5501.296655727326</v>
      </c>
      <c r="G28" s="29">
        <f>SUM(F$3:F28)</f>
        <v>31040.379832675026</v>
      </c>
      <c r="H28" s="29">
        <f t="shared" si="3"/>
        <v>310.4037983267503</v>
      </c>
      <c r="I28" s="29" t="str">
        <f>IF(H28&lt;40,"YES","NO")</f>
        <v>NO</v>
      </c>
      <c r="J28" s="29" t="str">
        <f>IF(H28&lt;57,"YES","NO")</f>
        <v>NO</v>
      </c>
      <c r="M28" s="28"/>
      <c r="N28" s="28"/>
      <c r="O28" s="36"/>
    </row>
    <row r="31" ht="20.25">
      <c r="A31" s="106" t="s">
        <v>81</v>
      </c>
    </row>
    <row r="32" spans="1:17" ht="39" customHeight="1">
      <c r="A32" s="74" t="s">
        <v>0</v>
      </c>
      <c r="B32" s="74"/>
      <c r="C32" s="74"/>
      <c r="D32" s="29" t="s">
        <v>1</v>
      </c>
      <c r="E32" s="29" t="s">
        <v>49</v>
      </c>
      <c r="F32" s="29" t="s">
        <v>52</v>
      </c>
      <c r="G32" s="29" t="s">
        <v>53</v>
      </c>
      <c r="H32" s="29" t="s">
        <v>54</v>
      </c>
      <c r="I32" s="38" t="s">
        <v>57</v>
      </c>
      <c r="J32" s="29" t="s">
        <v>55</v>
      </c>
      <c r="K32" s="38" t="s">
        <v>58</v>
      </c>
      <c r="L32" s="29" t="s">
        <v>56</v>
      </c>
      <c r="M32" s="38" t="s">
        <v>59</v>
      </c>
      <c r="N32" s="29" t="s">
        <v>56</v>
      </c>
      <c r="O32" s="38" t="s">
        <v>60</v>
      </c>
      <c r="P32" s="45"/>
      <c r="Q32" s="45"/>
    </row>
    <row r="33" spans="1:15" ht="12.75">
      <c r="A33" s="5">
        <v>0.2</v>
      </c>
      <c r="B33" s="7" t="s">
        <v>4</v>
      </c>
      <c r="C33" s="39">
        <v>0.3</v>
      </c>
      <c r="D33" s="26">
        <f>AVERAGE(A33,C33)</f>
        <v>0.25</v>
      </c>
      <c r="E33" s="29">
        <f>AVERAGE(H10:H11)</f>
        <v>0.6163469963653835</v>
      </c>
      <c r="F33" s="26">
        <f>(Integral!$C31-Integral!$A31)*Integral!E31</f>
        <v>2.4999999999999996</v>
      </c>
      <c r="G33" s="26">
        <f>(Integral!$C31-Integral!$A31)*Integral!G31</f>
        <v>2.2699999999999996</v>
      </c>
      <c r="H33" s="29">
        <f>$E33*F33</f>
        <v>1.5408674909134585</v>
      </c>
      <c r="I33" s="38">
        <f>H33*($C33-$A33)</f>
        <v>0.15408674909134581</v>
      </c>
      <c r="J33" s="29">
        <f aca="true" t="shared" si="5" ref="J33:J54">$E33*G33</f>
        <v>1.3991076817494204</v>
      </c>
      <c r="K33" s="38">
        <f>J33*($C33-$A33)</f>
        <v>0.139910768174942</v>
      </c>
      <c r="L33" s="29">
        <f aca="true" t="shared" si="6" ref="L33:L55">H33*PI()*20^2</f>
        <v>1936.3111958436234</v>
      </c>
      <c r="M33" s="38">
        <f aca="true" t="shared" si="7" ref="M33:M54">L33*($C33-$A33)</f>
        <v>193.6311195843623</v>
      </c>
      <c r="N33" s="29">
        <f aca="true" t="shared" si="8" ref="N33:N55">J33*PI()*20^2</f>
        <v>1758.1705658260103</v>
      </c>
      <c r="O33" s="38">
        <f aca="true" t="shared" si="9" ref="O33:O54">N33*($C33-$A33)</f>
        <v>175.817056582601</v>
      </c>
    </row>
    <row r="34" spans="1:15" ht="12.75">
      <c r="A34" s="8">
        <v>0.3</v>
      </c>
      <c r="B34" s="9" t="s">
        <v>4</v>
      </c>
      <c r="C34" s="21">
        <v>0.4</v>
      </c>
      <c r="D34" s="26">
        <f>AVERAGE(A34,C34)</f>
        <v>0.35</v>
      </c>
      <c r="E34" s="29">
        <f>AVERAGE(H12:H13)</f>
        <v>1.148602796997916</v>
      </c>
      <c r="F34" s="26">
        <f>(Integral!$C32-Integral!$A32)*Integral!E32</f>
        <v>3.0400000000000014</v>
      </c>
      <c r="G34" s="26">
        <f>(Integral!$C32-Integral!$A32)*Integral!G32</f>
        <v>3.2200000000000015</v>
      </c>
      <c r="H34" s="29">
        <f aca="true" t="shared" si="10" ref="H34:H54">$E34*F34</f>
        <v>3.4917525028736662</v>
      </c>
      <c r="I34" s="38">
        <f aca="true" t="shared" si="11" ref="I34:K54">H34*($C34-$A34)</f>
        <v>0.34917525028736673</v>
      </c>
      <c r="J34" s="29">
        <f t="shared" si="5"/>
        <v>3.6985010063332915</v>
      </c>
      <c r="K34" s="38">
        <f t="shared" si="11"/>
        <v>0.3698501006333293</v>
      </c>
      <c r="L34" s="29">
        <f t="shared" si="6"/>
        <v>4387.865604472673</v>
      </c>
      <c r="M34" s="38">
        <f t="shared" si="7"/>
        <v>438.78656044726745</v>
      </c>
      <c r="N34" s="29">
        <f t="shared" si="8"/>
        <v>4647.6734363164505</v>
      </c>
      <c r="O34" s="38">
        <f t="shared" si="9"/>
        <v>464.7673436316452</v>
      </c>
    </row>
    <row r="35" spans="1:15" ht="12.75">
      <c r="A35" s="12">
        <v>0.4</v>
      </c>
      <c r="B35" s="9" t="s">
        <v>4</v>
      </c>
      <c r="C35" s="14">
        <v>0.55</v>
      </c>
      <c r="D35" s="26">
        <v>0.47</v>
      </c>
      <c r="E35" s="29">
        <f>AVERAGE(H14)</f>
        <v>1.7012082867308476</v>
      </c>
      <c r="F35" s="26">
        <f>(Integral!$C33-Integral!$A33)*Integral!E33</f>
        <v>4.74</v>
      </c>
      <c r="G35" s="26">
        <f>(Integral!$C33-Integral!$A33)*Integral!G33</f>
        <v>5.73</v>
      </c>
      <c r="H35" s="29">
        <f t="shared" si="10"/>
        <v>8.063727279104217</v>
      </c>
      <c r="I35" s="38">
        <f t="shared" si="11"/>
        <v>1.2095590918656327</v>
      </c>
      <c r="J35" s="29">
        <f t="shared" si="5"/>
        <v>9.747923482967757</v>
      </c>
      <c r="K35" s="38">
        <f t="shared" si="11"/>
        <v>1.4621885224451636</v>
      </c>
      <c r="L35" s="29">
        <f t="shared" si="6"/>
        <v>10133.178552234167</v>
      </c>
      <c r="M35" s="38">
        <f t="shared" si="7"/>
        <v>1519.9767828351253</v>
      </c>
      <c r="N35" s="29">
        <f t="shared" si="8"/>
        <v>12249.601920738773</v>
      </c>
      <c r="O35" s="38">
        <f t="shared" si="9"/>
        <v>1837.4402881108163</v>
      </c>
    </row>
    <row r="36" spans="1:15" s="93" customFormat="1" ht="12.75">
      <c r="A36" s="88">
        <v>0.55</v>
      </c>
      <c r="B36" s="89" t="s">
        <v>4</v>
      </c>
      <c r="C36" s="90">
        <v>0.7</v>
      </c>
      <c r="D36" s="91">
        <v>0.62</v>
      </c>
      <c r="E36" s="64">
        <f>-0.1102897128+3.49873836*D36+0.5394652931*D36^2</f>
        <v>2.2662985290676403</v>
      </c>
      <c r="F36" s="91">
        <f>(Integral!$C34-Integral!$A34)*Integral!E34</f>
        <v>4.514999999999997</v>
      </c>
      <c r="G36" s="91">
        <f>(Integral!$C34-Integral!$A34)*Integral!G34</f>
        <v>5.969999999999997</v>
      </c>
      <c r="H36" s="64">
        <f>$E36*F36</f>
        <v>10.232337858740388</v>
      </c>
      <c r="I36" s="92">
        <f t="shared" si="11"/>
        <v>1.5348506788110574</v>
      </c>
      <c r="J36" s="64">
        <f t="shared" si="5"/>
        <v>13.529802218533806</v>
      </c>
      <c r="K36" s="92">
        <f t="shared" si="11"/>
        <v>2.0294703327800696</v>
      </c>
      <c r="L36" s="64">
        <f t="shared" si="6"/>
        <v>12858.334978427007</v>
      </c>
      <c r="M36" s="92">
        <f t="shared" si="7"/>
        <v>1928.75024676405</v>
      </c>
      <c r="N36" s="64">
        <f t="shared" si="8"/>
        <v>17002.050901707476</v>
      </c>
      <c r="O36" s="92">
        <f t="shared" si="9"/>
        <v>2550.3076352561197</v>
      </c>
    </row>
    <row r="37" spans="1:15" s="93" customFormat="1" ht="12.75">
      <c r="A37" s="94">
        <v>0.7</v>
      </c>
      <c r="B37" s="89" t="s">
        <v>4</v>
      </c>
      <c r="C37" s="95">
        <v>0.85</v>
      </c>
      <c r="D37" s="91">
        <v>0.78</v>
      </c>
      <c r="E37" s="64">
        <f>-0.1102897128+3.49873836*D37+0.5394652931*D37^2</f>
        <v>2.9469368923220403</v>
      </c>
      <c r="F37" s="91">
        <f>(Integral!$C35-Integral!$A35)*Integral!E35</f>
        <v>4.335000000000001</v>
      </c>
      <c r="G37" s="91">
        <f>(Integral!$C35-Integral!$A35)*Integral!G35</f>
        <v>5.700000000000001</v>
      </c>
      <c r="H37" s="64">
        <f>$E37*F37</f>
        <v>12.774971428216046</v>
      </c>
      <c r="I37" s="92">
        <f t="shared" si="11"/>
        <v>1.9162457142324072</v>
      </c>
      <c r="J37" s="64">
        <f t="shared" si="5"/>
        <v>16.797540286235634</v>
      </c>
      <c r="K37" s="92">
        <f t="shared" si="11"/>
        <v>2.5196310429353455</v>
      </c>
      <c r="L37" s="64">
        <f t="shared" si="6"/>
        <v>16053.502555481216</v>
      </c>
      <c r="M37" s="92">
        <f t="shared" si="7"/>
        <v>2408.0253833221827</v>
      </c>
      <c r="N37" s="64">
        <f t="shared" si="8"/>
        <v>21108.411664646585</v>
      </c>
      <c r="O37" s="92">
        <f t="shared" si="9"/>
        <v>3166.2617496969883</v>
      </c>
    </row>
    <row r="38" spans="1:15" ht="12.75">
      <c r="A38" s="8">
        <v>0.85</v>
      </c>
      <c r="B38" s="9" t="s">
        <v>4</v>
      </c>
      <c r="C38" s="22">
        <v>1</v>
      </c>
      <c r="D38" s="26">
        <v>0.92</v>
      </c>
      <c r="E38" s="29">
        <f>H15</f>
        <v>3.52989884142984</v>
      </c>
      <c r="F38" s="26">
        <f>(Integral!$C36-Integral!$A36)*Integral!E36</f>
        <v>4.035</v>
      </c>
      <c r="G38" s="26">
        <f>(Integral!$C36-Integral!$A36)*Integral!G36</f>
        <v>5.34</v>
      </c>
      <c r="H38" s="29">
        <f t="shared" si="10"/>
        <v>14.243141825169404</v>
      </c>
      <c r="I38" s="38">
        <f t="shared" si="11"/>
        <v>2.136471273775411</v>
      </c>
      <c r="J38" s="29">
        <f t="shared" si="5"/>
        <v>18.849659813235345</v>
      </c>
      <c r="K38" s="38">
        <f t="shared" si="11"/>
        <v>2.827448971985302</v>
      </c>
      <c r="L38" s="29">
        <f t="shared" si="6"/>
        <v>17898.459888795885</v>
      </c>
      <c r="M38" s="38">
        <f t="shared" si="7"/>
        <v>2684.768983319383</v>
      </c>
      <c r="N38" s="29">
        <f t="shared" si="8"/>
        <v>23687.181116770764</v>
      </c>
      <c r="O38" s="38">
        <f t="shared" si="9"/>
        <v>3553.077167515615</v>
      </c>
    </row>
    <row r="39" spans="1:15" ht="12.75">
      <c r="A39" s="13">
        <v>1</v>
      </c>
      <c r="B39" s="9" t="s">
        <v>4</v>
      </c>
      <c r="C39" s="14">
        <v>1.2</v>
      </c>
      <c r="D39" s="26">
        <f>AVERAGE(A39,C39)</f>
        <v>1.1</v>
      </c>
      <c r="E39" s="29">
        <f>H16</f>
        <v>4.410286196719718</v>
      </c>
      <c r="F39" s="26">
        <f>(Integral!$C37-Integral!$A37)*Integral!E37</f>
        <v>4.799999999999999</v>
      </c>
      <c r="G39" s="26">
        <f>(Integral!$C37-Integral!$A37)*Integral!G37</f>
        <v>6.499999999999998</v>
      </c>
      <c r="H39" s="29">
        <f t="shared" si="10"/>
        <v>21.169373744254642</v>
      </c>
      <c r="I39" s="38">
        <f t="shared" si="11"/>
        <v>4.233874748850927</v>
      </c>
      <c r="J39" s="29">
        <f t="shared" si="5"/>
        <v>28.666860278678158</v>
      </c>
      <c r="K39" s="38">
        <f t="shared" si="11"/>
        <v>5.7333720557356305</v>
      </c>
      <c r="L39" s="29">
        <f t="shared" si="6"/>
        <v>26602.219614418813</v>
      </c>
      <c r="M39" s="38">
        <f t="shared" si="7"/>
        <v>5320.443922883762</v>
      </c>
      <c r="N39" s="29">
        <f t="shared" si="8"/>
        <v>36023.839061192135</v>
      </c>
      <c r="O39" s="38">
        <f t="shared" si="9"/>
        <v>7204.767812238425</v>
      </c>
    </row>
    <row r="40" spans="1:15" s="93" customFormat="1" ht="12.75">
      <c r="A40" s="88">
        <v>1.2</v>
      </c>
      <c r="B40" s="89" t="s">
        <v>4</v>
      </c>
      <c r="C40" s="96">
        <v>1.4</v>
      </c>
      <c r="D40" s="91">
        <f>AVERAGE(A40,C40)</f>
        <v>1.2999999999999998</v>
      </c>
      <c r="E40" s="64">
        <f>-1.189343882+5.555658472*D40-0.4452751511*D40^2</f>
        <v>5.2804971262409985</v>
      </c>
      <c r="F40" s="91">
        <f>(Integral!$C38-Integral!$A38)*Integral!E38</f>
        <v>4.419999999999999</v>
      </c>
      <c r="G40" s="91">
        <f>(Integral!$C38-Integral!$A38)*Integral!G38</f>
        <v>5.659999999999999</v>
      </c>
      <c r="H40" s="64">
        <f>$E40*F40</f>
        <v>23.339797297985207</v>
      </c>
      <c r="I40" s="92">
        <f t="shared" si="11"/>
        <v>4.66795945959704</v>
      </c>
      <c r="J40" s="64">
        <f t="shared" si="5"/>
        <v>29.88761373452405</v>
      </c>
      <c r="K40" s="92">
        <f t="shared" si="11"/>
        <v>5.977522746904809</v>
      </c>
      <c r="L40" s="64">
        <f t="shared" si="6"/>
        <v>29329.654291050094</v>
      </c>
      <c r="M40" s="92">
        <f t="shared" si="7"/>
        <v>5865.9308582100175</v>
      </c>
      <c r="N40" s="64">
        <f t="shared" si="8"/>
        <v>37557.88309668406</v>
      </c>
      <c r="O40" s="92">
        <f t="shared" si="9"/>
        <v>7511.576619336811</v>
      </c>
    </row>
    <row r="41" spans="1:15" ht="12.75">
      <c r="A41" s="13">
        <v>1.4</v>
      </c>
      <c r="B41" s="9" t="s">
        <v>4</v>
      </c>
      <c r="C41" s="14">
        <v>1.6</v>
      </c>
      <c r="D41" s="26">
        <f>AVERAGE(A41,C41)</f>
        <v>1.5</v>
      </c>
      <c r="E41" s="29">
        <f>H17</f>
        <v>6.123950995688138</v>
      </c>
      <c r="F41" s="26">
        <f>(Integral!$C39-Integral!$A39)*Integral!E39</f>
        <v>3.780000000000003</v>
      </c>
      <c r="G41" s="26">
        <f>(Integral!$C39-Integral!$A39)*Integral!G39</f>
        <v>5.060000000000005</v>
      </c>
      <c r="H41" s="65">
        <f t="shared" si="10"/>
        <v>23.14853476370118</v>
      </c>
      <c r="I41" s="38">
        <f t="shared" si="11"/>
        <v>4.62970695274024</v>
      </c>
      <c r="J41" s="65">
        <f t="shared" si="5"/>
        <v>30.98719203818201</v>
      </c>
      <c r="K41" s="38">
        <f t="shared" si="11"/>
        <v>6.197438407636407</v>
      </c>
      <c r="L41" s="65">
        <f t="shared" si="6"/>
        <v>29089.306702004626</v>
      </c>
      <c r="M41" s="38">
        <f t="shared" si="7"/>
        <v>5817.86134040093</v>
      </c>
      <c r="N41" s="65">
        <f t="shared" si="8"/>
        <v>38939.653945011494</v>
      </c>
      <c r="O41" s="38">
        <f t="shared" si="9"/>
        <v>7787.930789002306</v>
      </c>
    </row>
    <row r="42" spans="1:15" s="101" customFormat="1" ht="12.75">
      <c r="A42" s="97">
        <v>1.6</v>
      </c>
      <c r="B42" s="98" t="s">
        <v>4</v>
      </c>
      <c r="C42" s="99">
        <v>2.1</v>
      </c>
      <c r="D42" s="42">
        <v>1.84</v>
      </c>
      <c r="E42" s="87">
        <f>-0.087158234+4.140739487*D42</f>
        <v>7.53180242208</v>
      </c>
      <c r="F42" s="42">
        <f>(Integral!$C40-Integral!$A40)*Integral!E40</f>
        <v>8.2</v>
      </c>
      <c r="G42" s="42">
        <f>(Integral!$C40-Integral!$A40)*Integral!G40</f>
        <v>9.6</v>
      </c>
      <c r="H42" s="87">
        <f t="shared" si="10"/>
        <v>61.760779861055994</v>
      </c>
      <c r="I42" s="100">
        <f t="shared" si="11"/>
        <v>30.880389930527997</v>
      </c>
      <c r="J42" s="87">
        <f t="shared" si="5"/>
        <v>72.305303251968</v>
      </c>
      <c r="K42" s="100">
        <f t="shared" si="11"/>
        <v>36.152651625984</v>
      </c>
      <c r="L42" s="87">
        <f t="shared" si="6"/>
        <v>77610.88491658798</v>
      </c>
      <c r="M42" s="100">
        <f t="shared" si="7"/>
        <v>38805.44245829399</v>
      </c>
      <c r="N42" s="87">
        <f t="shared" si="8"/>
        <v>90861.52380478595</v>
      </c>
      <c r="O42" s="100">
        <f t="shared" si="9"/>
        <v>45430.76190239297</v>
      </c>
    </row>
    <row r="43" spans="1:15" s="93" customFormat="1" ht="12.75">
      <c r="A43" s="102">
        <v>2.1</v>
      </c>
      <c r="B43" s="89" t="s">
        <v>4</v>
      </c>
      <c r="C43" s="95">
        <v>2.94</v>
      </c>
      <c r="D43" s="91">
        <v>2.49</v>
      </c>
      <c r="E43" s="64">
        <f>0.0551278353+3.968404669*D43+0.0516333873*D43^2</f>
        <v>10.25658762570873</v>
      </c>
      <c r="F43" s="91">
        <f>(Integral!$C41-Integral!$A41)*Integral!E41</f>
        <v>9.911999999999999</v>
      </c>
      <c r="G43" s="91">
        <f>(Integral!$C41-Integral!$A41)*Integral!G41</f>
        <v>10.667999999999997</v>
      </c>
      <c r="H43" s="64">
        <f>$E43*F43</f>
        <v>101.66329654602492</v>
      </c>
      <c r="I43" s="92">
        <f t="shared" si="11"/>
        <v>85.39716909866092</v>
      </c>
      <c r="J43" s="64">
        <f t="shared" si="5"/>
        <v>109.41727679106071</v>
      </c>
      <c r="K43" s="92">
        <f t="shared" si="11"/>
        <v>91.91051250449098</v>
      </c>
      <c r="L43" s="64">
        <f t="shared" si="6"/>
        <v>127753.86622748499</v>
      </c>
      <c r="M43" s="92">
        <f t="shared" si="7"/>
        <v>107313.24763108738</v>
      </c>
      <c r="N43" s="64">
        <f t="shared" si="8"/>
        <v>137497.80517703894</v>
      </c>
      <c r="O43" s="92">
        <f t="shared" si="9"/>
        <v>115498.1563487127</v>
      </c>
    </row>
    <row r="44" spans="1:15" ht="12.75">
      <c r="A44" s="8">
        <v>2.94</v>
      </c>
      <c r="B44" s="9" t="s">
        <v>4</v>
      </c>
      <c r="C44" s="21">
        <v>4.12</v>
      </c>
      <c r="D44" s="26">
        <v>3.49</v>
      </c>
      <c r="E44" s="29">
        <f>AVERAGE(H19:H20)</f>
        <v>14.533759948289392</v>
      </c>
      <c r="F44" s="26">
        <f>(Integral!$C42-Integral!$A42)*Integral!E42</f>
        <v>8.850000000000001</v>
      </c>
      <c r="G44" s="26">
        <f>(Integral!$C42-Integral!$A42)*Integral!G42</f>
        <v>10.218800000000002</v>
      </c>
      <c r="H44" s="29">
        <f t="shared" si="10"/>
        <v>128.62377554236113</v>
      </c>
      <c r="I44" s="38">
        <f t="shared" si="11"/>
        <v>151.77605513998614</v>
      </c>
      <c r="J44" s="29">
        <f t="shared" si="5"/>
        <v>148.51758615957965</v>
      </c>
      <c r="K44" s="38">
        <f t="shared" si="11"/>
        <v>175.25075166830402</v>
      </c>
      <c r="L44" s="29">
        <f t="shared" si="6"/>
        <v>161633.40332834568</v>
      </c>
      <c r="M44" s="38">
        <f t="shared" si="7"/>
        <v>190727.41592744793</v>
      </c>
      <c r="N44" s="29">
        <f t="shared" si="8"/>
        <v>186632.70304312982</v>
      </c>
      <c r="O44" s="38">
        <f t="shared" si="9"/>
        <v>220226.5895908932</v>
      </c>
    </row>
    <row r="45" spans="1:15" s="93" customFormat="1" ht="12.75">
      <c r="A45" s="94">
        <v>4.12</v>
      </c>
      <c r="B45" s="89" t="s">
        <v>4</v>
      </c>
      <c r="C45" s="95">
        <v>5.5</v>
      </c>
      <c r="D45" s="91">
        <v>4.78</v>
      </c>
      <c r="E45" s="64">
        <f>0.5093610437+3.95721976*D45+0.0175453103</f>
        <v>19.442416806800004</v>
      </c>
      <c r="F45" s="91">
        <f>(Integral!$C43-Integral!$A43)*Integral!E43</f>
        <v>6.223799999999999</v>
      </c>
      <c r="G45" s="91">
        <f>(Integral!$C43-Integral!$A43)*Integral!G43</f>
        <v>7.244999999999999</v>
      </c>
      <c r="H45" s="64">
        <f>$E45*F45</f>
        <v>121.00571372216184</v>
      </c>
      <c r="I45" s="92">
        <f t="shared" si="11"/>
        <v>166.98788493658333</v>
      </c>
      <c r="J45" s="64">
        <f t="shared" si="5"/>
        <v>140.860309765266</v>
      </c>
      <c r="K45" s="92">
        <f t="shared" si="11"/>
        <v>194.38722747606707</v>
      </c>
      <c r="L45" s="64">
        <f t="shared" si="6"/>
        <v>152060.2645087733</v>
      </c>
      <c r="M45" s="92">
        <f t="shared" si="7"/>
        <v>209843.16502210716</v>
      </c>
      <c r="N45" s="64">
        <f t="shared" si="8"/>
        <v>177010.2857363769</v>
      </c>
      <c r="O45" s="92">
        <f t="shared" si="9"/>
        <v>244274.19431620013</v>
      </c>
    </row>
    <row r="46" spans="1:15" s="93" customFormat="1" ht="12.75">
      <c r="A46" s="88">
        <v>5.5</v>
      </c>
      <c r="B46" s="89" t="s">
        <v>4</v>
      </c>
      <c r="C46" s="96">
        <v>7</v>
      </c>
      <c r="D46" s="91">
        <v>6.21</v>
      </c>
      <c r="E46" s="64">
        <f>0.5093610437+3.95721976*D46+0.0175453103</f>
        <v>25.1012410636</v>
      </c>
      <c r="F46" s="91">
        <f>(Integral!$C44-Integral!$A44)*Integral!E44</f>
        <v>4.290000000000001</v>
      </c>
      <c r="G46" s="91">
        <f>(Integral!$C44-Integral!$A44)*Integral!G44</f>
        <v>4.7250000000000005</v>
      </c>
      <c r="H46" s="64">
        <f>$E46*F46</f>
        <v>107.68432416284402</v>
      </c>
      <c r="I46" s="92">
        <f t="shared" si="11"/>
        <v>161.52648624426604</v>
      </c>
      <c r="J46" s="64">
        <f t="shared" si="5"/>
        <v>118.60336402551002</v>
      </c>
      <c r="K46" s="92">
        <f t="shared" si="11"/>
        <v>177.90504603826503</v>
      </c>
      <c r="L46" s="64">
        <f t="shared" si="6"/>
        <v>135320.11267870906</v>
      </c>
      <c r="M46" s="92">
        <f t="shared" si="7"/>
        <v>202980.16901806358</v>
      </c>
      <c r="N46" s="64">
        <f t="shared" si="8"/>
        <v>149041.38284543128</v>
      </c>
      <c r="O46" s="92">
        <f t="shared" si="9"/>
        <v>223562.0742681469</v>
      </c>
    </row>
    <row r="47" spans="1:15" ht="12.75">
      <c r="A47" s="13">
        <v>7</v>
      </c>
      <c r="B47" s="9" t="s">
        <v>4</v>
      </c>
      <c r="C47" s="22">
        <v>10</v>
      </c>
      <c r="D47" s="26">
        <v>8.37</v>
      </c>
      <c r="E47" s="29">
        <f>AVERAGE(H21:H22)</f>
        <v>34.86045642624404</v>
      </c>
      <c r="F47" s="26">
        <f>(Integral!$C45-Integral!$A45)*Integral!E45</f>
        <v>4.7700000000000005</v>
      </c>
      <c r="G47" s="26">
        <f>(Integral!$C45-Integral!$A45)*Integral!G45</f>
        <v>5.4</v>
      </c>
      <c r="H47" s="29">
        <f t="shared" si="10"/>
        <v>166.2843771531841</v>
      </c>
      <c r="I47" s="38">
        <f t="shared" si="11"/>
        <v>498.8531314595523</v>
      </c>
      <c r="J47" s="29">
        <f t="shared" si="5"/>
        <v>188.24646470171783</v>
      </c>
      <c r="K47" s="38">
        <f t="shared" si="11"/>
        <v>564.7393941051535</v>
      </c>
      <c r="L47" s="29">
        <f t="shared" si="6"/>
        <v>208959.11106847902</v>
      </c>
      <c r="M47" s="38">
        <f t="shared" si="7"/>
        <v>626877.333205437</v>
      </c>
      <c r="N47" s="29">
        <f t="shared" si="8"/>
        <v>236557.4842284668</v>
      </c>
      <c r="O47" s="38">
        <f t="shared" si="9"/>
        <v>709672.4526854004</v>
      </c>
    </row>
    <row r="48" spans="1:15" ht="12.75">
      <c r="A48" s="13">
        <v>10</v>
      </c>
      <c r="B48" s="9" t="s">
        <v>4</v>
      </c>
      <c r="C48" s="22">
        <v>15.5</v>
      </c>
      <c r="D48" s="26">
        <v>12.42</v>
      </c>
      <c r="E48" s="29">
        <f>H23</f>
        <v>52.364500846113565</v>
      </c>
      <c r="F48" s="26">
        <f>(Integral!$C46-Integral!$A46)*Integral!E46</f>
        <v>3.8389999999999995</v>
      </c>
      <c r="G48" s="26">
        <f>(Integral!$C46-Integral!$A46)*Integral!G46</f>
        <v>4.037</v>
      </c>
      <c r="H48" s="29">
        <f t="shared" si="10"/>
        <v>201.02731874822996</v>
      </c>
      <c r="I48" s="38">
        <f t="shared" si="11"/>
        <v>1105.6502531152648</v>
      </c>
      <c r="J48" s="29">
        <f t="shared" si="5"/>
        <v>211.39548991576046</v>
      </c>
      <c r="K48" s="38">
        <f t="shared" si="11"/>
        <v>1162.6751945366825</v>
      </c>
      <c r="L48" s="29">
        <f t="shared" si="6"/>
        <v>252618.3791001172</v>
      </c>
      <c r="M48" s="38">
        <f t="shared" si="7"/>
        <v>1389401.0850506446</v>
      </c>
      <c r="N48" s="29">
        <f t="shared" si="8"/>
        <v>265647.4072485473</v>
      </c>
      <c r="O48" s="38">
        <f t="shared" si="9"/>
        <v>1461060.7398670102</v>
      </c>
    </row>
    <row r="49" spans="1:15" s="93" customFormat="1" ht="12.75">
      <c r="A49" s="102">
        <v>15.5</v>
      </c>
      <c r="B49" s="89" t="s">
        <v>4</v>
      </c>
      <c r="C49" s="96">
        <v>23</v>
      </c>
      <c r="D49" s="91">
        <v>18.85</v>
      </c>
      <c r="E49" s="64">
        <f aca="true" t="shared" si="12" ref="E49:E54">(40+57)/2</f>
        <v>48.5</v>
      </c>
      <c r="F49" s="91">
        <f>(Integral!$C47-Integral!$A47)*Integral!E47</f>
        <v>1.845</v>
      </c>
      <c r="G49" s="91">
        <f>(Integral!$C47-Integral!$A47)*Integral!G47</f>
        <v>2.0250000000000004</v>
      </c>
      <c r="H49" s="64">
        <f t="shared" si="10"/>
        <v>89.4825</v>
      </c>
      <c r="I49" s="92">
        <f t="shared" si="11"/>
        <v>671.11875</v>
      </c>
      <c r="J49" s="64">
        <f t="shared" si="5"/>
        <v>98.21250000000002</v>
      </c>
      <c r="K49" s="92">
        <f t="shared" si="11"/>
        <v>736.5937500000001</v>
      </c>
      <c r="L49" s="64">
        <f t="shared" si="6"/>
        <v>112447.02584993947</v>
      </c>
      <c r="M49" s="92">
        <f t="shared" si="7"/>
        <v>843352.693874546</v>
      </c>
      <c r="N49" s="64">
        <f t="shared" si="8"/>
        <v>123417.46739627504</v>
      </c>
      <c r="O49" s="92">
        <f t="shared" si="9"/>
        <v>925631.0054720627</v>
      </c>
    </row>
    <row r="50" spans="1:15" s="93" customFormat="1" ht="12.75">
      <c r="A50" s="102">
        <v>23</v>
      </c>
      <c r="B50" s="89" t="s">
        <v>4</v>
      </c>
      <c r="C50" s="96">
        <v>31.1</v>
      </c>
      <c r="D50" s="91">
        <v>26.68</v>
      </c>
      <c r="E50" s="64">
        <f t="shared" si="12"/>
        <v>48.5</v>
      </c>
      <c r="F50" s="91">
        <f>(Integral!$C48-Integral!$A48)*Integral!E48</f>
        <v>0.8829000000000001</v>
      </c>
      <c r="G50" s="91">
        <f>(Integral!$C48-Integral!$A48)*Integral!G48</f>
        <v>0.8829000000000001</v>
      </c>
      <c r="H50" s="64">
        <f t="shared" si="10"/>
        <v>42.82065000000001</v>
      </c>
      <c r="I50" s="92">
        <f t="shared" si="11"/>
        <v>346.8472650000001</v>
      </c>
      <c r="J50" s="64">
        <f t="shared" si="5"/>
        <v>42.82065000000001</v>
      </c>
      <c r="K50" s="92">
        <f t="shared" si="11"/>
        <v>346.8472650000001</v>
      </c>
      <c r="L50" s="64">
        <f t="shared" si="6"/>
        <v>53810.01578477592</v>
      </c>
      <c r="M50" s="92">
        <f t="shared" si="7"/>
        <v>435861.127856685</v>
      </c>
      <c r="N50" s="64">
        <f t="shared" si="8"/>
        <v>53810.01578477592</v>
      </c>
      <c r="O50" s="92">
        <f t="shared" si="9"/>
        <v>435861.127856685</v>
      </c>
    </row>
    <row r="51" spans="1:15" s="93" customFormat="1" ht="12.75">
      <c r="A51" s="102">
        <v>31.1</v>
      </c>
      <c r="B51" s="89" t="s">
        <v>4</v>
      </c>
      <c r="C51" s="95">
        <v>43.6</v>
      </c>
      <c r="D51" s="91">
        <v>36.69</v>
      </c>
      <c r="E51" s="64">
        <f t="shared" si="12"/>
        <v>48.5</v>
      </c>
      <c r="F51" s="91">
        <f>(Integral!$C49-Integral!$A49)*Integral!E49</f>
        <v>0.5875</v>
      </c>
      <c r="G51" s="91">
        <f>(Integral!$C49-Integral!$A49)*Integral!G49</f>
        <v>0.6037499999999999</v>
      </c>
      <c r="H51" s="64">
        <f t="shared" si="10"/>
        <v>28.493750000000002</v>
      </c>
      <c r="I51" s="92">
        <f t="shared" si="11"/>
        <v>356.171875</v>
      </c>
      <c r="J51" s="64">
        <f t="shared" si="5"/>
        <v>29.281874999999996</v>
      </c>
      <c r="K51" s="92">
        <f t="shared" si="11"/>
        <v>366.02343749999994</v>
      </c>
      <c r="L51" s="64">
        <f t="shared" si="6"/>
        <v>35806.30226928967</v>
      </c>
      <c r="M51" s="92">
        <f t="shared" si="7"/>
        <v>447578.7783661209</v>
      </c>
      <c r="N51" s="64">
        <f t="shared" si="8"/>
        <v>36796.689353333844</v>
      </c>
      <c r="O51" s="92">
        <f t="shared" si="9"/>
        <v>459958.616916673</v>
      </c>
    </row>
    <row r="52" spans="1:15" s="93" customFormat="1" ht="12.75">
      <c r="A52" s="88">
        <v>43.6</v>
      </c>
      <c r="B52" s="89" t="s">
        <v>4</v>
      </c>
      <c r="C52" s="96">
        <v>61.1</v>
      </c>
      <c r="D52" s="91">
        <v>51.47</v>
      </c>
      <c r="E52" s="64">
        <f t="shared" si="12"/>
        <v>48.5</v>
      </c>
      <c r="F52" s="91">
        <f>(Integral!$C50-Integral!$A50)*Integral!E50</f>
        <v>0.29750000000000004</v>
      </c>
      <c r="G52" s="91">
        <f>(Integral!$C50-Integral!$A50)*Integral!G50</f>
        <v>0.31325</v>
      </c>
      <c r="H52" s="64">
        <f t="shared" si="10"/>
        <v>14.428750000000003</v>
      </c>
      <c r="I52" s="92">
        <f t="shared" si="11"/>
        <v>252.50312500000004</v>
      </c>
      <c r="J52" s="64">
        <f t="shared" si="5"/>
        <v>15.192624999999998</v>
      </c>
      <c r="K52" s="92">
        <f t="shared" si="11"/>
        <v>265.87093749999997</v>
      </c>
      <c r="L52" s="64">
        <f t="shared" si="6"/>
        <v>18131.702000193494</v>
      </c>
      <c r="M52" s="92">
        <f t="shared" si="7"/>
        <v>317304.78500338615</v>
      </c>
      <c r="N52" s="64">
        <f t="shared" si="8"/>
        <v>19091.61563549785</v>
      </c>
      <c r="O52" s="92">
        <f t="shared" si="9"/>
        <v>334103.27362121234</v>
      </c>
    </row>
    <row r="53" spans="1:15" s="93" customFormat="1" ht="12.75">
      <c r="A53" s="102">
        <v>61.1</v>
      </c>
      <c r="B53" s="89" t="s">
        <v>4</v>
      </c>
      <c r="C53" s="95">
        <v>85.6</v>
      </c>
      <c r="D53" s="91">
        <v>72.08</v>
      </c>
      <c r="E53" s="64">
        <f t="shared" si="12"/>
        <v>48.5</v>
      </c>
      <c r="F53" s="91">
        <f>(Integral!$C51-Integral!$A51)*Integral!E51</f>
        <v>0.16169999999999995</v>
      </c>
      <c r="G53" s="91">
        <f>(Integral!$C51-Integral!$A51)*Integral!G51</f>
        <v>0.18129999999999996</v>
      </c>
      <c r="H53" s="64">
        <f t="shared" si="10"/>
        <v>7.842449999999998</v>
      </c>
      <c r="I53" s="92">
        <f t="shared" si="11"/>
        <v>192.1400249999999</v>
      </c>
      <c r="J53" s="64">
        <f t="shared" si="5"/>
        <v>8.793049999999997</v>
      </c>
      <c r="K53" s="92">
        <f t="shared" si="11"/>
        <v>215.42972499999988</v>
      </c>
      <c r="L53" s="64">
        <f t="shared" si="6"/>
        <v>9855.113322458106</v>
      </c>
      <c r="M53" s="92">
        <f t="shared" si="7"/>
        <v>241450.27640022352</v>
      </c>
      <c r="N53" s="64">
        <f t="shared" si="8"/>
        <v>11049.67251305909</v>
      </c>
      <c r="O53" s="92">
        <f t="shared" si="9"/>
        <v>270716.9765699476</v>
      </c>
    </row>
    <row r="54" spans="1:15" s="93" customFormat="1" ht="12.75">
      <c r="A54" s="88">
        <v>85.6</v>
      </c>
      <c r="B54" s="89" t="s">
        <v>4</v>
      </c>
      <c r="C54" s="96">
        <v>120</v>
      </c>
      <c r="D54" s="91">
        <v>100.96</v>
      </c>
      <c r="E54" s="64">
        <f t="shared" si="12"/>
        <v>48.5</v>
      </c>
      <c r="F54" s="91">
        <f>(Integral!$C52-Integral!$A52)*Integral!E52</f>
        <v>0.08944</v>
      </c>
      <c r="G54" s="91">
        <f>(Integral!$C52-Integral!$A52)*Integral!G52</f>
        <v>0.08944</v>
      </c>
      <c r="H54" s="64">
        <f t="shared" si="10"/>
        <v>4.33784</v>
      </c>
      <c r="I54" s="92">
        <f t="shared" si="11"/>
        <v>149.221696</v>
      </c>
      <c r="J54" s="64">
        <f t="shared" si="5"/>
        <v>4.33784</v>
      </c>
      <c r="K54" s="92">
        <f t="shared" si="11"/>
        <v>149.221696</v>
      </c>
      <c r="L54" s="64">
        <f t="shared" si="6"/>
        <v>5451.090510579179</v>
      </c>
      <c r="M54" s="92">
        <f t="shared" si="7"/>
        <v>187517.5135639238</v>
      </c>
      <c r="N54" s="64">
        <f t="shared" si="8"/>
        <v>5451.090510579179</v>
      </c>
      <c r="O54" s="92">
        <f t="shared" si="9"/>
        <v>187517.5135639238</v>
      </c>
    </row>
    <row r="55" spans="1:15" s="45" customFormat="1" ht="12.75" customHeight="1">
      <c r="A55" s="103" t="s">
        <v>79</v>
      </c>
      <c r="B55" s="103"/>
      <c r="C55" s="103"/>
      <c r="D55" s="103"/>
      <c r="E55" s="103"/>
      <c r="F55" s="103"/>
      <c r="G55" s="103"/>
      <c r="H55" s="103"/>
      <c r="I55" s="103"/>
      <c r="J55" s="103"/>
      <c r="K55" s="63"/>
      <c r="L55" s="63"/>
      <c r="M55" s="63"/>
      <c r="N55" s="63"/>
      <c r="O55" s="63"/>
    </row>
    <row r="56" spans="1:10" ht="12.75">
      <c r="A56" s="105" t="s">
        <v>80</v>
      </c>
      <c r="B56" s="104"/>
      <c r="C56" s="104"/>
      <c r="D56" s="104"/>
      <c r="E56" s="104"/>
      <c r="F56" s="104"/>
      <c r="G56" s="104"/>
      <c r="H56" s="104"/>
      <c r="I56" s="104"/>
      <c r="J56" s="104"/>
    </row>
    <row r="57" spans="1:10" ht="12.75">
      <c r="A57" s="107"/>
      <c r="B57" s="23"/>
      <c r="C57" s="23"/>
      <c r="D57" s="23"/>
      <c r="E57" s="23"/>
      <c r="F57" s="23"/>
      <c r="G57" s="23"/>
      <c r="H57" s="23"/>
      <c r="I57" s="23"/>
      <c r="J57" s="23"/>
    </row>
    <row r="58" spans="1:10" ht="12.75">
      <c r="A58" s="107"/>
      <c r="B58" s="23"/>
      <c r="C58" s="23"/>
      <c r="D58" s="23"/>
      <c r="E58" s="23"/>
      <c r="F58" s="23"/>
      <c r="G58" s="23"/>
      <c r="H58" s="23"/>
      <c r="I58" s="23"/>
      <c r="J58" s="23"/>
    </row>
    <row r="59" ht="20.25">
      <c r="A59" s="106" t="s">
        <v>82</v>
      </c>
    </row>
    <row r="60" spans="1:12" ht="51">
      <c r="A60" s="74" t="s">
        <v>0</v>
      </c>
      <c r="B60" s="74"/>
      <c r="C60" s="74"/>
      <c r="D60" s="29" t="s">
        <v>1</v>
      </c>
      <c r="E60" s="29" t="s">
        <v>49</v>
      </c>
      <c r="F60" s="29" t="s">
        <v>68</v>
      </c>
      <c r="G60" s="29" t="s">
        <v>69</v>
      </c>
      <c r="H60" s="29" t="s">
        <v>72</v>
      </c>
      <c r="I60" s="29" t="s">
        <v>74</v>
      </c>
      <c r="J60" s="29" t="s">
        <v>73</v>
      </c>
      <c r="K60" s="29" t="s">
        <v>75</v>
      </c>
      <c r="L60" s="29" t="s">
        <v>76</v>
      </c>
    </row>
    <row r="61" spans="1:12" ht="12.75">
      <c r="A61" s="5">
        <v>0.2</v>
      </c>
      <c r="B61" s="7" t="s">
        <v>4</v>
      </c>
      <c r="C61" s="39">
        <v>0.3</v>
      </c>
      <c r="D61" s="26">
        <f>AVERAGE(A61,C61)</f>
        <v>0.25</v>
      </c>
      <c r="E61" s="29">
        <f>E33</f>
        <v>0.6163469963653835</v>
      </c>
      <c r="F61" s="29">
        <f>'Multiplied Out'!E4+'Multiplied Out'!F4</f>
        <v>25</v>
      </c>
      <c r="G61" s="29">
        <f>'Multiplied Out'!G4+'Multiplied Out'!H4</f>
        <v>22.700000000000003</v>
      </c>
      <c r="H61" s="29">
        <f>E33</f>
        <v>0.6163469963653835</v>
      </c>
      <c r="I61" s="29">
        <f>F61*$H61</f>
        <v>15.408674909134588</v>
      </c>
      <c r="J61" s="29">
        <f>G61*$H61</f>
        <v>13.991076817494207</v>
      </c>
      <c r="K61" s="29">
        <f>($C61-$A61)*I61</f>
        <v>1.5408674909134583</v>
      </c>
      <c r="L61" s="29">
        <f>($C61-$A61)*J61</f>
        <v>1.3991076817494204</v>
      </c>
    </row>
    <row r="62" spans="1:12" ht="12.75">
      <c r="A62" s="8">
        <v>0.3</v>
      </c>
      <c r="B62" s="9" t="s">
        <v>4</v>
      </c>
      <c r="C62" s="21">
        <v>0.4</v>
      </c>
      <c r="D62" s="26">
        <f>AVERAGE(A62,C62)</f>
        <v>0.35</v>
      </c>
      <c r="E62" s="29">
        <f aca="true" t="shared" si="13" ref="E62:E82">E34</f>
        <v>1.148602796997916</v>
      </c>
      <c r="F62" s="29">
        <f>'Multiplied Out'!E5+'Multiplied Out'!F5</f>
        <v>30.400000000000002</v>
      </c>
      <c r="G62" s="29">
        <f>'Multiplied Out'!G5+'Multiplied Out'!H5</f>
        <v>32.2</v>
      </c>
      <c r="H62" s="29">
        <f aca="true" t="shared" si="14" ref="H62:H82">E34</f>
        <v>1.148602796997916</v>
      </c>
      <c r="I62" s="29">
        <f aca="true" t="shared" si="15" ref="I62:I82">F62*$H62</f>
        <v>34.91752502873665</v>
      </c>
      <c r="J62" s="29">
        <f aca="true" t="shared" si="16" ref="J62:J82">G62*$H62</f>
        <v>36.9850100633329</v>
      </c>
      <c r="K62" s="29">
        <f>($C62-$A62)*I62+K61</f>
        <v>5.032619993787124</v>
      </c>
      <c r="L62" s="29">
        <f>($C62-$A62)*J62+L61</f>
        <v>5.097608688082712</v>
      </c>
    </row>
    <row r="63" spans="1:12" ht="12.75">
      <c r="A63" s="12">
        <v>0.4</v>
      </c>
      <c r="B63" s="9" t="s">
        <v>4</v>
      </c>
      <c r="C63" s="14">
        <v>0.55</v>
      </c>
      <c r="D63" s="26">
        <v>0.47</v>
      </c>
      <c r="E63" s="29">
        <f t="shared" si="13"/>
        <v>1.7012082867308476</v>
      </c>
      <c r="F63" s="29">
        <f>'Multiplied Out'!E6+'Multiplied Out'!F6</f>
        <v>31.599999999999998</v>
      </c>
      <c r="G63" s="29">
        <f>'Multiplied Out'!G6+'Multiplied Out'!H6</f>
        <v>38.199999999999996</v>
      </c>
      <c r="H63" s="29">
        <f t="shared" si="14"/>
        <v>1.7012082867308476</v>
      </c>
      <c r="I63" s="29">
        <f t="shared" si="15"/>
        <v>53.758181860694776</v>
      </c>
      <c r="J63" s="29">
        <f t="shared" si="16"/>
        <v>64.98615655311836</v>
      </c>
      <c r="K63" s="29">
        <f aca="true" t="shared" si="17" ref="K63:L82">($C63-$A63)*I63+K62</f>
        <v>13.096347272891341</v>
      </c>
      <c r="L63" s="29">
        <f t="shared" si="17"/>
        <v>14.845532171050468</v>
      </c>
    </row>
    <row r="64" spans="1:12" s="93" customFormat="1" ht="12.75">
      <c r="A64" s="88">
        <v>0.55</v>
      </c>
      <c r="B64" s="89" t="s">
        <v>4</v>
      </c>
      <c r="C64" s="90">
        <v>0.7</v>
      </c>
      <c r="D64" s="91">
        <v>0.62</v>
      </c>
      <c r="E64" s="64">
        <f t="shared" si="13"/>
        <v>2.2662985290676403</v>
      </c>
      <c r="F64" s="64">
        <f>'Multiplied Out'!E7+'Multiplied Out'!F7</f>
        <v>30.099999999999998</v>
      </c>
      <c r="G64" s="64">
        <f>'Multiplied Out'!G7+'Multiplied Out'!H7</f>
        <v>39.800000000000004</v>
      </c>
      <c r="H64" s="64">
        <f t="shared" si="14"/>
        <v>2.2662985290676403</v>
      </c>
      <c r="I64" s="64">
        <f t="shared" si="15"/>
        <v>68.21558572493596</v>
      </c>
      <c r="J64" s="64">
        <f t="shared" si="16"/>
        <v>90.19868145689209</v>
      </c>
      <c r="K64" s="64">
        <f t="shared" si="17"/>
        <v>23.32868513163173</v>
      </c>
      <c r="L64" s="64">
        <f t="shared" si="17"/>
        <v>28.375334389584275</v>
      </c>
    </row>
    <row r="65" spans="1:12" s="93" customFormat="1" ht="12.75">
      <c r="A65" s="94">
        <v>0.7</v>
      </c>
      <c r="B65" s="89" t="s">
        <v>4</v>
      </c>
      <c r="C65" s="95">
        <v>0.85</v>
      </c>
      <c r="D65" s="91">
        <v>0.78</v>
      </c>
      <c r="E65" s="64">
        <f t="shared" si="13"/>
        <v>2.9469368923220403</v>
      </c>
      <c r="F65" s="64">
        <f>'Multiplied Out'!E8+'Multiplied Out'!F8</f>
        <v>28.900000000000002</v>
      </c>
      <c r="G65" s="64">
        <f>'Multiplied Out'!G8+'Multiplied Out'!H8</f>
        <v>38</v>
      </c>
      <c r="H65" s="64">
        <f t="shared" si="14"/>
        <v>2.9469368923220403</v>
      </c>
      <c r="I65" s="64">
        <f t="shared" si="15"/>
        <v>85.16647618810697</v>
      </c>
      <c r="J65" s="64">
        <f t="shared" si="16"/>
        <v>111.98360190823753</v>
      </c>
      <c r="K65" s="64">
        <f t="shared" si="17"/>
        <v>36.10365655984778</v>
      </c>
      <c r="L65" s="64">
        <f t="shared" si="17"/>
        <v>45.172874675819905</v>
      </c>
    </row>
    <row r="66" spans="1:12" ht="12.75">
      <c r="A66" s="8">
        <v>0.85</v>
      </c>
      <c r="B66" s="9" t="s">
        <v>4</v>
      </c>
      <c r="C66" s="22">
        <v>1</v>
      </c>
      <c r="D66" s="26">
        <v>0.92</v>
      </c>
      <c r="E66" s="29">
        <f t="shared" si="13"/>
        <v>3.52989884142984</v>
      </c>
      <c r="F66" s="29">
        <f>'Multiplied Out'!E9+'Multiplied Out'!F9</f>
        <v>26.9</v>
      </c>
      <c r="G66" s="29">
        <f>'Multiplied Out'!G9+'Multiplied Out'!H9</f>
        <v>35.599999999999994</v>
      </c>
      <c r="H66" s="29">
        <f t="shared" si="14"/>
        <v>3.52989884142984</v>
      </c>
      <c r="I66" s="29">
        <f t="shared" si="15"/>
        <v>94.95427883446268</v>
      </c>
      <c r="J66" s="29">
        <f t="shared" si="16"/>
        <v>125.66439875490228</v>
      </c>
      <c r="K66" s="29">
        <f t="shared" si="17"/>
        <v>50.34679838501718</v>
      </c>
      <c r="L66" s="29">
        <f t="shared" si="17"/>
        <v>64.02253448905525</v>
      </c>
    </row>
    <row r="67" spans="1:12" ht="12.75">
      <c r="A67" s="13">
        <v>1</v>
      </c>
      <c r="B67" s="9" t="s">
        <v>4</v>
      </c>
      <c r="C67" s="14">
        <v>1.2</v>
      </c>
      <c r="D67" s="26">
        <f>AVERAGE(A67,C67)</f>
        <v>1.1</v>
      </c>
      <c r="E67" s="29">
        <f t="shared" si="13"/>
        <v>4.410286196719718</v>
      </c>
      <c r="F67" s="29">
        <f>'Multiplied Out'!E10+'Multiplied Out'!F10</f>
        <v>24</v>
      </c>
      <c r="G67" s="29">
        <f>'Multiplied Out'!G10+'Multiplied Out'!H10</f>
        <v>32.5</v>
      </c>
      <c r="H67" s="29">
        <f t="shared" si="14"/>
        <v>4.410286196719718</v>
      </c>
      <c r="I67" s="29">
        <f t="shared" si="15"/>
        <v>105.84686872127324</v>
      </c>
      <c r="J67" s="29">
        <f t="shared" si="16"/>
        <v>143.33430139339083</v>
      </c>
      <c r="K67" s="29">
        <f t="shared" si="17"/>
        <v>71.51617212927182</v>
      </c>
      <c r="L67" s="29">
        <f t="shared" si="17"/>
        <v>92.6893947677334</v>
      </c>
    </row>
    <row r="68" spans="1:12" s="93" customFormat="1" ht="12.75">
      <c r="A68" s="88">
        <v>1.2</v>
      </c>
      <c r="B68" s="89" t="s">
        <v>4</v>
      </c>
      <c r="C68" s="96">
        <v>1.4</v>
      </c>
      <c r="D68" s="91">
        <f>AVERAGE(A68,C68)</f>
        <v>1.2999999999999998</v>
      </c>
      <c r="E68" s="64">
        <f t="shared" si="13"/>
        <v>5.2804971262409985</v>
      </c>
      <c r="F68" s="64">
        <f>'Multiplied Out'!E11+'Multiplied Out'!F11</f>
        <v>22.1</v>
      </c>
      <c r="G68" s="64">
        <f>'Multiplied Out'!G11+'Multiplied Out'!H11</f>
        <v>28.3</v>
      </c>
      <c r="H68" s="64">
        <f t="shared" si="14"/>
        <v>5.2804971262409985</v>
      </c>
      <c r="I68" s="64">
        <f t="shared" si="15"/>
        <v>116.69898648992607</v>
      </c>
      <c r="J68" s="64">
        <f t="shared" si="16"/>
        <v>149.43806867262026</v>
      </c>
      <c r="K68" s="64">
        <f t="shared" si="17"/>
        <v>94.85596942725704</v>
      </c>
      <c r="L68" s="64">
        <f t="shared" si="17"/>
        <v>122.57700850225746</v>
      </c>
    </row>
    <row r="69" spans="1:12" ht="12.75">
      <c r="A69" s="13">
        <v>1.4</v>
      </c>
      <c r="B69" s="9" t="s">
        <v>4</v>
      </c>
      <c r="C69" s="14">
        <v>1.6</v>
      </c>
      <c r="D69" s="26">
        <f>AVERAGE(A69,C69)</f>
        <v>1.5</v>
      </c>
      <c r="E69" s="29">
        <f t="shared" si="13"/>
        <v>6.123950995688138</v>
      </c>
      <c r="F69" s="29">
        <f>'Multiplied Out'!E12+'Multiplied Out'!F12</f>
        <v>18.9</v>
      </c>
      <c r="G69" s="29">
        <f>'Multiplied Out'!G12+'Multiplied Out'!H12</f>
        <v>25.3</v>
      </c>
      <c r="H69" s="29">
        <f t="shared" si="14"/>
        <v>6.123950995688138</v>
      </c>
      <c r="I69" s="29">
        <f t="shared" si="15"/>
        <v>115.74267381850579</v>
      </c>
      <c r="J69" s="29">
        <f t="shared" si="16"/>
        <v>154.9359601909099</v>
      </c>
      <c r="K69" s="29">
        <f t="shared" si="17"/>
        <v>118.00450419095822</v>
      </c>
      <c r="L69" s="29">
        <f t="shared" si="17"/>
        <v>153.56420054043946</v>
      </c>
    </row>
    <row r="70" spans="1:12" s="101" customFormat="1" ht="12.75">
      <c r="A70" s="97">
        <v>1.6</v>
      </c>
      <c r="B70" s="98" t="s">
        <v>4</v>
      </c>
      <c r="C70" s="99">
        <v>2.1</v>
      </c>
      <c r="D70" s="42">
        <v>1.84</v>
      </c>
      <c r="E70" s="87">
        <f t="shared" si="13"/>
        <v>7.53180242208</v>
      </c>
      <c r="F70" s="87">
        <f>'Multiplied Out'!E13+'Multiplied Out'!F13</f>
        <v>16.4</v>
      </c>
      <c r="G70" s="87">
        <f>'Multiplied Out'!G13+'Multiplied Out'!H13</f>
        <v>19.2</v>
      </c>
      <c r="H70" s="87">
        <f t="shared" si="14"/>
        <v>7.53180242208</v>
      </c>
      <c r="I70" s="87">
        <f t="shared" si="15"/>
        <v>123.52155972211199</v>
      </c>
      <c r="J70" s="87">
        <f t="shared" si="16"/>
        <v>144.610606503936</v>
      </c>
      <c r="K70" s="87">
        <f t="shared" si="17"/>
        <v>179.7652840520142</v>
      </c>
      <c r="L70" s="87">
        <f t="shared" si="17"/>
        <v>225.86950379240744</v>
      </c>
    </row>
    <row r="71" spans="1:12" s="93" customFormat="1" ht="12.75">
      <c r="A71" s="102">
        <v>2.1</v>
      </c>
      <c r="B71" s="89" t="s">
        <v>4</v>
      </c>
      <c r="C71" s="95">
        <v>2.94</v>
      </c>
      <c r="D71" s="91">
        <v>2.49</v>
      </c>
      <c r="E71" s="64">
        <f t="shared" si="13"/>
        <v>10.25658762570873</v>
      </c>
      <c r="F71" s="64">
        <f>'Multiplied Out'!E14+'Multiplied Out'!F14</f>
        <v>11.8</v>
      </c>
      <c r="G71" s="64">
        <f>'Multiplied Out'!G14+'Multiplied Out'!H14</f>
        <v>12.7</v>
      </c>
      <c r="H71" s="64">
        <f t="shared" si="14"/>
        <v>10.25658762570873</v>
      </c>
      <c r="I71" s="64">
        <f t="shared" si="15"/>
        <v>121.02773398336304</v>
      </c>
      <c r="J71" s="64">
        <f t="shared" si="16"/>
        <v>130.25866284650087</v>
      </c>
      <c r="K71" s="64">
        <f t="shared" si="17"/>
        <v>281.42858059803916</v>
      </c>
      <c r="L71" s="64">
        <f t="shared" si="17"/>
        <v>335.28678058346816</v>
      </c>
    </row>
    <row r="72" spans="1:12" ht="12.75">
      <c r="A72" s="8">
        <v>2.94</v>
      </c>
      <c r="B72" s="9" t="s">
        <v>4</v>
      </c>
      <c r="C72" s="21">
        <v>4.12</v>
      </c>
      <c r="D72" s="26">
        <v>3.49</v>
      </c>
      <c r="E72" s="29">
        <f t="shared" si="13"/>
        <v>14.533759948289392</v>
      </c>
      <c r="F72" s="29">
        <f>'Multiplied Out'!E15+'Multiplied Out'!F15</f>
        <v>7.5</v>
      </c>
      <c r="G72" s="29">
        <f>'Multiplied Out'!G15+'Multiplied Out'!H15</f>
        <v>8.66</v>
      </c>
      <c r="H72" s="29">
        <f t="shared" si="14"/>
        <v>14.533759948289392</v>
      </c>
      <c r="I72" s="29">
        <f t="shared" si="15"/>
        <v>109.00319961217043</v>
      </c>
      <c r="J72" s="29">
        <f t="shared" si="16"/>
        <v>125.86236115218614</v>
      </c>
      <c r="K72" s="29">
        <f t="shared" si="17"/>
        <v>410.0523561404003</v>
      </c>
      <c r="L72" s="29">
        <f t="shared" si="17"/>
        <v>483.8043667430478</v>
      </c>
    </row>
    <row r="73" spans="1:12" s="93" customFormat="1" ht="12.75">
      <c r="A73" s="94">
        <v>4.12</v>
      </c>
      <c r="B73" s="89" t="s">
        <v>4</v>
      </c>
      <c r="C73" s="95">
        <v>5.5</v>
      </c>
      <c r="D73" s="91">
        <v>4.78</v>
      </c>
      <c r="E73" s="64">
        <f t="shared" si="13"/>
        <v>19.442416806800004</v>
      </c>
      <c r="F73" s="64">
        <f>'Multiplied Out'!E16+'Multiplied Out'!F16</f>
        <v>4.51</v>
      </c>
      <c r="G73" s="64">
        <f>'Multiplied Out'!G16+'Multiplied Out'!H16</f>
        <v>5.25</v>
      </c>
      <c r="H73" s="64">
        <f t="shared" si="14"/>
        <v>19.442416806800004</v>
      </c>
      <c r="I73" s="64">
        <f t="shared" si="15"/>
        <v>87.68529979866801</v>
      </c>
      <c r="J73" s="64">
        <f t="shared" si="16"/>
        <v>102.07268823570003</v>
      </c>
      <c r="K73" s="64">
        <f t="shared" si="17"/>
        <v>531.0580698625622</v>
      </c>
      <c r="L73" s="64">
        <f t="shared" si="17"/>
        <v>624.6646765083138</v>
      </c>
    </row>
    <row r="74" spans="1:12" s="93" customFormat="1" ht="12.75">
      <c r="A74" s="88">
        <v>5.5</v>
      </c>
      <c r="B74" s="89" t="s">
        <v>4</v>
      </c>
      <c r="C74" s="96">
        <v>7</v>
      </c>
      <c r="D74" s="91">
        <v>6.21</v>
      </c>
      <c r="E74" s="64">
        <f t="shared" si="13"/>
        <v>25.1012410636</v>
      </c>
      <c r="F74" s="64">
        <f>'Multiplied Out'!E17+'Multiplied Out'!F17</f>
        <v>2.8600000000000003</v>
      </c>
      <c r="G74" s="64">
        <f>'Multiplied Out'!G17+'Multiplied Out'!H17</f>
        <v>3.1500000000000004</v>
      </c>
      <c r="H74" s="64">
        <f t="shared" si="14"/>
        <v>25.1012410636</v>
      </c>
      <c r="I74" s="64">
        <f t="shared" si="15"/>
        <v>71.78954944189601</v>
      </c>
      <c r="J74" s="64">
        <f t="shared" si="16"/>
        <v>79.06890935034001</v>
      </c>
      <c r="K74" s="64">
        <f t="shared" si="17"/>
        <v>638.7423940254063</v>
      </c>
      <c r="L74" s="64">
        <f t="shared" si="17"/>
        <v>743.2680405338239</v>
      </c>
    </row>
    <row r="75" spans="1:12" ht="12.75">
      <c r="A75" s="13">
        <v>7</v>
      </c>
      <c r="B75" s="9" t="s">
        <v>4</v>
      </c>
      <c r="C75" s="22">
        <v>10</v>
      </c>
      <c r="D75" s="26">
        <v>8.37</v>
      </c>
      <c r="E75" s="29">
        <f t="shared" si="13"/>
        <v>34.86045642624404</v>
      </c>
      <c r="F75" s="29">
        <f>'Multiplied Out'!E18+'Multiplied Out'!F18</f>
        <v>1.59</v>
      </c>
      <c r="G75" s="29">
        <f>'Multiplied Out'!G18+'Multiplied Out'!H18</f>
        <v>1.8</v>
      </c>
      <c r="H75" s="29">
        <f t="shared" si="14"/>
        <v>34.86045642624404</v>
      </c>
      <c r="I75" s="29">
        <f t="shared" si="15"/>
        <v>55.42812571772803</v>
      </c>
      <c r="J75" s="29">
        <f t="shared" si="16"/>
        <v>62.748821567239276</v>
      </c>
      <c r="K75" s="29">
        <f t="shared" si="17"/>
        <v>805.0267711785904</v>
      </c>
      <c r="L75" s="29">
        <f t="shared" si="17"/>
        <v>931.5145052355417</v>
      </c>
    </row>
    <row r="76" spans="1:12" ht="12.75">
      <c r="A76" s="13">
        <v>10</v>
      </c>
      <c r="B76" s="9" t="s">
        <v>4</v>
      </c>
      <c r="C76" s="22">
        <v>15.5</v>
      </c>
      <c r="D76" s="26">
        <v>12.42</v>
      </c>
      <c r="E76" s="29">
        <f t="shared" si="13"/>
        <v>52.364500846113565</v>
      </c>
      <c r="F76" s="29">
        <f>'Multiplied Out'!E19+'Multiplied Out'!F19</f>
        <v>0.698</v>
      </c>
      <c r="G76" s="29">
        <f>'Multiplied Out'!G19+'Multiplied Out'!H19</f>
        <v>0.734</v>
      </c>
      <c r="H76" s="29">
        <f t="shared" si="14"/>
        <v>52.364500846113565</v>
      </c>
      <c r="I76" s="29">
        <f t="shared" si="15"/>
        <v>36.55042159058726</v>
      </c>
      <c r="J76" s="29">
        <f t="shared" si="16"/>
        <v>38.43554362104736</v>
      </c>
      <c r="K76" s="29">
        <f t="shared" si="17"/>
        <v>1006.0540899268203</v>
      </c>
      <c r="L76" s="29">
        <f t="shared" si="17"/>
        <v>1142.9099951513022</v>
      </c>
    </row>
    <row r="77" spans="1:12" s="93" customFormat="1" ht="12.75">
      <c r="A77" s="102">
        <v>15.5</v>
      </c>
      <c r="B77" s="89" t="s">
        <v>4</v>
      </c>
      <c r="C77" s="96">
        <v>23</v>
      </c>
      <c r="D77" s="91">
        <v>18.85</v>
      </c>
      <c r="E77" s="64">
        <f t="shared" si="13"/>
        <v>48.5</v>
      </c>
      <c r="F77" s="64">
        <f>'Multiplied Out'!E20+'Multiplied Out'!F20</f>
        <v>0.246</v>
      </c>
      <c r="G77" s="64">
        <f>'Multiplied Out'!G20+'Multiplied Out'!H20</f>
        <v>0.27</v>
      </c>
      <c r="H77" s="64">
        <f t="shared" si="14"/>
        <v>48.5</v>
      </c>
      <c r="I77" s="64">
        <f t="shared" si="15"/>
        <v>11.931</v>
      </c>
      <c r="J77" s="64">
        <f t="shared" si="16"/>
        <v>13.095</v>
      </c>
      <c r="K77" s="64">
        <f t="shared" si="17"/>
        <v>1095.5365899268204</v>
      </c>
      <c r="L77" s="64">
        <f t="shared" si="17"/>
        <v>1241.1224951513022</v>
      </c>
    </row>
    <row r="78" spans="1:12" s="93" customFormat="1" ht="12.75">
      <c r="A78" s="102">
        <v>23</v>
      </c>
      <c r="B78" s="89" t="s">
        <v>4</v>
      </c>
      <c r="C78" s="96">
        <v>31.1</v>
      </c>
      <c r="D78" s="91">
        <v>26.68</v>
      </c>
      <c r="E78" s="64">
        <f t="shared" si="13"/>
        <v>48.5</v>
      </c>
      <c r="F78" s="64">
        <f>'Multiplied Out'!E21+'Multiplied Out'!F21</f>
        <v>0.109</v>
      </c>
      <c r="G78" s="64">
        <f>'Multiplied Out'!G21+'Multiplied Out'!H21</f>
        <v>0.109</v>
      </c>
      <c r="H78" s="64">
        <f t="shared" si="14"/>
        <v>48.5</v>
      </c>
      <c r="I78" s="64">
        <f t="shared" si="15"/>
        <v>5.2865</v>
      </c>
      <c r="J78" s="64">
        <f t="shared" si="16"/>
        <v>5.2865</v>
      </c>
      <c r="K78" s="64">
        <f t="shared" si="17"/>
        <v>1138.3572399268205</v>
      </c>
      <c r="L78" s="64">
        <f t="shared" si="17"/>
        <v>1283.9431451513024</v>
      </c>
    </row>
    <row r="79" spans="1:12" s="93" customFormat="1" ht="12.75">
      <c r="A79" s="102">
        <v>31.1</v>
      </c>
      <c r="B79" s="89" t="s">
        <v>4</v>
      </c>
      <c r="C79" s="95">
        <v>43.6</v>
      </c>
      <c r="D79" s="91">
        <v>36.69</v>
      </c>
      <c r="E79" s="64">
        <f t="shared" si="13"/>
        <v>48.5</v>
      </c>
      <c r="F79" s="64">
        <f>'Multiplied Out'!E22+'Multiplied Out'!F22</f>
        <v>0.047</v>
      </c>
      <c r="G79" s="64">
        <f>'Multiplied Out'!G22+'Multiplied Out'!H22</f>
        <v>0.048299999999999996</v>
      </c>
      <c r="H79" s="64">
        <f t="shared" si="14"/>
        <v>48.5</v>
      </c>
      <c r="I79" s="64">
        <f t="shared" si="15"/>
        <v>2.2795</v>
      </c>
      <c r="J79" s="64">
        <f t="shared" si="16"/>
        <v>2.3425499999999997</v>
      </c>
      <c r="K79" s="64">
        <f t="shared" si="17"/>
        <v>1166.8509899268206</v>
      </c>
      <c r="L79" s="64">
        <f t="shared" si="17"/>
        <v>1313.2250201513023</v>
      </c>
    </row>
    <row r="80" spans="1:12" s="93" customFormat="1" ht="12.75">
      <c r="A80" s="88">
        <v>43.6</v>
      </c>
      <c r="B80" s="89" t="s">
        <v>4</v>
      </c>
      <c r="C80" s="96">
        <v>61.1</v>
      </c>
      <c r="D80" s="91">
        <v>51.47</v>
      </c>
      <c r="E80" s="64">
        <f t="shared" si="13"/>
        <v>48.5</v>
      </c>
      <c r="F80" s="64">
        <f>'Multiplied Out'!E23+'Multiplied Out'!F23</f>
        <v>0.017</v>
      </c>
      <c r="G80" s="64">
        <f>'Multiplied Out'!G23+'Multiplied Out'!H23</f>
        <v>0.0179</v>
      </c>
      <c r="H80" s="64">
        <f t="shared" si="14"/>
        <v>48.5</v>
      </c>
      <c r="I80" s="64">
        <f t="shared" si="15"/>
        <v>0.8245</v>
      </c>
      <c r="J80" s="64">
        <f t="shared" si="16"/>
        <v>0.86815</v>
      </c>
      <c r="K80" s="64">
        <f t="shared" si="17"/>
        <v>1181.2797399268206</v>
      </c>
      <c r="L80" s="64">
        <f t="shared" si="17"/>
        <v>1328.4176451513022</v>
      </c>
    </row>
    <row r="81" spans="1:12" s="93" customFormat="1" ht="12.75">
      <c r="A81" s="102">
        <v>61.1</v>
      </c>
      <c r="B81" s="89" t="s">
        <v>4</v>
      </c>
      <c r="C81" s="95">
        <v>85.6</v>
      </c>
      <c r="D81" s="91">
        <v>72.08</v>
      </c>
      <c r="E81" s="64">
        <f t="shared" si="13"/>
        <v>48.5</v>
      </c>
      <c r="F81" s="64">
        <f>'Multiplied Out'!E24+'Multiplied Out'!F24</f>
        <v>0.0066</v>
      </c>
      <c r="G81" s="64">
        <f>'Multiplied Out'!G24+'Multiplied Out'!H24</f>
        <v>0.0074</v>
      </c>
      <c r="H81" s="64">
        <f t="shared" si="14"/>
        <v>48.5</v>
      </c>
      <c r="I81" s="64">
        <f t="shared" si="15"/>
        <v>0.3201</v>
      </c>
      <c r="J81" s="64">
        <f t="shared" si="16"/>
        <v>0.3589</v>
      </c>
      <c r="K81" s="64">
        <f t="shared" si="17"/>
        <v>1189.1221899268207</v>
      </c>
      <c r="L81" s="64">
        <f t="shared" si="17"/>
        <v>1337.2106951513022</v>
      </c>
    </row>
    <row r="82" spans="1:12" s="93" customFormat="1" ht="12.75">
      <c r="A82" s="88">
        <v>85.6</v>
      </c>
      <c r="B82" s="89" t="s">
        <v>4</v>
      </c>
      <c r="C82" s="96">
        <v>120</v>
      </c>
      <c r="D82" s="91">
        <v>100.96</v>
      </c>
      <c r="E82" s="64">
        <f t="shared" si="13"/>
        <v>48.5</v>
      </c>
      <c r="F82" s="64">
        <f>'Multiplied Out'!E25+'Multiplied Out'!F25</f>
        <v>0.0026</v>
      </c>
      <c r="G82" s="64">
        <f>'Multiplied Out'!G25+'Multiplied Out'!H25</f>
        <v>0.0026</v>
      </c>
      <c r="H82" s="64">
        <f t="shared" si="14"/>
        <v>48.5</v>
      </c>
      <c r="I82" s="64">
        <f t="shared" si="15"/>
        <v>0.1261</v>
      </c>
      <c r="J82" s="64">
        <f t="shared" si="16"/>
        <v>0.1261</v>
      </c>
      <c r="K82" s="64">
        <f t="shared" si="17"/>
        <v>1193.4600299268207</v>
      </c>
      <c r="L82" s="64">
        <f t="shared" si="17"/>
        <v>1341.548535151302</v>
      </c>
    </row>
    <row r="83" spans="1:15" s="45" customFormat="1" ht="12.75" customHeight="1">
      <c r="A83" s="103" t="s">
        <v>79</v>
      </c>
      <c r="B83" s="103"/>
      <c r="C83" s="103"/>
      <c r="D83" s="103"/>
      <c r="E83" s="103"/>
      <c r="F83" s="103"/>
      <c r="G83" s="103"/>
      <c r="H83" s="103"/>
      <c r="I83" s="103"/>
      <c r="J83" s="103"/>
      <c r="K83" s="63"/>
      <c r="L83" s="63"/>
      <c r="M83" s="63"/>
      <c r="N83" s="63"/>
      <c r="O83" s="63"/>
    </row>
    <row r="84" spans="1:10" ht="12.75">
      <c r="A84" s="105" t="s">
        <v>80</v>
      </c>
      <c r="B84" s="104"/>
      <c r="C84" s="104"/>
      <c r="D84" s="104"/>
      <c r="E84" s="104"/>
      <c r="F84" s="104"/>
      <c r="G84" s="104"/>
      <c r="H84" s="104"/>
      <c r="I84" s="104"/>
      <c r="J84" s="104"/>
    </row>
  </sheetData>
  <mergeCells count="6">
    <mergeCell ref="A83:J83"/>
    <mergeCell ref="A84:J84"/>
    <mergeCell ref="A32:C32"/>
    <mergeCell ref="A60:C60"/>
    <mergeCell ref="A55:J55"/>
    <mergeCell ref="A56:J56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5"/>
  <sheetViews>
    <sheetView workbookViewId="0" topLeftCell="A1">
      <selection activeCell="D3" sqref="D3"/>
    </sheetView>
  </sheetViews>
  <sheetFormatPr defaultColWidth="9.140625" defaultRowHeight="12.75"/>
  <cols>
    <col min="1" max="1" width="19.28125" style="27" bestFit="1" customWidth="1"/>
    <col min="2" max="2" width="20.140625" style="27" bestFit="1" customWidth="1"/>
    <col min="3" max="3" width="24.57421875" style="27" bestFit="1" customWidth="1"/>
    <col min="4" max="4" width="26.8515625" style="27" customWidth="1"/>
    <col min="5" max="16384" width="9.140625" style="27" customWidth="1"/>
  </cols>
  <sheetData>
    <row r="1" spans="1:3" ht="33">
      <c r="A1" s="108" t="s">
        <v>86</v>
      </c>
      <c r="B1" s="108"/>
      <c r="C1" s="108"/>
    </row>
    <row r="2" spans="1:4" ht="25.5">
      <c r="A2" s="109" t="s">
        <v>83</v>
      </c>
      <c r="B2" s="109" t="s">
        <v>84</v>
      </c>
      <c r="C2" s="109" t="s">
        <v>85</v>
      </c>
      <c r="D2" s="110" t="s">
        <v>88</v>
      </c>
    </row>
    <row r="3" spans="1:4" ht="25.5">
      <c r="A3" s="109">
        <v>94</v>
      </c>
      <c r="B3" s="109">
        <f>Integral!F52</f>
        <v>86.11384</v>
      </c>
      <c r="C3" s="109">
        <f>'Ar Attenuation'!K82</f>
        <v>1193.4600299268207</v>
      </c>
      <c r="D3" s="110">
        <f>C3/B3</f>
        <v>13.85909663216529</v>
      </c>
    </row>
    <row r="4" spans="1:4" ht="25.5">
      <c r="A4" s="109">
        <v>97</v>
      </c>
      <c r="B4" s="109">
        <f>Integral!H52</f>
        <v>101.43944</v>
      </c>
      <c r="C4" s="109">
        <f>'Ar Attenuation'!L82</f>
        <v>1341.548535151302</v>
      </c>
      <c r="D4" s="110">
        <f>C4/B4</f>
        <v>13.225117717046762</v>
      </c>
    </row>
    <row r="5" spans="1:4" ht="26.25">
      <c r="A5" s="111" t="s">
        <v>87</v>
      </c>
      <c r="B5" s="111">
        <f>AVERAGE(B3:B4)</f>
        <v>93.77664</v>
      </c>
      <c r="C5" s="111">
        <f>AVERAGE(C3:C4)</f>
        <v>1267.5042825390615</v>
      </c>
      <c r="D5" s="111">
        <f>AVERAGE(D3:D4)</f>
        <v>13.542107174606027</v>
      </c>
    </row>
  </sheetData>
  <mergeCells count="1">
    <mergeCell ref="A1:C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Gerstle</dc:creator>
  <cp:keywords/>
  <dc:description/>
  <cp:lastModifiedBy>David Gerstle</cp:lastModifiedBy>
  <cp:lastPrinted>2006-06-09T21:05:32Z</cp:lastPrinted>
  <dcterms:created xsi:type="dcterms:W3CDTF">2006-06-07T16:06:00Z</dcterms:created>
  <dcterms:modified xsi:type="dcterms:W3CDTF">2006-06-13T23:17:04Z</dcterms:modified>
  <cp:category/>
  <cp:version/>
  <cp:contentType/>
  <cp:contentStatus/>
</cp:coreProperties>
</file>