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255" windowWidth="15480" windowHeight="11610" activeTab="0"/>
  </bookViews>
  <sheets>
    <sheet name="MC L&amp;P" sheetId="1" r:id="rId1"/>
  </sheets>
  <definedNames>
    <definedName name="_xlnm.Print_Area" localSheetId="0">'MC L&amp;P'!$A$1:$O$56</definedName>
  </definedNames>
  <calcPr fullCalcOnLoad="1"/>
</workbook>
</file>

<file path=xl/sharedStrings.xml><?xml version="1.0" encoding="utf-8"?>
<sst xmlns="http://schemas.openxmlformats.org/spreadsheetml/2006/main" count="168" uniqueCount="83">
  <si>
    <t>Meson Center (MC) Labyrinth and Penetration Assessment Summary</t>
  </si>
  <si>
    <t xml:space="preserve">Accelerator Cycle (seconds):   </t>
  </si>
  <si>
    <t>Protons per hour:</t>
  </si>
  <si>
    <t>Pulses allowed by interlocked detectors per hour:</t>
  </si>
  <si>
    <t>MC Labyrinths</t>
  </si>
  <si>
    <t xml:space="preserve"> Location</t>
  </si>
  <si>
    <t>Removable</t>
  </si>
  <si>
    <t>Calculated</t>
  </si>
  <si>
    <t>Limits</t>
  </si>
  <si>
    <t>Dose for</t>
  </si>
  <si>
    <t>Past</t>
  </si>
  <si>
    <t>Dose with</t>
  </si>
  <si>
    <t>Net</t>
  </si>
  <si>
    <t xml:space="preserve"> Enclosure</t>
  </si>
  <si>
    <t xml:space="preserve">  Z-Location</t>
  </si>
  <si>
    <t>Worksheet</t>
  </si>
  <si>
    <t>Shielding</t>
  </si>
  <si>
    <t>Base Dose</t>
  </si>
  <si>
    <t>Cossairt</t>
  </si>
  <si>
    <t>Allowed Dose</t>
  </si>
  <si>
    <t>Proposal</t>
  </si>
  <si>
    <t>Solution</t>
  </si>
  <si>
    <t>Solutions</t>
  </si>
  <si>
    <t>FAIL?</t>
  </si>
  <si>
    <t>Attentuation</t>
  </si>
  <si>
    <t>(feet)</t>
  </si>
  <si>
    <t>PWKS#</t>
  </si>
  <si>
    <t>(efd)</t>
  </si>
  <si>
    <t>mr/pulse</t>
  </si>
  <si>
    <t>Category</t>
  </si>
  <si>
    <t>Credits</t>
  </si>
  <si>
    <t>of Credits</t>
  </si>
  <si>
    <t>F3</t>
  </si>
  <si>
    <t>P</t>
  </si>
  <si>
    <t>MCP01</t>
  </si>
  <si>
    <t>M01</t>
  </si>
  <si>
    <t>MCP06</t>
  </si>
  <si>
    <t>MCP02</t>
  </si>
  <si>
    <t>4112 (MS1)</t>
  </si>
  <si>
    <t>MCP03</t>
  </si>
  <si>
    <t>4250 (MS1)</t>
  </si>
  <si>
    <t>MCP04</t>
  </si>
  <si>
    <t>M02</t>
  </si>
  <si>
    <t>4375 (MS2)</t>
  </si>
  <si>
    <t>MEP01</t>
  </si>
  <si>
    <t>4550 (MS2)</t>
  </si>
  <si>
    <t>MEP02</t>
  </si>
  <si>
    <t>M05</t>
  </si>
  <si>
    <t>5510 (to MP6)</t>
  </si>
  <si>
    <t>5510 (to ME6)</t>
  </si>
  <si>
    <t>MCP18</t>
  </si>
  <si>
    <t>MC6</t>
  </si>
  <si>
    <t>MCP05</t>
  </si>
  <si>
    <t>MC Penetrations</t>
  </si>
  <si>
    <t>MCP16</t>
  </si>
  <si>
    <t>MCP17</t>
  </si>
  <si>
    <t>4125 (MS1)</t>
  </si>
  <si>
    <t>MCP14</t>
  </si>
  <si>
    <t>4128 (MS1)</t>
  </si>
  <si>
    <t>MEP07</t>
  </si>
  <si>
    <t>4144 (MS1)</t>
  </si>
  <si>
    <t>4158 (MS1)</t>
  </si>
  <si>
    <t>MCP15</t>
  </si>
  <si>
    <t>MWP07</t>
  </si>
  <si>
    <t>Sand</t>
  </si>
  <si>
    <t>M03</t>
  </si>
  <si>
    <t>MPP06</t>
  </si>
  <si>
    <t>MCP07</t>
  </si>
  <si>
    <t>M04</t>
  </si>
  <si>
    <t>MCP08</t>
  </si>
  <si>
    <t>MCP09</t>
  </si>
  <si>
    <t>MC6-W</t>
  </si>
  <si>
    <t>MCP13</t>
  </si>
  <si>
    <t>Solution Notations:</t>
  </si>
  <si>
    <t>BP = Beam Pipe Hit.  Thin beampipe causes losses to be 1/5.</t>
  </si>
  <si>
    <t>Name/Date</t>
  </si>
  <si>
    <t>Originated</t>
  </si>
  <si>
    <t>Checked</t>
  </si>
  <si>
    <t>Approved</t>
  </si>
  <si>
    <t>Dose</t>
  </si>
  <si>
    <t>mr/hour</t>
  </si>
  <si>
    <t>N/A</t>
  </si>
  <si>
    <t>MC06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</si>
</sst>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9"/>
      <name val="Geneva"/>
      <family val="0"/>
    </font>
    <font>
      <sz val="14"/>
      <name val="Geneva"/>
      <family val="0"/>
    </font>
    <font>
      <sz val="36"/>
      <name val="Genev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1" fontId="1" fillId="0" borderId="1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5" fontId="4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3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15" fontId="6" fillId="0" borderId="0" xfId="0" applyNumberFormat="1" applyFont="1" applyAlignment="1" applyProtection="1">
      <alignment/>
      <protection hidden="1"/>
    </xf>
    <xf numFmtId="39" fontId="5" fillId="0" borderId="0" xfId="0" applyNumberFormat="1" applyFont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left"/>
      <protection hidden="1"/>
    </xf>
    <xf numFmtId="11" fontId="1" fillId="0" borderId="0" xfId="0" applyNumberFormat="1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2" fontId="9" fillId="0" borderId="0" xfId="0" applyNumberFormat="1" applyFont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0" xfId="0" applyNumberFormat="1" applyFont="1" applyAlignment="1">
      <alignment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 applyProtection="1">
      <alignment horizontal="right"/>
      <protection hidden="1"/>
    </xf>
    <xf numFmtId="2" fontId="5" fillId="0" borderId="3" xfId="0" applyNumberFormat="1" applyFont="1" applyFill="1" applyBorder="1" applyAlignment="1" applyProtection="1">
      <alignment horizontal="center"/>
      <protection hidden="1"/>
    </xf>
    <xf numFmtId="2" fontId="0" fillId="0" borderId="2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0" fillId="0" borderId="5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2" fontId="1" fillId="0" borderId="8" xfId="0" applyNumberFormat="1" applyFont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11" fontId="1" fillId="2" borderId="0" xfId="0" applyNumberFormat="1" applyFont="1" applyFill="1" applyBorder="1" applyAlignment="1" applyProtection="1">
      <alignment horizontal="left"/>
      <protection hidden="1"/>
    </xf>
    <xf numFmtId="39" fontId="5" fillId="0" borderId="4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39" fontId="5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 horizontal="right"/>
      <protection hidden="1"/>
    </xf>
    <xf numFmtId="2" fontId="4" fillId="0" borderId="0" xfId="0" applyNumberFormat="1" applyFont="1" applyBorder="1" applyAlignment="1" applyProtection="1">
      <alignment horizontal="right"/>
      <protection hidden="1"/>
    </xf>
    <xf numFmtId="2" fontId="5" fillId="0" borderId="6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left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1" fillId="0" borderId="8" xfId="0" applyNumberFormat="1" applyFont="1" applyFill="1" applyBorder="1" applyAlignment="1" applyProtection="1">
      <alignment horizontal="right"/>
      <protection locked="0"/>
    </xf>
    <xf numFmtId="11" fontId="1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1" fontId="0" fillId="0" borderId="8" xfId="0" applyNumberFormat="1" applyFont="1" applyBorder="1" applyAlignment="1" applyProtection="1">
      <alignment horizontal="right"/>
      <protection hidden="1"/>
    </xf>
    <xf numFmtId="1" fontId="1" fillId="0" borderId="8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>
      <alignment horizontal="right"/>
    </xf>
    <xf numFmtId="11" fontId="0" fillId="0" borderId="2" xfId="0" applyNumberFormat="1" applyFont="1" applyFill="1" applyBorder="1" applyAlignment="1" applyProtection="1">
      <alignment horizontal="center"/>
      <protection hidden="1"/>
    </xf>
    <xf numFmtId="11" fontId="0" fillId="0" borderId="0" xfId="0" applyNumberFormat="1" applyAlignment="1" applyProtection="1">
      <alignment/>
      <protection hidden="1"/>
    </xf>
    <xf numFmtId="11" fontId="4" fillId="0" borderId="0" xfId="0" applyNumberFormat="1" applyFont="1" applyAlignment="1" applyProtection="1">
      <alignment horizontal="right"/>
      <protection hidden="1"/>
    </xf>
    <xf numFmtId="11" fontId="5" fillId="0" borderId="3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164" fontId="5" fillId="0" borderId="2" xfId="0" applyNumberFormat="1" applyFont="1" applyFill="1" applyBorder="1" applyAlignment="1" applyProtection="1">
      <alignment horizontal="center"/>
      <protection hidden="1"/>
    </xf>
    <xf numFmtId="11" fontId="5" fillId="0" borderId="2" xfId="0" applyNumberFormat="1" applyFont="1" applyFill="1" applyBorder="1" applyAlignment="1" applyProtection="1">
      <alignment horizontal="center"/>
      <protection hidden="1"/>
    </xf>
    <xf numFmtId="39" fontId="5" fillId="0" borderId="5" xfId="0" applyNumberFormat="1" applyFont="1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2" fontId="5" fillId="0" borderId="2" xfId="0" applyNumberFormat="1" applyFont="1" applyFill="1" applyBorder="1" applyAlignment="1" applyProtection="1">
      <alignment horizontal="center"/>
      <protection hidden="1"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Alignment="1" applyProtection="1">
      <alignment/>
      <protection hidden="1"/>
    </xf>
    <xf numFmtId="2" fontId="0" fillId="0" borderId="9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2" fontId="0" fillId="0" borderId="11" xfId="0" applyNumberFormat="1" applyBorder="1" applyAlignment="1" applyProtection="1">
      <alignment/>
      <protection hidden="1"/>
    </xf>
    <xf numFmtId="11" fontId="0" fillId="0" borderId="10" xfId="0" applyNumberFormat="1" applyBorder="1" applyAlignment="1" applyProtection="1">
      <alignment/>
      <protection hidden="1"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5" fillId="0" borderId="2" xfId="0" applyNumberFormat="1" applyFont="1" applyFill="1" applyBorder="1" applyAlignment="1" applyProtection="1">
      <alignment horizontal="center"/>
      <protection hidden="1"/>
    </xf>
    <xf numFmtId="165" fontId="5" fillId="0" borderId="3" xfId="0" applyNumberFormat="1" applyFont="1" applyFill="1" applyBorder="1" applyAlignment="1" applyProtection="1">
      <alignment horizontal="center"/>
      <protection hidden="1"/>
    </xf>
    <xf numFmtId="165" fontId="0" fillId="0" borderId="2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9.00390625" style="4" customWidth="1"/>
    <col min="2" max="2" width="2.75390625" style="4" customWidth="1"/>
    <col min="3" max="3" width="12.25390625" style="4" customWidth="1"/>
    <col min="4" max="4" width="10.75390625" style="70" customWidth="1"/>
    <col min="5" max="5" width="9.75390625" style="4" customWidth="1"/>
    <col min="6" max="6" width="11.75390625" style="71" customWidth="1"/>
    <col min="7" max="7" width="8.75390625" style="4" customWidth="1"/>
    <col min="8" max="8" width="11.75390625" style="71" customWidth="1"/>
    <col min="9" max="9" width="11.75390625" style="40" customWidth="1"/>
    <col min="10" max="10" width="11.75390625" style="121" customWidth="1"/>
    <col min="11" max="11" width="10.25390625" style="4" customWidth="1"/>
    <col min="12" max="12" width="11.625" style="38" customWidth="1"/>
    <col min="13" max="13" width="5.625" style="4" customWidth="1"/>
    <col min="14" max="14" width="13.75390625" style="33" customWidth="1"/>
    <col min="15" max="15" width="10.75390625" style="46" customWidth="1"/>
    <col min="16" max="16" width="10.75390625" style="4" customWidth="1"/>
    <col min="17" max="19" width="10.75390625" style="21" customWidth="1"/>
    <col min="20" max="16384" width="10.75390625" style="4" customWidth="1"/>
  </cols>
  <sheetData>
    <row r="1" spans="1:13" ht="18">
      <c r="A1" s="3" t="s">
        <v>0</v>
      </c>
      <c r="B1" s="3"/>
      <c r="D1" s="64"/>
      <c r="E1" s="3"/>
      <c r="G1" s="3"/>
      <c r="H1" s="78"/>
      <c r="I1" s="41"/>
      <c r="J1" s="114"/>
      <c r="K1" s="86"/>
      <c r="L1" s="5"/>
      <c r="M1"/>
    </row>
    <row r="2" spans="1:19" s="24" customFormat="1" ht="13.5" thickBot="1">
      <c r="A2" s="23"/>
      <c r="B2" s="23"/>
      <c r="D2" s="65"/>
      <c r="E2" s="23"/>
      <c r="F2" s="72"/>
      <c r="G2" s="23"/>
      <c r="H2" s="79"/>
      <c r="I2" s="42"/>
      <c r="J2" s="115"/>
      <c r="K2" s="25"/>
      <c r="L2" s="26"/>
      <c r="M2"/>
      <c r="N2" s="34"/>
      <c r="O2" s="47"/>
      <c r="Q2" s="30"/>
      <c r="R2" s="30"/>
      <c r="S2" s="30"/>
    </row>
    <row r="3" spans="1:19" s="22" customFormat="1" ht="13.5" thickBot="1">
      <c r="A3" s="6"/>
      <c r="B3" s="6"/>
      <c r="C3"/>
      <c r="D3" s="66" t="str">
        <f>"Base Primary Beam Energy (GeV):  "</f>
        <v>Base Primary Beam Energy (GeV):  </v>
      </c>
      <c r="E3" s="28">
        <v>800</v>
      </c>
      <c r="F3" s="73"/>
      <c r="G3"/>
      <c r="H3" s="80"/>
      <c r="I3" s="41"/>
      <c r="J3" s="114"/>
      <c r="K3" s="7" t="str">
        <f>"Proposed Primary Beam Energy (GeV):   "</f>
        <v>Proposed Primary Beam Energy (GeV):   </v>
      </c>
      <c r="L3" s="2">
        <v>120</v>
      </c>
      <c r="M3"/>
      <c r="N3" s="35"/>
      <c r="O3" s="48"/>
      <c r="Q3" s="52"/>
      <c r="R3" s="52"/>
      <c r="S3" s="52"/>
    </row>
    <row r="4" spans="1:19" s="22" customFormat="1" ht="13.5" thickBot="1">
      <c r="A4" s="6"/>
      <c r="B4" s="6"/>
      <c r="C4"/>
      <c r="D4" s="66" t="str">
        <f>"Base Primary Beam Intensity (ppp):  "</f>
        <v>Base Primary Beam Intensity (ppp):  </v>
      </c>
      <c r="E4" s="29">
        <v>20000000000000</v>
      </c>
      <c r="F4" s="73"/>
      <c r="G4"/>
      <c r="H4" s="80"/>
      <c r="I4" s="41"/>
      <c r="J4" s="114"/>
      <c r="K4" s="7" t="str">
        <f>"Proposed Primary Beam Intensity (ppp):   "</f>
        <v>Proposed Primary Beam Intensity (ppp):   </v>
      </c>
      <c r="L4" s="1">
        <v>2000000000000</v>
      </c>
      <c r="M4"/>
      <c r="N4" s="45">
        <f>(($L$3/$E$3)^0.8)*($L$4/$E$4)</f>
        <v>0.021921638274328883</v>
      </c>
      <c r="O4" s="48"/>
      <c r="Q4" s="52"/>
      <c r="R4" s="52"/>
      <c r="S4" s="52"/>
    </row>
    <row r="5" spans="1:19" s="22" customFormat="1" ht="13.5" thickBot="1">
      <c r="A5" s="6"/>
      <c r="B5" s="6"/>
      <c r="C5"/>
      <c r="D5" s="66" t="str">
        <f>"Base Secondary Beam Energy (GeV):  "</f>
        <v>Base Secondary Beam Energy (GeV):  </v>
      </c>
      <c r="E5" s="61"/>
      <c r="F5" s="73"/>
      <c r="G5"/>
      <c r="H5" s="80"/>
      <c r="I5" s="41"/>
      <c r="J5" s="114"/>
      <c r="K5" s="7" t="str">
        <f>"Proposed Secondary Beam Energy (GeV):   "</f>
        <v>Proposed Secondary Beam Energy (GeV):   </v>
      </c>
      <c r="L5" s="84">
        <v>120</v>
      </c>
      <c r="M5"/>
      <c r="N5" s="35"/>
      <c r="O5" s="48"/>
      <c r="Q5" s="52"/>
      <c r="R5" s="52"/>
      <c r="S5" s="52"/>
    </row>
    <row r="6" spans="1:19" s="22" customFormat="1" ht="13.5" thickBot="1">
      <c r="A6" s="6"/>
      <c r="B6" s="6"/>
      <c r="C6"/>
      <c r="D6" s="66" t="str">
        <f>"Base Secondary Yield:  "</f>
        <v>Base Secondary Yield:  </v>
      </c>
      <c r="E6" s="62"/>
      <c r="F6" s="73"/>
      <c r="G6"/>
      <c r="H6" s="80"/>
      <c r="I6" s="41"/>
      <c r="J6" s="114"/>
      <c r="K6" s="7" t="str">
        <f>"Proposed Secondary Yield:   "</f>
        <v>Proposed Secondary Yield:   </v>
      </c>
      <c r="L6" s="85" t="s">
        <v>81</v>
      </c>
      <c r="M6"/>
      <c r="N6" s="45"/>
      <c r="O6" s="49"/>
      <c r="Q6" s="52"/>
      <c r="R6" s="52"/>
      <c r="S6" s="52"/>
    </row>
    <row r="7" spans="1:19" s="59" customFormat="1" ht="13.5" thickBot="1">
      <c r="A7" s="53"/>
      <c r="B7" s="53"/>
      <c r="C7" s="53"/>
      <c r="D7" s="67"/>
      <c r="E7" s="53"/>
      <c r="F7" s="74"/>
      <c r="G7" s="54"/>
      <c r="H7" s="81"/>
      <c r="I7" s="55"/>
      <c r="J7" s="116"/>
      <c r="K7" s="27" t="s">
        <v>1</v>
      </c>
      <c r="L7" s="56">
        <v>2.9</v>
      </c>
      <c r="M7"/>
      <c r="N7" s="57"/>
      <c r="O7" s="58"/>
      <c r="Q7" s="60"/>
      <c r="R7" s="60"/>
      <c r="S7" s="60"/>
    </row>
    <row r="8" spans="1:19" s="59" customFormat="1" ht="13.5" thickBot="1">
      <c r="A8" s="53"/>
      <c r="B8" s="53"/>
      <c r="C8" s="53"/>
      <c r="D8" s="67"/>
      <c r="E8" s="53"/>
      <c r="F8" s="74"/>
      <c r="G8" s="54"/>
      <c r="H8" s="81"/>
      <c r="I8" s="55"/>
      <c r="J8" s="116"/>
      <c r="K8" s="27" t="s">
        <v>2</v>
      </c>
      <c r="L8" s="87">
        <f>L4*3600/L7</f>
        <v>2482758620689655</v>
      </c>
      <c r="M8"/>
      <c r="N8" s="57"/>
      <c r="O8" s="58"/>
      <c r="Q8" s="60"/>
      <c r="R8" s="60"/>
      <c r="S8" s="60"/>
    </row>
    <row r="9" spans="1:19" s="59" customFormat="1" ht="13.5" thickBot="1">
      <c r="A9" s="53"/>
      <c r="B9" s="53"/>
      <c r="C9" s="53"/>
      <c r="D9" s="67"/>
      <c r="E9" s="53"/>
      <c r="F9" s="74"/>
      <c r="G9" s="54"/>
      <c r="H9" s="81"/>
      <c r="I9" s="55"/>
      <c r="J9" s="116"/>
      <c r="K9" s="89" t="s">
        <v>3</v>
      </c>
      <c r="L9" s="88">
        <v>1</v>
      </c>
      <c r="M9"/>
      <c r="N9" s="57"/>
      <c r="O9" s="58"/>
      <c r="Q9" s="60"/>
      <c r="R9" s="60"/>
      <c r="S9" s="60"/>
    </row>
    <row r="10" spans="1:13" ht="18">
      <c r="A10" s="3" t="s">
        <v>4</v>
      </c>
      <c r="B10" s="3"/>
      <c r="C10" s="8"/>
      <c r="D10" s="68"/>
      <c r="E10" s="8"/>
      <c r="F10" s="75"/>
      <c r="G10" s="8"/>
      <c r="H10" s="82"/>
      <c r="I10" s="43"/>
      <c r="J10" s="117"/>
      <c r="K10" s="10"/>
      <c r="L10" s="37"/>
      <c r="M10" s="9"/>
    </row>
    <row r="11" spans="1:15" s="98" customFormat="1" ht="12">
      <c r="A11" s="11" t="s">
        <v>5</v>
      </c>
      <c r="B11" s="12"/>
      <c r="D11" s="12"/>
      <c r="E11" s="11" t="s">
        <v>6</v>
      </c>
      <c r="F11" s="83" t="s">
        <v>7</v>
      </c>
      <c r="G11" s="11" t="s">
        <v>8</v>
      </c>
      <c r="H11" s="107"/>
      <c r="I11" s="106" t="s">
        <v>9</v>
      </c>
      <c r="J11" s="118" t="s">
        <v>79</v>
      </c>
      <c r="K11" s="95" t="s">
        <v>10</v>
      </c>
      <c r="L11" s="96" t="s">
        <v>11</v>
      </c>
      <c r="M11" s="101"/>
      <c r="N11" s="97"/>
      <c r="O11" s="96" t="s">
        <v>12</v>
      </c>
    </row>
    <row r="12" spans="1:15" s="52" customFormat="1" ht="12">
      <c r="A12" s="11" t="s">
        <v>13</v>
      </c>
      <c r="B12" s="12"/>
      <c r="C12" s="12" t="s">
        <v>14</v>
      </c>
      <c r="D12" s="69" t="s">
        <v>15</v>
      </c>
      <c r="E12" s="99" t="s">
        <v>16</v>
      </c>
      <c r="F12" s="83" t="s">
        <v>17</v>
      </c>
      <c r="G12" s="11" t="s">
        <v>18</v>
      </c>
      <c r="H12" s="83" t="s">
        <v>19</v>
      </c>
      <c r="I12" s="106" t="s">
        <v>20</v>
      </c>
      <c r="J12" s="118" t="s">
        <v>80</v>
      </c>
      <c r="K12" s="95" t="s">
        <v>21</v>
      </c>
      <c r="L12" s="96" t="s">
        <v>22</v>
      </c>
      <c r="M12" s="101" t="s">
        <v>23</v>
      </c>
      <c r="N12" s="102" t="s">
        <v>21</v>
      </c>
      <c r="O12" s="96" t="s">
        <v>24</v>
      </c>
    </row>
    <row r="13" spans="1:15" s="52" customFormat="1" ht="12">
      <c r="A13" s="13"/>
      <c r="B13" s="20"/>
      <c r="C13" s="20" t="s">
        <v>25</v>
      </c>
      <c r="D13" s="20" t="s">
        <v>26</v>
      </c>
      <c r="E13" s="13" t="s">
        <v>27</v>
      </c>
      <c r="F13" s="76" t="s">
        <v>28</v>
      </c>
      <c r="G13" s="14" t="s">
        <v>29</v>
      </c>
      <c r="H13" s="76" t="s">
        <v>28</v>
      </c>
      <c r="I13" s="44" t="s">
        <v>28</v>
      </c>
      <c r="J13" s="119"/>
      <c r="K13" s="15"/>
      <c r="L13" s="51" t="s">
        <v>28</v>
      </c>
      <c r="M13" s="63"/>
      <c r="N13" s="103" t="s">
        <v>30</v>
      </c>
      <c r="O13" s="51" t="s">
        <v>31</v>
      </c>
    </row>
    <row r="14" spans="1:19" ht="12.75">
      <c r="A14" s="16" t="s">
        <v>32</v>
      </c>
      <c r="B14" s="17" t="s">
        <v>33</v>
      </c>
      <c r="C14" s="17">
        <v>3474</v>
      </c>
      <c r="D14" s="17" t="s">
        <v>34</v>
      </c>
      <c r="E14" s="16"/>
      <c r="F14" s="77">
        <v>0.0025</v>
      </c>
      <c r="G14" s="18">
        <v>4</v>
      </c>
      <c r="H14" s="77">
        <f aca="true" t="shared" si="0" ref="H14:H24">IF(G14&gt;5,IF(G14=6,1,IF(G14=7,5,IF(G14=8,100,IF(G14=9,500,IF(G14=10,1000,IF(G14=11,"NA"))))))*(1/$L$9),(IF(G14=1,1,IF(G14=2,10,IF(G14=3,100,IF(G14=4,500,IF(G14=5,1000))))))*$L$7/3600)</f>
        <v>0.4027777777777778</v>
      </c>
      <c r="I14" s="90">
        <f aca="true" t="shared" si="1" ref="I14:I24">F14*IF(B14="S",$N$6,$N$4)</f>
        <v>5.480409568582221E-05</v>
      </c>
      <c r="J14" s="120">
        <f>I14*3600/$L$7</f>
        <v>0.06803267050653791</v>
      </c>
      <c r="K14" s="19" t="str">
        <f aca="true" t="shared" si="2" ref="K14:K24">IF(ISERR(SEARCH("off",N14)),IF(ABS($I14)&gt;ABS($H14),UPPER(N14)," "),UPPER(N14))</f>
        <v> </v>
      </c>
      <c r="L14" s="50" t="str">
        <f aca="true" t="shared" si="3" ref="L14:L24">IF($K14=" "," ",$I14*$O14)</f>
        <v> </v>
      </c>
      <c r="M14" s="19" t="str">
        <f aca="true" t="shared" si="4" ref="M14:M24">IF(ISERR(SEARCH("NH",N14)),IF(ABS($I14*$O14)&gt;ABS($H14*IF(ISERR(SEARCH("IM",N14)),1,(IF(VALUE(LEFT(G14,1))&gt;5,1,($L$9*(3600/$L$7)))))),"X"," ")," ")</f>
        <v> </v>
      </c>
      <c r="N14" s="16"/>
      <c r="O14" s="50">
        <f aca="true" t="shared" si="5" ref="O14:O24">IF(ISERR(SEARCH("NH",N14)),IF(ISERR(SEARCH("BP",N14)),1,0.2),"0")</f>
        <v>1</v>
      </c>
      <c r="Q14" s="4"/>
      <c r="R14" s="4"/>
      <c r="S14" s="4"/>
    </row>
    <row r="15" spans="1:19" ht="12.75">
      <c r="A15" s="16" t="s">
        <v>35</v>
      </c>
      <c r="B15" s="17" t="s">
        <v>33</v>
      </c>
      <c r="C15" s="17">
        <v>4010</v>
      </c>
      <c r="D15" s="17" t="s">
        <v>36</v>
      </c>
      <c r="E15" s="16">
        <v>13.1</v>
      </c>
      <c r="F15" s="77">
        <v>0.0452</v>
      </c>
      <c r="G15" s="18">
        <v>4</v>
      </c>
      <c r="H15" s="77">
        <f t="shared" si="0"/>
        <v>0.4027777777777778</v>
      </c>
      <c r="I15" s="90">
        <f t="shared" si="1"/>
        <v>0.0009908580499996655</v>
      </c>
      <c r="J15" s="120">
        <f aca="true" t="shared" si="6" ref="J15:J21">I15*3600/$L$7</f>
        <v>1.2300306827582055</v>
      </c>
      <c r="K15" s="19" t="str">
        <f t="shared" si="2"/>
        <v> </v>
      </c>
      <c r="L15" s="50" t="str">
        <f t="shared" si="3"/>
        <v> </v>
      </c>
      <c r="M15" s="19" t="str">
        <f t="shared" si="4"/>
        <v> </v>
      </c>
      <c r="N15" s="16"/>
      <c r="O15" s="50">
        <f t="shared" si="5"/>
        <v>1</v>
      </c>
      <c r="Q15" s="4"/>
      <c r="R15" s="4"/>
      <c r="S15" s="4"/>
    </row>
    <row r="16" spans="1:19" ht="12.75">
      <c r="A16" s="16" t="s">
        <v>35</v>
      </c>
      <c r="B16" s="17" t="s">
        <v>33</v>
      </c>
      <c r="C16" s="17">
        <v>4035</v>
      </c>
      <c r="D16" s="17" t="s">
        <v>37</v>
      </c>
      <c r="E16" s="16"/>
      <c r="F16" s="77">
        <v>0.193333</v>
      </c>
      <c r="G16" s="18">
        <v>3</v>
      </c>
      <c r="H16" s="77">
        <f t="shared" si="0"/>
        <v>0.08055555555555556</v>
      </c>
      <c r="I16" s="90">
        <f t="shared" si="1"/>
        <v>0.004238176092490826</v>
      </c>
      <c r="J16" s="120">
        <f t="shared" si="6"/>
        <v>5.261184114816198</v>
      </c>
      <c r="K16" s="19" t="str">
        <f t="shared" si="2"/>
        <v> </v>
      </c>
      <c r="L16" s="50" t="str">
        <f t="shared" si="3"/>
        <v> </v>
      </c>
      <c r="M16" s="19" t="str">
        <f t="shared" si="4"/>
        <v> </v>
      </c>
      <c r="N16" s="16"/>
      <c r="O16" s="50">
        <f t="shared" si="5"/>
        <v>1</v>
      </c>
      <c r="Q16" s="4"/>
      <c r="R16" s="4"/>
      <c r="S16" s="4"/>
    </row>
    <row r="17" spans="1:19" ht="12.75">
      <c r="A17" s="16" t="s">
        <v>35</v>
      </c>
      <c r="B17" s="17" t="s">
        <v>33</v>
      </c>
      <c r="C17" s="17" t="s">
        <v>38</v>
      </c>
      <c r="D17" s="17" t="s">
        <v>39</v>
      </c>
      <c r="E17" s="16"/>
      <c r="F17" s="77">
        <v>0.140333</v>
      </c>
      <c r="G17" s="18">
        <v>3</v>
      </c>
      <c r="H17" s="77">
        <f t="shared" si="0"/>
        <v>0.08055555555555556</v>
      </c>
      <c r="I17" s="90">
        <f t="shared" si="1"/>
        <v>0.0030763292639513955</v>
      </c>
      <c r="J17" s="120">
        <f t="shared" si="6"/>
        <v>3.8188915000775947</v>
      </c>
      <c r="K17" s="19" t="str">
        <f t="shared" si="2"/>
        <v> </v>
      </c>
      <c r="L17" s="50" t="str">
        <f t="shared" si="3"/>
        <v> </v>
      </c>
      <c r="M17" s="19" t="str">
        <f t="shared" si="4"/>
        <v> </v>
      </c>
      <c r="N17" s="16"/>
      <c r="O17" s="50">
        <f t="shared" si="5"/>
        <v>1</v>
      </c>
      <c r="Q17" s="4"/>
      <c r="R17" s="4"/>
      <c r="S17" s="4"/>
    </row>
    <row r="18" spans="1:19" ht="12.75">
      <c r="A18" s="16" t="s">
        <v>35</v>
      </c>
      <c r="B18" s="17" t="s">
        <v>33</v>
      </c>
      <c r="C18" s="17" t="s">
        <v>40</v>
      </c>
      <c r="D18" s="17" t="s">
        <v>41</v>
      </c>
      <c r="E18" s="16"/>
      <c r="F18" s="77">
        <v>0.043</v>
      </c>
      <c r="G18" s="18">
        <v>3</v>
      </c>
      <c r="H18" s="77">
        <f t="shared" si="0"/>
        <v>0.08055555555555556</v>
      </c>
      <c r="I18" s="90">
        <f t="shared" si="1"/>
        <v>0.0009426304457961419</v>
      </c>
      <c r="J18" s="120">
        <f t="shared" si="6"/>
        <v>1.1701619327124522</v>
      </c>
      <c r="K18" s="19" t="str">
        <f t="shared" si="2"/>
        <v> </v>
      </c>
      <c r="L18" s="50" t="str">
        <f t="shared" si="3"/>
        <v> </v>
      </c>
      <c r="M18" s="19" t="str">
        <f t="shared" si="4"/>
        <v> </v>
      </c>
      <c r="N18" s="16"/>
      <c r="O18" s="50">
        <f t="shared" si="5"/>
        <v>1</v>
      </c>
      <c r="Q18" s="4"/>
      <c r="R18" s="4"/>
      <c r="S18" s="4"/>
    </row>
    <row r="19" spans="1:15" ht="12.75">
      <c r="A19" s="16" t="s">
        <v>42</v>
      </c>
      <c r="B19" s="17" t="s">
        <v>33</v>
      </c>
      <c r="C19" s="17" t="s">
        <v>43</v>
      </c>
      <c r="D19" s="17" t="s">
        <v>44</v>
      </c>
      <c r="E19" s="16"/>
      <c r="F19" s="77">
        <v>0.0426667</v>
      </c>
      <c r="G19" s="18">
        <v>2</v>
      </c>
      <c r="H19" s="77">
        <f t="shared" si="0"/>
        <v>0.008055555555555555</v>
      </c>
      <c r="I19" s="90">
        <f t="shared" si="1"/>
        <v>0.0009353239637593082</v>
      </c>
      <c r="J19" s="120">
        <f t="shared" si="6"/>
        <v>1.1610918170805204</v>
      </c>
      <c r="K19" s="19" t="str">
        <f t="shared" si="2"/>
        <v> </v>
      </c>
      <c r="L19" s="50" t="str">
        <f t="shared" si="3"/>
        <v> </v>
      </c>
      <c r="M19" s="19" t="str">
        <f t="shared" si="4"/>
        <v> </v>
      </c>
      <c r="N19" s="16"/>
      <c r="O19" s="50">
        <f t="shared" si="5"/>
        <v>1</v>
      </c>
    </row>
    <row r="20" spans="1:19" ht="12.75">
      <c r="A20" s="16" t="s">
        <v>42</v>
      </c>
      <c r="B20" s="17" t="s">
        <v>33</v>
      </c>
      <c r="C20" s="17" t="s">
        <v>45</v>
      </c>
      <c r="D20" s="17" t="s">
        <v>46</v>
      </c>
      <c r="E20" s="16"/>
      <c r="F20" s="77">
        <f>2.4/60</f>
        <v>0.04</v>
      </c>
      <c r="G20" s="18">
        <v>2</v>
      </c>
      <c r="H20" s="77">
        <f t="shared" si="0"/>
        <v>0.008055555555555555</v>
      </c>
      <c r="I20" s="90">
        <f t="shared" si="1"/>
        <v>0.0008768655309731553</v>
      </c>
      <c r="J20" s="120">
        <f t="shared" si="6"/>
        <v>1.0885227281046066</v>
      </c>
      <c r="K20" s="19" t="str">
        <f t="shared" si="2"/>
        <v> </v>
      </c>
      <c r="L20" s="50" t="str">
        <f t="shared" si="3"/>
        <v> </v>
      </c>
      <c r="M20" s="19" t="str">
        <f t="shared" si="4"/>
        <v> </v>
      </c>
      <c r="N20" s="16"/>
      <c r="O20" s="50">
        <f t="shared" si="5"/>
        <v>1</v>
      </c>
      <c r="Q20" s="4"/>
      <c r="R20" s="4"/>
      <c r="S20" s="4"/>
    </row>
    <row r="21" spans="1:19" ht="12.75">
      <c r="A21" s="16" t="s">
        <v>42</v>
      </c>
      <c r="B21" s="17" t="s">
        <v>33</v>
      </c>
      <c r="C21" s="17">
        <v>4550</v>
      </c>
      <c r="D21" s="17" t="s">
        <v>46</v>
      </c>
      <c r="E21" s="16">
        <v>13.2</v>
      </c>
      <c r="F21" s="77">
        <f>336/60</f>
        <v>5.6</v>
      </c>
      <c r="G21" s="18">
        <v>4</v>
      </c>
      <c r="H21" s="77">
        <f t="shared" si="0"/>
        <v>0.4027777777777778</v>
      </c>
      <c r="I21" s="90">
        <f t="shared" si="1"/>
        <v>0.12276117433624173</v>
      </c>
      <c r="J21" s="120">
        <f t="shared" si="6"/>
        <v>152.3931819346449</v>
      </c>
      <c r="K21" s="19" t="str">
        <f t="shared" si="2"/>
        <v> </v>
      </c>
      <c r="L21" s="50" t="str">
        <f t="shared" si="3"/>
        <v> </v>
      </c>
      <c r="M21" s="19" t="str">
        <f t="shared" si="4"/>
        <v> </v>
      </c>
      <c r="N21" s="16"/>
      <c r="O21" s="50">
        <f t="shared" si="5"/>
        <v>1</v>
      </c>
      <c r="Q21" s="4"/>
      <c r="R21" s="4"/>
      <c r="S21" s="4"/>
    </row>
    <row r="22" spans="1:19" ht="12.75">
      <c r="A22" s="16" t="s">
        <v>47</v>
      </c>
      <c r="B22" s="17" t="s">
        <v>33</v>
      </c>
      <c r="C22" s="17" t="s">
        <v>48</v>
      </c>
      <c r="D22" s="17" t="s">
        <v>36</v>
      </c>
      <c r="E22" s="16"/>
      <c r="F22" s="77">
        <f>282/60</f>
        <v>4.7</v>
      </c>
      <c r="G22" s="18">
        <v>9</v>
      </c>
      <c r="H22" s="77">
        <f t="shared" si="0"/>
        <v>500</v>
      </c>
      <c r="I22" s="90">
        <f t="shared" si="1"/>
        <v>0.10303169988934575</v>
      </c>
      <c r="J22" s="120"/>
      <c r="K22" s="19" t="str">
        <f t="shared" si="2"/>
        <v> </v>
      </c>
      <c r="L22" s="50" t="str">
        <f t="shared" si="3"/>
        <v> </v>
      </c>
      <c r="M22" s="19" t="str">
        <f t="shared" si="4"/>
        <v> </v>
      </c>
      <c r="N22" s="16"/>
      <c r="O22" s="50">
        <f t="shared" si="5"/>
        <v>1</v>
      </c>
      <c r="Q22" s="4"/>
      <c r="R22" s="4"/>
      <c r="S22" s="4"/>
    </row>
    <row r="23" spans="1:19" ht="12.75">
      <c r="A23" s="16" t="s">
        <v>47</v>
      </c>
      <c r="B23" s="17" t="s">
        <v>33</v>
      </c>
      <c r="C23" s="17" t="s">
        <v>49</v>
      </c>
      <c r="D23" s="17" t="s">
        <v>50</v>
      </c>
      <c r="E23" s="16"/>
      <c r="F23" s="77">
        <f>41.4/60</f>
        <v>0.69</v>
      </c>
      <c r="G23" s="18">
        <v>9</v>
      </c>
      <c r="H23" s="77">
        <f t="shared" si="0"/>
        <v>500</v>
      </c>
      <c r="I23" s="90">
        <f t="shared" si="1"/>
        <v>0.015125930409286928</v>
      </c>
      <c r="J23" s="120"/>
      <c r="K23" s="19" t="str">
        <f t="shared" si="2"/>
        <v> </v>
      </c>
      <c r="L23" s="50" t="str">
        <f t="shared" si="3"/>
        <v> </v>
      </c>
      <c r="M23" s="19" t="str">
        <f t="shared" si="4"/>
        <v> </v>
      </c>
      <c r="N23" s="16"/>
      <c r="O23" s="50">
        <f t="shared" si="5"/>
        <v>1</v>
      </c>
      <c r="Q23" s="4"/>
      <c r="R23" s="4"/>
      <c r="S23" s="4"/>
    </row>
    <row r="24" spans="1:19" ht="12.75">
      <c r="A24" s="16" t="s">
        <v>51</v>
      </c>
      <c r="B24" s="17" t="s">
        <v>33</v>
      </c>
      <c r="C24" s="17">
        <v>5700</v>
      </c>
      <c r="D24" s="17" t="s">
        <v>52</v>
      </c>
      <c r="E24" s="16"/>
      <c r="F24" s="77">
        <f>5.4/60</f>
        <v>0.09000000000000001</v>
      </c>
      <c r="G24" s="18">
        <v>9</v>
      </c>
      <c r="H24" s="77">
        <f t="shared" si="0"/>
        <v>500</v>
      </c>
      <c r="I24" s="90">
        <f t="shared" si="1"/>
        <v>0.0019729474446896</v>
      </c>
      <c r="J24" s="120"/>
      <c r="K24" s="19" t="str">
        <f t="shared" si="2"/>
        <v> </v>
      </c>
      <c r="L24" s="50" t="str">
        <f t="shared" si="3"/>
        <v> </v>
      </c>
      <c r="M24" s="19" t="str">
        <f t="shared" si="4"/>
        <v> </v>
      </c>
      <c r="N24" s="16"/>
      <c r="O24" s="50">
        <f t="shared" si="5"/>
        <v>1</v>
      </c>
      <c r="Q24" s="4"/>
      <c r="R24" s="4"/>
      <c r="S24" s="4"/>
    </row>
    <row r="25" spans="8:9" ht="12.75">
      <c r="H25" s="77"/>
      <c r="I25" s="91"/>
    </row>
    <row r="26" spans="1:13" ht="18">
      <c r="A26" s="3" t="s">
        <v>53</v>
      </c>
      <c r="B26" s="3"/>
      <c r="C26" s="8"/>
      <c r="D26" s="68"/>
      <c r="E26" s="8"/>
      <c r="F26" s="75"/>
      <c r="G26" s="8"/>
      <c r="H26" s="77"/>
      <c r="I26" s="92"/>
      <c r="J26" s="117"/>
      <c r="K26" s="10"/>
      <c r="L26" s="37"/>
      <c r="M26" s="9"/>
    </row>
    <row r="27" spans="1:15" s="98" customFormat="1" ht="12">
      <c r="A27" s="11" t="s">
        <v>5</v>
      </c>
      <c r="B27" s="12"/>
      <c r="D27" s="12"/>
      <c r="E27" s="11" t="s">
        <v>6</v>
      </c>
      <c r="F27" s="83" t="s">
        <v>7</v>
      </c>
      <c r="G27" s="11" t="s">
        <v>8</v>
      </c>
      <c r="H27" s="94"/>
      <c r="I27" s="100" t="s">
        <v>9</v>
      </c>
      <c r="J27" s="118" t="s">
        <v>79</v>
      </c>
      <c r="K27" s="95"/>
      <c r="L27" s="96" t="s">
        <v>11</v>
      </c>
      <c r="M27" s="101"/>
      <c r="N27" s="97"/>
      <c r="O27" s="96" t="s">
        <v>12</v>
      </c>
    </row>
    <row r="28" spans="1:15" s="98" customFormat="1" ht="12">
      <c r="A28" s="11" t="s">
        <v>13</v>
      </c>
      <c r="B28" s="12"/>
      <c r="C28" s="12" t="s">
        <v>14</v>
      </c>
      <c r="D28" s="69" t="s">
        <v>15</v>
      </c>
      <c r="E28" s="99" t="s">
        <v>16</v>
      </c>
      <c r="F28" s="83" t="s">
        <v>17</v>
      </c>
      <c r="G28" s="11" t="s">
        <v>18</v>
      </c>
      <c r="H28" s="83" t="s">
        <v>19</v>
      </c>
      <c r="I28" s="100" t="s">
        <v>20</v>
      </c>
      <c r="J28" s="118" t="s">
        <v>80</v>
      </c>
      <c r="K28" s="95" t="s">
        <v>21</v>
      </c>
      <c r="L28" s="96" t="s">
        <v>22</v>
      </c>
      <c r="M28" s="101" t="s">
        <v>23</v>
      </c>
      <c r="N28" s="102" t="s">
        <v>21</v>
      </c>
      <c r="O28" s="96" t="s">
        <v>24</v>
      </c>
    </row>
    <row r="29" spans="1:15" s="98" customFormat="1" ht="12">
      <c r="A29" s="104"/>
      <c r="B29" s="105"/>
      <c r="C29" s="20" t="s">
        <v>25</v>
      </c>
      <c r="D29" s="20" t="s">
        <v>26</v>
      </c>
      <c r="E29" s="13" t="s">
        <v>27</v>
      </c>
      <c r="F29" s="76" t="s">
        <v>28</v>
      </c>
      <c r="G29" s="14" t="s">
        <v>29</v>
      </c>
      <c r="H29" s="76" t="s">
        <v>28</v>
      </c>
      <c r="I29" s="93" t="s">
        <v>28</v>
      </c>
      <c r="J29" s="119"/>
      <c r="K29" s="15"/>
      <c r="L29" s="51" t="s">
        <v>28</v>
      </c>
      <c r="M29" s="63"/>
      <c r="N29" s="103" t="s">
        <v>30</v>
      </c>
      <c r="O29" s="51" t="s">
        <v>31</v>
      </c>
    </row>
    <row r="30" spans="1:15" ht="12.75">
      <c r="A30" s="16" t="s">
        <v>35</v>
      </c>
      <c r="B30" s="17" t="s">
        <v>33</v>
      </c>
      <c r="C30" s="17">
        <v>4040</v>
      </c>
      <c r="D30" s="17" t="s">
        <v>54</v>
      </c>
      <c r="E30" s="16"/>
      <c r="F30" s="77">
        <v>3.5E-06</v>
      </c>
      <c r="G30" s="18">
        <v>4</v>
      </c>
      <c r="H30" s="77">
        <f aca="true" t="shared" si="7" ref="H30:H42">IF(G30&gt;5,IF(G30=6,1,IF(G30=7,5,IF(G30=8,100,IF(G30=9,500,IF(G30=10,1000,IF(G30=11,"NA"))))))*(1/$L$9),(IF(G30=1,1,IF(G30=2,10,IF(G30=3,100,IF(G30=4,500,IF(G30=5,1000))))))*$L$7/3600)</f>
        <v>0.4027777777777778</v>
      </c>
      <c r="I30" s="90">
        <f aca="true" t="shared" si="8" ref="I30:I43">F30*IF(B30="S",$N$6,$N$4)</f>
        <v>7.672573396015109E-08</v>
      </c>
      <c r="J30" s="120">
        <f aca="true" t="shared" si="9" ref="J30:J43">I30*3600/$L$7</f>
        <v>9.524573870915308E-05</v>
      </c>
      <c r="K30" s="19" t="str">
        <f aca="true" t="shared" si="10" ref="K30:K43">IF(ISERR(SEARCH("off",N30)),IF(ABS($I30)&gt;ABS($H30),UPPER(N30)," "),UPPER(N30))</f>
        <v> </v>
      </c>
      <c r="L30" s="50" t="str">
        <f aca="true" t="shared" si="11" ref="L30:L43">IF($K30=" "," ",$I30*$O30)</f>
        <v> </v>
      </c>
      <c r="M30" s="19" t="str">
        <f aca="true" t="shared" si="12" ref="M30:M43">IF(ISERR(SEARCH("NH",N30)),IF(ABS($I30*$O30)&gt;ABS($H30*IF(ISERR(SEARCH("IM",N30)),1,(IF(VALUE(LEFT(G30,1))&gt;5,1,($L$9*(3600/$L$7)))))),"X"," ")," ")</f>
        <v> </v>
      </c>
      <c r="N30" s="16"/>
      <c r="O30" s="50">
        <f aca="true" t="shared" si="13" ref="O30:O43">IF(ISERR(SEARCH("NH",N30)),IF(ISERR(SEARCH("BP",N30)),1,0.2),"0")</f>
        <v>1</v>
      </c>
    </row>
    <row r="31" spans="1:15" ht="12.75">
      <c r="A31" s="16" t="s">
        <v>35</v>
      </c>
      <c r="B31" s="17" t="s">
        <v>33</v>
      </c>
      <c r="C31" s="17">
        <v>4060</v>
      </c>
      <c r="D31" s="17" t="s">
        <v>55</v>
      </c>
      <c r="E31" s="16"/>
      <c r="F31" s="77">
        <v>1.4</v>
      </c>
      <c r="G31" s="18">
        <v>4</v>
      </c>
      <c r="H31" s="77">
        <f t="shared" si="7"/>
        <v>0.4027777777777778</v>
      </c>
      <c r="I31" s="90">
        <f t="shared" si="8"/>
        <v>0.030690293584060432</v>
      </c>
      <c r="J31" s="120">
        <f t="shared" si="9"/>
        <v>38.098295483661225</v>
      </c>
      <c r="K31" s="19" t="str">
        <f t="shared" si="10"/>
        <v> </v>
      </c>
      <c r="L31" s="50" t="str">
        <f t="shared" si="11"/>
        <v> </v>
      </c>
      <c r="M31" s="19" t="str">
        <f t="shared" si="12"/>
        <v> </v>
      </c>
      <c r="N31" s="16"/>
      <c r="O31" s="50">
        <f t="shared" si="13"/>
        <v>1</v>
      </c>
    </row>
    <row r="32" spans="1:15" ht="12.75">
      <c r="A32" s="16" t="s">
        <v>35</v>
      </c>
      <c r="B32" s="17" t="s">
        <v>33</v>
      </c>
      <c r="C32" s="17" t="s">
        <v>56</v>
      </c>
      <c r="D32" s="17" t="s">
        <v>57</v>
      </c>
      <c r="E32" s="16"/>
      <c r="F32" s="77">
        <v>0.04</v>
      </c>
      <c r="G32" s="18">
        <v>3</v>
      </c>
      <c r="H32" s="77">
        <f t="shared" si="7"/>
        <v>0.08055555555555556</v>
      </c>
      <c r="I32" s="90">
        <f t="shared" si="8"/>
        <v>0.0008768655309731553</v>
      </c>
      <c r="J32" s="120">
        <f t="shared" si="9"/>
        <v>1.0885227281046066</v>
      </c>
      <c r="K32" s="19" t="str">
        <f t="shared" si="10"/>
        <v> </v>
      </c>
      <c r="L32" s="50" t="str">
        <f t="shared" si="11"/>
        <v> </v>
      </c>
      <c r="M32" s="19" t="str">
        <f t="shared" si="12"/>
        <v> </v>
      </c>
      <c r="N32" s="16"/>
      <c r="O32" s="50">
        <f t="shared" si="13"/>
        <v>1</v>
      </c>
    </row>
    <row r="33" spans="1:15" ht="12.75">
      <c r="A33" s="16" t="s">
        <v>35</v>
      </c>
      <c r="B33" s="17" t="s">
        <v>33</v>
      </c>
      <c r="C33" s="17" t="s">
        <v>58</v>
      </c>
      <c r="D33" s="17" t="s">
        <v>59</v>
      </c>
      <c r="E33" s="16">
        <v>2.65</v>
      </c>
      <c r="F33" s="77">
        <f>27/60</f>
        <v>0.45</v>
      </c>
      <c r="G33" s="18">
        <v>3</v>
      </c>
      <c r="H33" s="77">
        <f t="shared" si="7"/>
        <v>0.08055555555555556</v>
      </c>
      <c r="I33" s="90">
        <f t="shared" si="8"/>
        <v>0.009864737223447998</v>
      </c>
      <c r="J33" s="120">
        <f t="shared" si="9"/>
        <v>12.245880691176826</v>
      </c>
      <c r="K33" s="19" t="str">
        <f t="shared" si="10"/>
        <v> </v>
      </c>
      <c r="L33" s="50" t="str">
        <f t="shared" si="11"/>
        <v> </v>
      </c>
      <c r="M33" s="19" t="str">
        <f t="shared" si="12"/>
        <v> </v>
      </c>
      <c r="N33" s="16"/>
      <c r="O33" s="50">
        <f t="shared" si="13"/>
        <v>1</v>
      </c>
    </row>
    <row r="34" spans="1:15" ht="12.75">
      <c r="A34" s="16" t="s">
        <v>35</v>
      </c>
      <c r="B34" s="17" t="s">
        <v>33</v>
      </c>
      <c r="C34" s="17" t="s">
        <v>60</v>
      </c>
      <c r="D34" s="17" t="s">
        <v>59</v>
      </c>
      <c r="E34" s="16">
        <v>2.65</v>
      </c>
      <c r="F34" s="77">
        <f>27/60</f>
        <v>0.45</v>
      </c>
      <c r="G34" s="18">
        <v>3</v>
      </c>
      <c r="H34" s="77">
        <f t="shared" si="7"/>
        <v>0.08055555555555556</v>
      </c>
      <c r="I34" s="90">
        <f t="shared" si="8"/>
        <v>0.009864737223447998</v>
      </c>
      <c r="J34" s="120">
        <f t="shared" si="9"/>
        <v>12.245880691176826</v>
      </c>
      <c r="K34" s="19" t="str">
        <f t="shared" si="10"/>
        <v> </v>
      </c>
      <c r="L34" s="50" t="str">
        <f t="shared" si="11"/>
        <v> </v>
      </c>
      <c r="M34" s="19" t="str">
        <f t="shared" si="12"/>
        <v> </v>
      </c>
      <c r="N34" s="16"/>
      <c r="O34" s="50">
        <f t="shared" si="13"/>
        <v>1</v>
      </c>
    </row>
    <row r="35" spans="1:15" ht="12.75">
      <c r="A35" s="16" t="s">
        <v>35</v>
      </c>
      <c r="B35" s="17" t="s">
        <v>33</v>
      </c>
      <c r="C35" s="17" t="s">
        <v>61</v>
      </c>
      <c r="D35" s="17" t="s">
        <v>59</v>
      </c>
      <c r="E35" s="16">
        <v>2.65</v>
      </c>
      <c r="F35" s="77">
        <f>27/60</f>
        <v>0.45</v>
      </c>
      <c r="G35" s="18">
        <v>3</v>
      </c>
      <c r="H35" s="77">
        <f t="shared" si="7"/>
        <v>0.08055555555555556</v>
      </c>
      <c r="I35" s="90">
        <f t="shared" si="8"/>
        <v>0.009864737223447998</v>
      </c>
      <c r="J35" s="120">
        <f t="shared" si="9"/>
        <v>12.245880691176826</v>
      </c>
      <c r="K35" s="19" t="str">
        <f t="shared" si="10"/>
        <v> </v>
      </c>
      <c r="L35" s="50" t="str">
        <f t="shared" si="11"/>
        <v> </v>
      </c>
      <c r="M35" s="19" t="str">
        <f t="shared" si="12"/>
        <v> </v>
      </c>
      <c r="N35" s="16"/>
      <c r="O35" s="50">
        <f t="shared" si="13"/>
        <v>1</v>
      </c>
    </row>
    <row r="36" spans="1:15" ht="12.75">
      <c r="A36" s="16" t="s">
        <v>35</v>
      </c>
      <c r="B36" s="17" t="s">
        <v>33</v>
      </c>
      <c r="C36" s="17">
        <v>4200</v>
      </c>
      <c r="D36" s="17" t="s">
        <v>62</v>
      </c>
      <c r="E36" s="16"/>
      <c r="F36" s="77">
        <v>0.0002</v>
      </c>
      <c r="G36" s="18">
        <v>4</v>
      </c>
      <c r="H36" s="77">
        <f t="shared" si="7"/>
        <v>0.4027777777777778</v>
      </c>
      <c r="I36" s="90">
        <f t="shared" si="8"/>
        <v>4.384327654865776E-06</v>
      </c>
      <c r="J36" s="120">
        <f t="shared" si="9"/>
        <v>0.005442613640523033</v>
      </c>
      <c r="K36" s="19" t="str">
        <f t="shared" si="10"/>
        <v> </v>
      </c>
      <c r="L36" s="50" t="str">
        <f t="shared" si="11"/>
        <v> </v>
      </c>
      <c r="M36" s="19" t="str">
        <f t="shared" si="12"/>
        <v> </v>
      </c>
      <c r="N36" s="16"/>
      <c r="O36" s="50">
        <f t="shared" si="13"/>
        <v>1</v>
      </c>
    </row>
    <row r="37" spans="1:15" ht="12.75">
      <c r="A37" s="16" t="s">
        <v>42</v>
      </c>
      <c r="B37" s="17" t="s">
        <v>33</v>
      </c>
      <c r="C37" s="17">
        <v>4350</v>
      </c>
      <c r="D37" s="17" t="s">
        <v>63</v>
      </c>
      <c r="E37" s="16" t="s">
        <v>64</v>
      </c>
      <c r="F37" s="77">
        <v>0</v>
      </c>
      <c r="G37" s="18">
        <v>4</v>
      </c>
      <c r="H37" s="77">
        <f t="shared" si="7"/>
        <v>0.4027777777777778</v>
      </c>
      <c r="I37" s="90">
        <f t="shared" si="8"/>
        <v>0</v>
      </c>
      <c r="J37" s="120">
        <f t="shared" si="9"/>
        <v>0</v>
      </c>
      <c r="K37" s="19" t="str">
        <f t="shared" si="10"/>
        <v> </v>
      </c>
      <c r="L37" s="50" t="str">
        <f t="shared" si="11"/>
        <v> </v>
      </c>
      <c r="M37" s="19" t="str">
        <f t="shared" si="12"/>
        <v> </v>
      </c>
      <c r="N37" s="16"/>
      <c r="O37" s="50">
        <f t="shared" si="13"/>
        <v>1</v>
      </c>
    </row>
    <row r="38" spans="1:15" ht="12.75">
      <c r="A38" s="16" t="s">
        <v>65</v>
      </c>
      <c r="B38" s="17" t="s">
        <v>33</v>
      </c>
      <c r="C38" s="17">
        <v>4650</v>
      </c>
      <c r="D38" s="17" t="s">
        <v>66</v>
      </c>
      <c r="E38" s="16"/>
      <c r="F38" s="77">
        <f>127/60</f>
        <v>2.1166666666666667</v>
      </c>
      <c r="G38" s="18">
        <v>4</v>
      </c>
      <c r="H38" s="77">
        <f t="shared" si="7"/>
        <v>0.4027777777777778</v>
      </c>
      <c r="I38" s="90">
        <f t="shared" si="8"/>
        <v>0.046400801013996136</v>
      </c>
      <c r="J38" s="120">
        <f t="shared" si="9"/>
        <v>57.60099436220211</v>
      </c>
      <c r="K38" s="19" t="str">
        <f t="shared" si="10"/>
        <v> </v>
      </c>
      <c r="L38" s="50" t="str">
        <f t="shared" si="11"/>
        <v> </v>
      </c>
      <c r="M38" s="19" t="str">
        <f t="shared" si="12"/>
        <v> </v>
      </c>
      <c r="N38" s="16"/>
      <c r="O38" s="50">
        <f t="shared" si="13"/>
        <v>1</v>
      </c>
    </row>
    <row r="39" spans="1:15" ht="12.75">
      <c r="A39" s="16" t="s">
        <v>65</v>
      </c>
      <c r="B39" s="17" t="s">
        <v>33</v>
      </c>
      <c r="C39" s="17">
        <v>4970</v>
      </c>
      <c r="D39" s="17" t="s">
        <v>36</v>
      </c>
      <c r="E39" s="16"/>
      <c r="F39" s="77">
        <v>0.82</v>
      </c>
      <c r="G39" s="18">
        <v>4</v>
      </c>
      <c r="H39" s="77">
        <f t="shared" si="7"/>
        <v>0.4027777777777778</v>
      </c>
      <c r="I39" s="90">
        <f t="shared" si="8"/>
        <v>0.017975743384949682</v>
      </c>
      <c r="J39" s="120">
        <f t="shared" si="9"/>
        <v>22.31471592614443</v>
      </c>
      <c r="K39" s="19" t="str">
        <f t="shared" si="10"/>
        <v> </v>
      </c>
      <c r="L39" s="50" t="str">
        <f t="shared" si="11"/>
        <v> </v>
      </c>
      <c r="M39" s="19" t="str">
        <f t="shared" si="12"/>
        <v> </v>
      </c>
      <c r="N39" s="16"/>
      <c r="O39" s="50">
        <f t="shared" si="13"/>
        <v>1</v>
      </c>
    </row>
    <row r="40" spans="1:15" ht="12.75">
      <c r="A40" s="16" t="s">
        <v>65</v>
      </c>
      <c r="B40" s="17" t="s">
        <v>33</v>
      </c>
      <c r="C40" s="17">
        <v>4985</v>
      </c>
      <c r="D40" s="17" t="s">
        <v>67</v>
      </c>
      <c r="E40" s="16" t="s">
        <v>64</v>
      </c>
      <c r="F40" s="77">
        <v>0</v>
      </c>
      <c r="G40" s="18">
        <v>4</v>
      </c>
      <c r="H40" s="77">
        <f t="shared" si="7"/>
        <v>0.4027777777777778</v>
      </c>
      <c r="I40" s="90">
        <f t="shared" si="8"/>
        <v>0</v>
      </c>
      <c r="J40" s="120">
        <f t="shared" si="9"/>
        <v>0</v>
      </c>
      <c r="K40" s="19" t="str">
        <f t="shared" si="10"/>
        <v> </v>
      </c>
      <c r="L40" s="50" t="str">
        <f t="shared" si="11"/>
        <v> </v>
      </c>
      <c r="M40" s="19" t="str">
        <f t="shared" si="12"/>
        <v> </v>
      </c>
      <c r="N40" s="16"/>
      <c r="O40" s="50">
        <f t="shared" si="13"/>
        <v>1</v>
      </c>
    </row>
    <row r="41" spans="1:15" ht="12.75">
      <c r="A41" s="16" t="s">
        <v>68</v>
      </c>
      <c r="B41" s="17" t="s">
        <v>33</v>
      </c>
      <c r="C41" s="17">
        <v>5300</v>
      </c>
      <c r="D41" s="17" t="s">
        <v>69</v>
      </c>
      <c r="E41" s="16" t="s">
        <v>64</v>
      </c>
      <c r="F41" s="77">
        <v>0</v>
      </c>
      <c r="G41" s="18">
        <v>4</v>
      </c>
      <c r="H41" s="77">
        <f t="shared" si="7"/>
        <v>0.4027777777777778</v>
      </c>
      <c r="I41" s="90">
        <f t="shared" si="8"/>
        <v>0</v>
      </c>
      <c r="J41" s="120">
        <f t="shared" si="9"/>
        <v>0</v>
      </c>
      <c r="K41" s="19" t="str">
        <f t="shared" si="10"/>
        <v> </v>
      </c>
      <c r="L41" s="50" t="str">
        <f t="shared" si="11"/>
        <v> </v>
      </c>
      <c r="M41" s="19" t="str">
        <f t="shared" si="12"/>
        <v> </v>
      </c>
      <c r="N41" s="16"/>
      <c r="O41" s="50">
        <f t="shared" si="13"/>
        <v>1</v>
      </c>
    </row>
    <row r="42" spans="1:15" ht="12.75">
      <c r="A42" s="16" t="s">
        <v>47</v>
      </c>
      <c r="B42" s="17" t="s">
        <v>33</v>
      </c>
      <c r="C42" s="17">
        <v>5510</v>
      </c>
      <c r="D42" s="17" t="s">
        <v>70</v>
      </c>
      <c r="E42" s="16" t="s">
        <v>64</v>
      </c>
      <c r="F42" s="77">
        <v>0</v>
      </c>
      <c r="G42" s="18">
        <v>4</v>
      </c>
      <c r="H42" s="77">
        <f t="shared" si="7"/>
        <v>0.4027777777777778</v>
      </c>
      <c r="I42" s="90">
        <f t="shared" si="8"/>
        <v>0</v>
      </c>
      <c r="J42" s="120">
        <f t="shared" si="9"/>
        <v>0</v>
      </c>
      <c r="K42" s="19" t="str">
        <f t="shared" si="10"/>
        <v> </v>
      </c>
      <c r="L42" s="50" t="str">
        <f t="shared" si="11"/>
        <v> </v>
      </c>
      <c r="M42" s="19" t="str">
        <f t="shared" si="12"/>
        <v> </v>
      </c>
      <c r="N42" s="16"/>
      <c r="O42" s="50">
        <f t="shared" si="13"/>
        <v>1</v>
      </c>
    </row>
    <row r="43" spans="1:15" ht="12.75">
      <c r="A43" s="16" t="s">
        <v>71</v>
      </c>
      <c r="B43" s="17" t="s">
        <v>33</v>
      </c>
      <c r="C43" s="17">
        <v>5657</v>
      </c>
      <c r="D43" s="17" t="s">
        <v>72</v>
      </c>
      <c r="E43" s="16"/>
      <c r="F43" s="77">
        <f>628.8/60</f>
        <v>10.479999999999999</v>
      </c>
      <c r="G43" s="18">
        <v>4</v>
      </c>
      <c r="H43" s="77">
        <f>IF(G43&gt;5,IF(G43=6,1,IF(G43=7,2.5,IF(G43=8,10,IF(G43=9,50,IF(G43=10,100,IF(G43=11,500)))))),(IF(G43=1,1,IF(G43=2,10,IF(G43=3,100,IF(G43=4,500,IF(G43=5,1000))))))*$L$7/3600)</f>
        <v>0.4027777777777778</v>
      </c>
      <c r="I43" s="45">
        <f t="shared" si="8"/>
        <v>0.22973876911496666</v>
      </c>
      <c r="J43" s="120">
        <f t="shared" si="9"/>
        <v>285.1929547634069</v>
      </c>
      <c r="K43" s="19" t="str">
        <f t="shared" si="10"/>
        <v> </v>
      </c>
      <c r="L43" s="50" t="str">
        <f t="shared" si="11"/>
        <v> </v>
      </c>
      <c r="M43" s="19" t="str">
        <f t="shared" si="12"/>
        <v> </v>
      </c>
      <c r="N43" s="16"/>
      <c r="O43" s="50">
        <f t="shared" si="13"/>
        <v>1</v>
      </c>
    </row>
    <row r="44" spans="11:14" ht="12.75">
      <c r="K44"/>
      <c r="L44" s="39"/>
      <c r="N44" s="36"/>
    </row>
    <row r="45" spans="8:14" ht="12.75">
      <c r="H45"/>
      <c r="K45"/>
      <c r="L45" s="39"/>
      <c r="N45" s="36"/>
    </row>
    <row r="46" spans="1:8" ht="12.75" hidden="1">
      <c r="A46"/>
      <c r="B46"/>
      <c r="C46"/>
      <c r="D46" s="31" t="s">
        <v>73</v>
      </c>
      <c r="E46"/>
      <c r="G46"/>
      <c r="H46"/>
    </row>
    <row r="47" spans="1:7" ht="12.75" hidden="1">
      <c r="A47"/>
      <c r="B47"/>
      <c r="C47"/>
      <c r="D47" s="70" t="s">
        <v>74</v>
      </c>
      <c r="E47"/>
      <c r="G47"/>
    </row>
    <row r="48" spans="1:7" ht="12.75">
      <c r="A48"/>
      <c r="B48"/>
      <c r="C48"/>
      <c r="E48"/>
      <c r="G48"/>
    </row>
    <row r="49" spans="1:7" ht="12.75">
      <c r="A49"/>
      <c r="B49"/>
      <c r="C49"/>
      <c r="E49"/>
      <c r="G49"/>
    </row>
    <row r="50" spans="3:16" ht="12.75">
      <c r="C50"/>
      <c r="P50" s="32"/>
    </row>
    <row r="51" ht="45" thickBot="1">
      <c r="B51" s="108" t="s">
        <v>82</v>
      </c>
    </row>
    <row r="52" spans="6:10" ht="13.5" thickBot="1">
      <c r="F52" s="109"/>
      <c r="G52" s="110"/>
      <c r="H52" s="111" t="s">
        <v>75</v>
      </c>
      <c r="I52" s="112"/>
      <c r="J52" s="122"/>
    </row>
    <row r="53" spans="6:10" ht="13.5" thickBot="1">
      <c r="F53" s="109" t="s">
        <v>76</v>
      </c>
      <c r="G53" s="110"/>
      <c r="H53" s="111"/>
      <c r="I53" s="112"/>
      <c r="J53" s="122"/>
    </row>
    <row r="54" spans="6:10" ht="13.5" thickBot="1">
      <c r="F54" s="109" t="s">
        <v>77</v>
      </c>
      <c r="G54" s="110"/>
      <c r="H54" s="113"/>
      <c r="I54" s="112"/>
      <c r="J54" s="122"/>
    </row>
    <row r="55" spans="6:10" ht="13.5" thickBot="1">
      <c r="F55" s="109" t="s">
        <v>78</v>
      </c>
      <c r="G55" s="110"/>
      <c r="H55" s="111"/>
      <c r="I55" s="112"/>
      <c r="J55" s="122"/>
    </row>
  </sheetData>
  <sheetProtection password="CB7B"/>
  <printOptions/>
  <pageMargins left="0.75" right="0.75" top="1" bottom="1" header="0.5" footer="0.5"/>
  <pageSetup fitToHeight="0" fitToWidth="1" horizontalDpi="600" verticalDpi="600" orientation="portrait" scale="59" r:id="rId1"/>
  <headerFooter alignWithMargins="0">
    <oddHeader>&amp;C&amp;F &amp;R&amp;D 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chuckb</cp:lastModifiedBy>
  <cp:lastPrinted>2003-02-03T20:12:22Z</cp:lastPrinted>
  <dcterms:created xsi:type="dcterms:W3CDTF">2003-11-10T17:22:36Z</dcterms:created>
  <dcterms:modified xsi:type="dcterms:W3CDTF">2003-11-10T17:22:36Z</dcterms:modified>
  <cp:category/>
  <cp:version/>
  <cp:contentType/>
  <cp:contentStatus/>
</cp:coreProperties>
</file>