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firstSheet="2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<sst xmlns="http://schemas.openxmlformats.org/spreadsheetml/2006/main" count="577" uniqueCount="215">
  <si>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</si>
  <si>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</si>
  <si>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</si>
  <si>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</si>
  <si>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</si>
  <si>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</si>
  <si>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</si>
  <si>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</si>
  <si>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</si>
  <si>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</si>
  <si>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</si>
  <si>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</si>
  <si>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</si>
  <si>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</si>
  <si>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</si>
  <si>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</si>
  <si>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</si>
  <si>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</si>
  <si>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</si>
  <si>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</si>
  <si>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</si>
  <si>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</si>
  <si>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</si>
  <si>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</si>
  <si>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</si>
  <si>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</si>
  <si>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</si>
  <si>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</si>
  <si>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</si>
  <si>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</si>
  <si>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</si>
  <si>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</si>
  <si>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</si>
  <si>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</si>
  <si>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</si>
  <si>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</si>
  <si>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</si>
  <si>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</si>
  <si>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</si>
  <si>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</si>
  <si>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</si>
  <si>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</si>
  <si>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</si>
  <si>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</si>
  <si>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</si>
  <si>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</si>
  <si>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</si>
  <si>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</si>
  <si>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</si>
  <si>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</si>
  <si>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DRE</t>
  </si>
  <si>
    <t>lb/hr</t>
  </si>
  <si>
    <t>Spike</t>
  </si>
  <si>
    <t>ug/dscm</t>
  </si>
  <si>
    <t>SVM</t>
  </si>
  <si>
    <t>LVM</t>
  </si>
  <si>
    <t>O2 (%)</t>
  </si>
  <si>
    <t>TEQ Cond Avg</t>
  </si>
  <si>
    <t>Total Cond Avg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</si>
  <si>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</si>
  <si>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</si>
  <si>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</si>
  <si>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</si>
  <si>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</si>
  <si>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</si>
  <si>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</si>
  <si>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</si>
  <si>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</si>
  <si>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</si>
  <si>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</si>
  <si>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</si>
  <si>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</si>
  <si>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</si>
  <si>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</si>
  <si>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</si>
  <si>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</si>
  <si>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</si>
  <si>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</si>
  <si>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</si>
  <si>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</si>
  <si>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</si>
  <si>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</si>
  <si>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</si>
  <si>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</si>
  <si>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</si>
  <si>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</si>
  <si>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</si>
  <si>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</si>
  <si>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</si>
  <si>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</si>
  <si>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</si>
  <si>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</si>
  <si>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</si>
  <si>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</si>
  <si>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</si>
  <si>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</si>
  <si>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</si>
  <si>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nd</t>
  </si>
  <si>
    <t>Detected in sample volume (pg)</t>
  </si>
  <si>
    <t>n</t>
  </si>
  <si>
    <t>Phase I ID No.</t>
  </si>
  <si>
    <t>Silver</t>
  </si>
  <si>
    <t>Arsenic</t>
  </si>
  <si>
    <t>Barium</t>
  </si>
  <si>
    <t>Cadmium</t>
  </si>
  <si>
    <t>Nickel</t>
  </si>
  <si>
    <t>Antimony</t>
  </si>
  <si>
    <t>Selenium</t>
  </si>
  <si>
    <t>Thallium</t>
  </si>
  <si>
    <t>Zinc</t>
  </si>
  <si>
    <t>CO (RA)</t>
  </si>
  <si>
    <t>in H2O</t>
  </si>
  <si>
    <t>TRC Environmental</t>
  </si>
  <si>
    <t>Run 2</t>
  </si>
  <si>
    <t>CO (MHRA)</t>
  </si>
  <si>
    <t xml:space="preserve">POHC </t>
  </si>
  <si>
    <t>POHC Feedrate</t>
  </si>
  <si>
    <t>Emission Rate</t>
  </si>
  <si>
    <t>&gt;</t>
  </si>
  <si>
    <t>Stack Gas Flowrate</t>
  </si>
  <si>
    <t>Oxygen</t>
  </si>
  <si>
    <t>Feedrate MTEC Calculations</t>
  </si>
  <si>
    <t>7%O2</t>
  </si>
  <si>
    <t>TOCDF, MPF</t>
  </si>
  <si>
    <t>TXD000461533</t>
  </si>
  <si>
    <t>Texas City</t>
  </si>
  <si>
    <t>TX</t>
  </si>
  <si>
    <t>VA-5 Polymer Incinerator</t>
  </si>
  <si>
    <t>3025C1</t>
  </si>
  <si>
    <t>TRC Environmental Corp</t>
  </si>
  <si>
    <t>3025C2</t>
  </si>
  <si>
    <t>Trial burn - Max temp</t>
  </si>
  <si>
    <t>Trial burn - Min temp</t>
  </si>
  <si>
    <t>3025C3</t>
  </si>
  <si>
    <t>Vinyl acetate (VA) polymer residue</t>
  </si>
  <si>
    <t>WQ/HE/DM/ME</t>
  </si>
  <si>
    <t>Quench pot, air cooled heat exchanger/condenser/demistor, fiberglass filter mist eliminator</t>
  </si>
  <si>
    <t>Fuel gas</t>
  </si>
  <si>
    <t>Comb Chamb Temp</t>
  </si>
  <si>
    <t xml:space="preserve">Fuel gas feed </t>
  </si>
  <si>
    <t xml:space="preserve">Comb gas vel indicator </t>
  </si>
  <si>
    <t>scfm</t>
  </si>
  <si>
    <t>VA-5 residue</t>
  </si>
  <si>
    <t>Chlorine</t>
  </si>
  <si>
    <t>g/hr</t>
  </si>
  <si>
    <t xml:space="preserve">PM </t>
  </si>
  <si>
    <t>Monochlorobenzene</t>
  </si>
  <si>
    <t>Toluene</t>
  </si>
  <si>
    <t xml:space="preserve">Mist eliminator (plume filter) Pressure </t>
  </si>
  <si>
    <t>DRE, Gas flowrate</t>
  </si>
  <si>
    <t xml:space="preserve">Risk burn </t>
  </si>
  <si>
    <t>Risk burn, Aug 10-11, 1999</t>
  </si>
  <si>
    <t>Btu/lb</t>
  </si>
  <si>
    <t>MMBtu/hr</t>
  </si>
  <si>
    <t>RCRA</t>
  </si>
  <si>
    <t>PM, CO, Cr6, PSD, feed metals/ash/Cl,</t>
  </si>
  <si>
    <t>37 (27: waste, 10: fuel gas)</t>
  </si>
  <si>
    <t>Total value can not be calculated</t>
  </si>
  <si>
    <t>Union Carbide</t>
  </si>
  <si>
    <t>John Zinc liquid waste incinerator</t>
  </si>
  <si>
    <t>Combustor Type</t>
  </si>
  <si>
    <t>Combustor Class</t>
  </si>
  <si>
    <t>Liquid injection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</si>
  <si>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</si>
  <si>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</si>
  <si>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</si>
  <si>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</si>
  <si>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</si>
  <si>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</si>
  <si>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</si>
  <si>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</si>
  <si>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Waste</t>
  </si>
  <si>
    <t>Feedstream 1</t>
  </si>
  <si>
    <t>R1</t>
  </si>
  <si>
    <t>R2</t>
  </si>
  <si>
    <t>R3</t>
  </si>
  <si>
    <t>VA-5 Incinerator Trial Burn/Risk Burn Report, February 2000</t>
  </si>
  <si>
    <t>E1</t>
  </si>
  <si>
    <t>Chromium (Hex)</t>
  </si>
  <si>
    <t>E2</t>
  </si>
  <si>
    <t>Cr+6</t>
  </si>
  <si>
    <t xml:space="preserve">DRE </t>
  </si>
  <si>
    <t xml:space="preserve">PCDD/F </t>
  </si>
  <si>
    <t>Cond Dates</t>
  </si>
  <si>
    <t>August 17-18, 1999</t>
  </si>
  <si>
    <t>August 10-11, 1999</t>
  </si>
  <si>
    <t>Number of Sister Facilities</t>
  </si>
  <si>
    <t>APCS Detailed Acronym</t>
  </si>
  <si>
    <t>APCS General Class</t>
  </si>
  <si>
    <t>WQ, HE</t>
  </si>
  <si>
    <t>Liq</t>
  </si>
  <si>
    <t>source</t>
  </si>
  <si>
    <t>cond</t>
  </si>
  <si>
    <t>emiss</t>
  </si>
  <si>
    <t>feed</t>
  </si>
  <si>
    <t>process</t>
  </si>
  <si>
    <t>df c3</t>
  </si>
  <si>
    <t>Onsite incinerator</t>
  </si>
  <si>
    <t>Misc fuel</t>
  </si>
  <si>
    <t>Feedstream Number</t>
  </si>
  <si>
    <t>Feed Class</t>
  </si>
  <si>
    <t>Liq HW</t>
  </si>
  <si>
    <t>F1</t>
  </si>
  <si>
    <t>F2</t>
  </si>
  <si>
    <t>F3</t>
  </si>
  <si>
    <t>Misc. Fuel</t>
  </si>
  <si>
    <t>Heating Value</t>
  </si>
  <si>
    <t>Feed Class 2</t>
  </si>
  <si>
    <t>CO, PCDD/F,VOC/SVOC, TOC</t>
  </si>
  <si>
    <t>C</t>
  </si>
  <si>
    <t>Run 1</t>
  </si>
  <si>
    <t>Run 3</t>
  </si>
  <si>
    <t>Full ND</t>
  </si>
  <si>
    <t>N</t>
  </si>
  <si>
    <t>Thermal Feedrate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</si>
</sst>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191</v>
      </c>
    </row>
    <row r="2" ht="12.75">
      <c r="A2" t="s">
        <v>192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  <row r="6" ht="12.75">
      <c r="A6" t="s">
        <v>196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1"/>
  <sheetViews>
    <sheetView workbookViewId="0" topLeftCell="B1">
      <selection activeCell="C11" sqref="C11"/>
    </sheetView>
  </sheetViews>
  <sheetFormatPr defaultColWidth="9.140625" defaultRowHeight="12.75"/>
  <cols>
    <col min="1" max="1" width="1.7109375" style="1" hidden="1" customWidth="1"/>
    <col min="2" max="2" width="26.57421875" style="1" customWidth="1"/>
    <col min="3" max="3" width="58.421875" style="1" customWidth="1"/>
    <col min="4" max="16384" width="8.8515625" style="1" customWidth="1"/>
  </cols>
  <sheetData>
    <row r="1" spans="2:12" ht="12.75">
      <c r="B1" s="3" t="s">
        <v>71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100</v>
      </c>
      <c r="C3" s="10">
        <v>3025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9" t="s">
        <v>124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158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125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126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127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186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161</v>
      </c>
      <c r="C12" s="9" t="s">
        <v>197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160</v>
      </c>
      <c r="C13" s="9" t="s">
        <v>162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s="42" customFormat="1" ht="12.75">
      <c r="B14" s="41" t="s">
        <v>61</v>
      </c>
      <c r="C14" s="41" t="s">
        <v>159</v>
      </c>
      <c r="D14" s="41"/>
      <c r="E14" s="41"/>
      <c r="F14" s="41"/>
      <c r="G14" s="41"/>
      <c r="H14" s="41"/>
      <c r="I14" s="41"/>
      <c r="J14" s="41"/>
      <c r="K14" s="41"/>
      <c r="L14" s="41"/>
    </row>
    <row r="15" spans="2:12" s="42" customFormat="1" ht="12.75">
      <c r="B15" s="41" t="s">
        <v>68</v>
      </c>
      <c r="C15" s="43" t="s">
        <v>156</v>
      </c>
      <c r="D15" s="41"/>
      <c r="E15" s="41"/>
      <c r="F15" s="41"/>
      <c r="G15" s="41"/>
      <c r="H15" s="41"/>
      <c r="I15" s="41"/>
      <c r="J15" s="41"/>
      <c r="K15" s="41"/>
      <c r="L15" s="41"/>
    </row>
    <row r="16" spans="2:12" s="42" customFormat="1" ht="12.75">
      <c r="B16" s="9" t="s">
        <v>72</v>
      </c>
      <c r="C16" s="41"/>
      <c r="F16" s="41"/>
      <c r="G16" s="41"/>
      <c r="H16" s="41"/>
      <c r="I16" s="41"/>
      <c r="J16" s="41"/>
      <c r="K16" s="41"/>
      <c r="L16" s="41"/>
    </row>
    <row r="17" spans="2:12" s="42" customFormat="1" ht="12.75">
      <c r="B17" s="9" t="s">
        <v>187</v>
      </c>
      <c r="C17" s="41" t="s">
        <v>135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2:12" s="42" customFormat="1" ht="12.75">
      <c r="B18" s="9" t="s">
        <v>188</v>
      </c>
      <c r="C18" s="41" t="s">
        <v>189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2:12" ht="25.5">
      <c r="B19" s="41" t="s">
        <v>7</v>
      </c>
      <c r="C19" s="41" t="s">
        <v>136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66</v>
      </c>
      <c r="C20" s="9" t="s">
        <v>190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12.75">
      <c r="B21" s="9" t="s">
        <v>73</v>
      </c>
      <c r="C21" s="9" t="s">
        <v>134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67</v>
      </c>
      <c r="C22" s="1" t="s">
        <v>198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 t="s">
        <v>137</v>
      </c>
      <c r="D23" s="9"/>
      <c r="E23" s="9"/>
      <c r="F23" s="9"/>
      <c r="G23" s="9"/>
      <c r="H23" s="9"/>
      <c r="I23" s="9"/>
      <c r="J23" s="9"/>
      <c r="K23" s="9"/>
      <c r="L23" s="9"/>
    </row>
    <row r="24" spans="2:12" ht="12.7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8</v>
      </c>
      <c r="C25" s="10"/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9</v>
      </c>
      <c r="C26" s="46">
        <f>17/12</f>
        <v>1.4166666666666667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10</v>
      </c>
      <c r="C27" s="10"/>
      <c r="D27" s="9"/>
      <c r="E27" s="9"/>
      <c r="F27" s="9"/>
      <c r="G27" s="9"/>
      <c r="H27" s="9"/>
      <c r="I27" s="9"/>
      <c r="J27" s="9"/>
      <c r="K27" s="9"/>
      <c r="L27" s="9"/>
    </row>
    <row r="28" spans="2:12" ht="12.75">
      <c r="B28" s="9" t="s">
        <v>69</v>
      </c>
      <c r="C28" s="11">
        <v>76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4.25" customHeight="1">
      <c r="B29" s="9" t="s">
        <v>70</v>
      </c>
      <c r="C29" s="69">
        <f>emiss!M20</f>
        <v>108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11</v>
      </c>
      <c r="C31" s="9" t="s">
        <v>154</v>
      </c>
      <c r="D31" s="9"/>
      <c r="E31" s="9"/>
      <c r="F31" s="9"/>
      <c r="G31" s="9"/>
      <c r="H31" s="9"/>
      <c r="I31" s="9"/>
      <c r="J31" s="9"/>
      <c r="K31" s="9"/>
      <c r="L31" s="9"/>
    </row>
    <row r="32" spans="2:12" ht="12.75">
      <c r="B32" s="9" t="s">
        <v>87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58" spans="2:1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53"/>
      <c r="C59" s="48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2:12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B1">
      <selection activeCell="C17" sqref="C17"/>
    </sheetView>
  </sheetViews>
  <sheetFormatPr defaultColWidth="9.140625" defaultRowHeight="12.75"/>
  <cols>
    <col min="1" max="1" width="3.00390625" style="0" hidden="1" customWidth="1"/>
    <col min="2" max="2" width="22.28125" style="0" customWidth="1"/>
    <col min="3" max="3" width="56.57421875" style="0" customWidth="1"/>
  </cols>
  <sheetData>
    <row r="1" ht="12.75">
      <c r="B1" s="3" t="s">
        <v>163</v>
      </c>
    </row>
    <row r="3" spans="2:12" s="1" customFormat="1" ht="12.75">
      <c r="B3" s="3" t="s">
        <v>128</v>
      </c>
      <c r="C3" s="9" t="s">
        <v>128</v>
      </c>
      <c r="D3" s="9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1" customFormat="1" ht="12.75">
      <c r="B5" s="53" t="s">
        <v>164</v>
      </c>
      <c r="C5" s="47" t="s">
        <v>176</v>
      </c>
      <c r="D5" s="9"/>
      <c r="E5" s="9"/>
      <c r="F5" s="9"/>
      <c r="G5" s="9"/>
      <c r="H5" s="9"/>
      <c r="I5" s="9"/>
      <c r="J5" s="9"/>
      <c r="K5" s="9"/>
      <c r="L5" s="9"/>
    </row>
    <row r="6" spans="2:12" s="1" customFormat="1" ht="12.75">
      <c r="B6" s="9" t="s">
        <v>165</v>
      </c>
      <c r="C6" s="9" t="s">
        <v>129</v>
      </c>
      <c r="D6" s="9"/>
      <c r="E6" s="9"/>
      <c r="F6" s="9"/>
      <c r="G6" s="9"/>
      <c r="H6" s="9"/>
      <c r="I6" s="9"/>
      <c r="J6" s="9"/>
      <c r="K6" s="9"/>
      <c r="L6" s="9"/>
    </row>
    <row r="7" spans="2:12" s="1" customFormat="1" ht="12.75">
      <c r="B7" s="9" t="s">
        <v>166</v>
      </c>
      <c r="C7" s="9" t="s">
        <v>112</v>
      </c>
      <c r="D7" s="9"/>
      <c r="E7" s="9"/>
      <c r="F7" s="9"/>
      <c r="G7" s="9"/>
      <c r="H7" s="9"/>
      <c r="I7" s="9"/>
      <c r="J7" s="9"/>
      <c r="K7" s="9"/>
      <c r="L7" s="9"/>
    </row>
    <row r="8" spans="2:12" s="1" customFormat="1" ht="12.75">
      <c r="B8" s="9" t="s">
        <v>167</v>
      </c>
      <c r="C8" s="12">
        <v>36467</v>
      </c>
      <c r="D8" s="9"/>
      <c r="E8" s="9"/>
      <c r="F8" s="9"/>
      <c r="G8" s="9"/>
      <c r="H8" s="9"/>
      <c r="I8" s="9"/>
      <c r="J8" s="9"/>
      <c r="K8" s="9"/>
      <c r="L8" s="9"/>
    </row>
    <row r="9" spans="2:12" s="1" customFormat="1" ht="12.75">
      <c r="B9" s="9" t="s">
        <v>183</v>
      </c>
      <c r="C9" s="76">
        <v>36465</v>
      </c>
      <c r="D9" s="9"/>
      <c r="E9" s="9"/>
      <c r="F9" s="9"/>
      <c r="G9" s="9"/>
      <c r="H9" s="9"/>
      <c r="I9" s="9"/>
      <c r="J9" s="9"/>
      <c r="K9" s="9"/>
      <c r="L9" s="9"/>
    </row>
    <row r="10" spans="2:12" s="1" customFormat="1" ht="12.75">
      <c r="B10" s="9" t="s">
        <v>168</v>
      </c>
      <c r="C10" s="9" t="s">
        <v>131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s="1" customFormat="1" ht="12.75">
      <c r="B11" s="53" t="s">
        <v>169</v>
      </c>
      <c r="C11" s="48" t="s">
        <v>155</v>
      </c>
      <c r="D11" s="9"/>
      <c r="E11" s="9"/>
      <c r="F11" s="9"/>
      <c r="G11" s="9"/>
      <c r="H11" s="9"/>
      <c r="I11" s="9"/>
      <c r="J11" s="9"/>
      <c r="K11" s="9"/>
      <c r="L11" s="9"/>
    </row>
    <row r="12" spans="4:12" s="1" customFormat="1" ht="12.75">
      <c r="D12" s="9"/>
      <c r="E12" s="9"/>
      <c r="F12" s="9"/>
      <c r="G12" s="9"/>
      <c r="H12" s="9"/>
      <c r="I12" s="9"/>
      <c r="J12" s="9"/>
      <c r="K12" s="9"/>
      <c r="L12" s="9"/>
    </row>
    <row r="13" spans="2:12" s="1" customFormat="1" ht="12.75">
      <c r="B13" s="3" t="s">
        <v>130</v>
      </c>
      <c r="C13" s="9" t="s">
        <v>130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s="1" customFormat="1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s="1" customFormat="1" ht="12.75">
      <c r="B15" s="53" t="s">
        <v>164</v>
      </c>
      <c r="C15" s="47" t="s">
        <v>176</v>
      </c>
      <c r="D15" s="9"/>
      <c r="E15" s="9"/>
      <c r="F15" s="9"/>
      <c r="G15" s="9"/>
      <c r="H15" s="9"/>
      <c r="I15" s="9"/>
      <c r="J15" s="9"/>
      <c r="K15" s="9"/>
      <c r="L15" s="9"/>
    </row>
    <row r="16" spans="2:12" s="1" customFormat="1" ht="12.75">
      <c r="B16" s="9" t="s">
        <v>165</v>
      </c>
      <c r="C16" s="9" t="s">
        <v>129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s="1" customFormat="1" ht="12.75">
      <c r="B17" s="9" t="s">
        <v>166</v>
      </c>
      <c r="C17" s="9" t="s">
        <v>112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s="1" customFormat="1" ht="12.75">
      <c r="B18" s="9" t="s">
        <v>167</v>
      </c>
      <c r="C18" s="12" t="s">
        <v>184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s="1" customFormat="1" ht="12.75">
      <c r="B19" s="9" t="s">
        <v>183</v>
      </c>
      <c r="C19" s="76">
        <v>36373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s="1" customFormat="1" ht="12.75">
      <c r="B20" s="9" t="s">
        <v>168</v>
      </c>
      <c r="C20" s="9" t="s">
        <v>132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s="1" customFormat="1" ht="12.75">
      <c r="B21" s="53" t="s">
        <v>169</v>
      </c>
      <c r="C21" s="48" t="s">
        <v>149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s="1" customFormat="1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s="1" customFormat="1" ht="12.75">
      <c r="B23" s="3" t="s">
        <v>133</v>
      </c>
      <c r="C23" s="9" t="s">
        <v>133</v>
      </c>
      <c r="D23" s="9"/>
      <c r="E23" s="9"/>
      <c r="F23" s="9"/>
      <c r="G23" s="9"/>
      <c r="H23" s="9"/>
      <c r="I23" s="9"/>
      <c r="J23" s="9"/>
      <c r="K23" s="9"/>
      <c r="L23" s="9"/>
    </row>
    <row r="24" spans="2:12" s="1" customFormat="1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s="1" customFormat="1" ht="12.75">
      <c r="B25" s="53" t="s">
        <v>164</v>
      </c>
      <c r="C25" s="47" t="s">
        <v>176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s="1" customFormat="1" ht="12.75">
      <c r="B26" s="9" t="s">
        <v>165</v>
      </c>
      <c r="C26" s="9" t="s">
        <v>129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s="1" customFormat="1" ht="12.75">
      <c r="B27" s="9" t="s">
        <v>166</v>
      </c>
      <c r="C27" s="9" t="s">
        <v>112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s="1" customFormat="1" ht="12.75">
      <c r="B28" s="9" t="s">
        <v>167</v>
      </c>
      <c r="C28" s="12" t="s">
        <v>185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s="1" customFormat="1" ht="12.75">
      <c r="B29" s="9" t="s">
        <v>183</v>
      </c>
      <c r="C29" s="76">
        <v>36373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s="1" customFormat="1" ht="12.75">
      <c r="B30" s="9" t="s">
        <v>168</v>
      </c>
      <c r="C30" s="9" t="s">
        <v>150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s="1" customFormat="1" ht="12.75">
      <c r="B31" s="53" t="s">
        <v>169</v>
      </c>
      <c r="C31" s="48" t="s">
        <v>208</v>
      </c>
      <c r="D31" s="9"/>
      <c r="E31" s="9"/>
      <c r="F31" s="9"/>
      <c r="G31" s="9"/>
      <c r="H31" s="9"/>
      <c r="I31" s="9"/>
      <c r="J31" s="9"/>
      <c r="K31" s="9"/>
      <c r="L31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56"/>
  <sheetViews>
    <sheetView tabSelected="1" workbookViewId="0" topLeftCell="B1">
      <selection activeCell="I27" sqref="I27"/>
    </sheetView>
  </sheetViews>
  <sheetFormatPr defaultColWidth="9.140625" defaultRowHeight="12.75"/>
  <cols>
    <col min="1" max="1" width="2.421875" style="14" hidden="1" customWidth="1"/>
    <col min="2" max="2" width="21.140625" style="14" customWidth="1"/>
    <col min="3" max="3" width="14.421875" style="14" customWidth="1"/>
    <col min="4" max="4" width="8.8515625" style="5" customWidth="1"/>
    <col min="5" max="5" width="6.140625" style="5" customWidth="1"/>
    <col min="6" max="6" width="3.7109375" style="5" customWidth="1"/>
    <col min="7" max="7" width="11.140625" style="14" customWidth="1"/>
    <col min="8" max="8" width="3.421875" style="14" customWidth="1"/>
    <col min="9" max="9" width="11.8515625" style="15" customWidth="1"/>
    <col min="10" max="10" width="3.57421875" style="14" customWidth="1"/>
    <col min="11" max="11" width="12.00390625" style="14" customWidth="1"/>
    <col min="12" max="12" width="3.421875" style="14" customWidth="1"/>
    <col min="13" max="13" width="11.7109375" style="14" customWidth="1"/>
    <col min="14" max="14" width="2.140625" style="14" customWidth="1"/>
    <col min="15" max="16384" width="8.8515625" style="14" customWidth="1"/>
  </cols>
  <sheetData>
    <row r="1" spans="2:3" ht="12.75">
      <c r="B1" s="13" t="s">
        <v>170</v>
      </c>
      <c r="C1" s="13"/>
    </row>
    <row r="2" spans="2:12" ht="12.75">
      <c r="B2" s="16"/>
      <c r="C2" s="16"/>
      <c r="G2" s="16"/>
      <c r="H2" s="16"/>
      <c r="I2" s="17"/>
      <c r="J2" s="16"/>
      <c r="K2" s="16"/>
      <c r="L2" s="16"/>
    </row>
    <row r="3" spans="2:5" ht="12.75">
      <c r="B3" s="9"/>
      <c r="C3" s="9" t="s">
        <v>79</v>
      </c>
      <c r="D3" s="5" t="s">
        <v>12</v>
      </c>
      <c r="E3" s="5" t="s">
        <v>62</v>
      </c>
    </row>
    <row r="4" spans="2:12" ht="12.75">
      <c r="B4" s="9"/>
      <c r="C4" s="9"/>
      <c r="G4" s="16"/>
      <c r="H4" s="16"/>
      <c r="I4" s="17"/>
      <c r="J4" s="16"/>
      <c r="K4" s="16"/>
      <c r="L4" s="16"/>
    </row>
    <row r="5" spans="2:12" ht="12.75">
      <c r="B5" s="9"/>
      <c r="C5" s="9"/>
      <c r="G5" s="16"/>
      <c r="H5" s="16"/>
      <c r="I5" s="17"/>
      <c r="J5" s="16"/>
      <c r="K5" s="16"/>
      <c r="L5" s="16"/>
    </row>
    <row r="6" spans="1:13" ht="12.75">
      <c r="A6" s="14">
        <v>1</v>
      </c>
      <c r="B6" s="18" t="str">
        <f>cond!C3</f>
        <v>3025C1</v>
      </c>
      <c r="C6" s="5" t="str">
        <f>cond!C10</f>
        <v>Trial burn - Max temp</v>
      </c>
      <c r="G6" s="16" t="s">
        <v>173</v>
      </c>
      <c r="H6" s="16"/>
      <c r="I6" s="17" t="s">
        <v>174</v>
      </c>
      <c r="J6" s="16"/>
      <c r="K6" s="16" t="s">
        <v>175</v>
      </c>
      <c r="L6" s="16"/>
      <c r="M6" s="16" t="s">
        <v>47</v>
      </c>
    </row>
    <row r="7" spans="2:12" ht="12.75">
      <c r="B7" s="5"/>
      <c r="C7" s="5"/>
      <c r="D7" s="9"/>
      <c r="E7" s="9"/>
      <c r="F7" s="9"/>
      <c r="G7" s="9"/>
      <c r="H7" s="9"/>
      <c r="I7" s="19"/>
      <c r="J7" s="9"/>
      <c r="K7" s="9"/>
      <c r="L7" s="9"/>
    </row>
    <row r="8" spans="2:13" ht="12.75">
      <c r="B8" s="5" t="s">
        <v>110</v>
      </c>
      <c r="C8" s="5" t="s">
        <v>177</v>
      </c>
      <c r="D8" s="9" t="s">
        <v>16</v>
      </c>
      <c r="E8" s="9" t="s">
        <v>15</v>
      </c>
      <c r="F8"/>
      <c r="G8">
        <v>1.71</v>
      </c>
      <c r="H8"/>
      <c r="I8">
        <v>5.92</v>
      </c>
      <c r="J8"/>
      <c r="K8">
        <v>16.67</v>
      </c>
      <c r="L8"/>
      <c r="M8" s="56">
        <f>AVERAGE(K8,I8,G8)</f>
        <v>8.100000000000001</v>
      </c>
    </row>
    <row r="9" spans="2:13" ht="12.75">
      <c r="B9" s="5" t="s">
        <v>114</v>
      </c>
      <c r="C9" s="5"/>
      <c r="D9" s="9" t="s">
        <v>16</v>
      </c>
      <c r="E9" s="9" t="s">
        <v>15</v>
      </c>
      <c r="F9"/>
      <c r="G9"/>
      <c r="H9"/>
      <c r="I9"/>
      <c r="J9"/>
      <c r="K9"/>
      <c r="L9"/>
      <c r="M9" s="56"/>
    </row>
    <row r="10" spans="2:12" ht="12.75">
      <c r="B10" s="5"/>
      <c r="C10" s="5"/>
      <c r="D10" s="9"/>
      <c r="E10" s="9"/>
      <c r="F10"/>
      <c r="G10"/>
      <c r="H10"/>
      <c r="I10"/>
      <c r="J10"/>
      <c r="K10"/>
      <c r="L10"/>
    </row>
    <row r="11" spans="2:13" ht="12.75">
      <c r="B11" s="5" t="s">
        <v>13</v>
      </c>
      <c r="C11" s="5" t="s">
        <v>177</v>
      </c>
      <c r="D11" s="5" t="s">
        <v>14</v>
      </c>
      <c r="E11" s="5" t="s">
        <v>15</v>
      </c>
      <c r="F11"/>
      <c r="G11">
        <v>0.0076</v>
      </c>
      <c r="H11"/>
      <c r="I11">
        <v>0.0079</v>
      </c>
      <c r="J11"/>
      <c r="K11">
        <v>0.009</v>
      </c>
      <c r="L11"/>
      <c r="M11" s="54">
        <f>AVERAGE(K11,I11,G11)</f>
        <v>0.008166666666666666</v>
      </c>
    </row>
    <row r="12" spans="2:13" ht="12.75">
      <c r="B12" s="5"/>
      <c r="C12" s="5"/>
      <c r="F12"/>
      <c r="G12"/>
      <c r="H12"/>
      <c r="I12"/>
      <c r="J12"/>
      <c r="K12"/>
      <c r="L12"/>
      <c r="M12" s="54"/>
    </row>
    <row r="13" spans="2:13" ht="12.75">
      <c r="B13" s="75" t="s">
        <v>178</v>
      </c>
      <c r="C13" s="5"/>
      <c r="D13" s="5" t="s">
        <v>53</v>
      </c>
      <c r="E13" s="5" t="s">
        <v>99</v>
      </c>
      <c r="F13"/>
      <c r="G13" s="2">
        <f>11/(88.354*0.0283)</f>
        <v>4.3992640911028404</v>
      </c>
      <c r="H13" s="2"/>
      <c r="I13" s="2">
        <f>9/(91.785*0.0283)</f>
        <v>3.4648493916590684</v>
      </c>
      <c r="J13" s="2"/>
      <c r="K13" s="2">
        <f>11/(91.237*0.0283)</f>
        <v>4.260251646868051</v>
      </c>
      <c r="L13"/>
      <c r="M13" s="2"/>
    </row>
    <row r="14" spans="2:13" ht="12.75">
      <c r="B14" s="75" t="s">
        <v>178</v>
      </c>
      <c r="C14" s="5" t="s">
        <v>179</v>
      </c>
      <c r="D14" s="5" t="s">
        <v>53</v>
      </c>
      <c r="E14" s="5" t="s">
        <v>15</v>
      </c>
      <c r="F14"/>
      <c r="G14" s="2">
        <f>G13*14/(21-G24)</f>
        <v>5.3556258500382405</v>
      </c>
      <c r="H14" s="2"/>
      <c r="I14" s="2">
        <f>I13*14/(21-I24)</f>
        <v>4.2180775202806045</v>
      </c>
      <c r="J14" s="2"/>
      <c r="K14" s="2">
        <f>K13*14/(21-K24)</f>
        <v>5.186393309230671</v>
      </c>
      <c r="L14"/>
      <c r="M14" s="2">
        <f>AVERAGE(K14,I14,G14)</f>
        <v>4.920032226516505</v>
      </c>
    </row>
    <row r="15" spans="2:13" ht="12.75">
      <c r="B15" s="5"/>
      <c r="C15" s="5"/>
      <c r="F15"/>
      <c r="G15"/>
      <c r="H15"/>
      <c r="I15"/>
      <c r="J15"/>
      <c r="K15"/>
      <c r="L15"/>
      <c r="M15"/>
    </row>
    <row r="16" spans="2:13" ht="12.75">
      <c r="B16" s="5" t="s">
        <v>83</v>
      </c>
      <c r="C16" s="5" t="s">
        <v>145</v>
      </c>
      <c r="D16" s="5" t="s">
        <v>177</v>
      </c>
      <c r="F16"/>
      <c r="G16"/>
      <c r="H16"/>
      <c r="I16"/>
      <c r="J16"/>
      <c r="K16"/>
      <c r="L16"/>
      <c r="M16"/>
    </row>
    <row r="17" spans="2:13" ht="12.75">
      <c r="B17" s="5" t="s">
        <v>75</v>
      </c>
      <c r="C17" s="5"/>
      <c r="D17" s="5" t="s">
        <v>17</v>
      </c>
      <c r="F17"/>
      <c r="G17">
        <v>6048</v>
      </c>
      <c r="H17"/>
      <c r="I17">
        <v>6245</v>
      </c>
      <c r="J17"/>
      <c r="K17">
        <v>6230</v>
      </c>
      <c r="L17"/>
      <c r="M17" s="61">
        <f>AVERAGE(K17,I17,G17)</f>
        <v>6174.333333333333</v>
      </c>
    </row>
    <row r="18" spans="2:13" ht="12.75">
      <c r="B18" s="5" t="s">
        <v>80</v>
      </c>
      <c r="C18" s="5"/>
      <c r="D18" s="5" t="s">
        <v>18</v>
      </c>
      <c r="F18"/>
      <c r="G18">
        <v>9.5</v>
      </c>
      <c r="H18"/>
      <c r="I18">
        <v>9.5</v>
      </c>
      <c r="J18"/>
      <c r="K18">
        <v>9.5</v>
      </c>
      <c r="L18"/>
      <c r="M18" s="2">
        <f>AVERAGE(K18,I18,G18)</f>
        <v>9.5</v>
      </c>
    </row>
    <row r="19" spans="2:13" ht="12.75">
      <c r="B19" s="5" t="s">
        <v>81</v>
      </c>
      <c r="C19" s="5"/>
      <c r="D19" s="5" t="s">
        <v>18</v>
      </c>
      <c r="F19"/>
      <c r="G19">
        <v>8.1</v>
      </c>
      <c r="H19"/>
      <c r="I19">
        <v>8.3</v>
      </c>
      <c r="J19"/>
      <c r="K19">
        <v>7.8</v>
      </c>
      <c r="L19"/>
      <c r="M19" s="61">
        <f>AVERAGE(K19,I19,G19)</f>
        <v>8.066666666666668</v>
      </c>
    </row>
    <row r="20" spans="2:13" ht="12.75">
      <c r="B20" s="5" t="s">
        <v>74</v>
      </c>
      <c r="C20" s="5"/>
      <c r="D20" s="5" t="s">
        <v>19</v>
      </c>
      <c r="F20"/>
      <c r="G20">
        <v>107</v>
      </c>
      <c r="H20"/>
      <c r="I20">
        <v>109</v>
      </c>
      <c r="J20"/>
      <c r="K20">
        <v>108</v>
      </c>
      <c r="L20"/>
      <c r="M20" s="61">
        <f>AVERAGE(K20,I20,G20)</f>
        <v>108</v>
      </c>
    </row>
    <row r="21" spans="2:13" ht="12.75">
      <c r="B21" s="5"/>
      <c r="C21" s="5"/>
      <c r="F21"/>
      <c r="G21"/>
      <c r="H21"/>
      <c r="I21"/>
      <c r="J21"/>
      <c r="K21"/>
      <c r="L21"/>
      <c r="M21"/>
    </row>
    <row r="22" spans="2:13" ht="12.75">
      <c r="B22" s="5" t="s">
        <v>83</v>
      </c>
      <c r="C22" s="5" t="s">
        <v>180</v>
      </c>
      <c r="D22" s="5" t="s">
        <v>179</v>
      </c>
      <c r="F22"/>
      <c r="G22"/>
      <c r="H22"/>
      <c r="I22"/>
      <c r="J22"/>
      <c r="K22"/>
      <c r="L22"/>
      <c r="M22"/>
    </row>
    <row r="23" spans="2:13" ht="12.75">
      <c r="B23" s="5" t="s">
        <v>75</v>
      </c>
      <c r="C23" s="5"/>
      <c r="D23" s="5" t="s">
        <v>17</v>
      </c>
      <c r="F23"/>
      <c r="G23">
        <v>6317</v>
      </c>
      <c r="H23"/>
      <c r="I23">
        <v>6515</v>
      </c>
      <c r="J23"/>
      <c r="K23">
        <v>6389</v>
      </c>
      <c r="L23"/>
      <c r="M23" s="2">
        <f>AVERAGE(K23,I23,G23)</f>
        <v>6407</v>
      </c>
    </row>
    <row r="24" spans="2:13" ht="12.75">
      <c r="B24" s="5" t="s">
        <v>80</v>
      </c>
      <c r="C24" s="5"/>
      <c r="D24" s="5" t="s">
        <v>18</v>
      </c>
      <c r="F24"/>
      <c r="G24">
        <v>9.5</v>
      </c>
      <c r="H24"/>
      <c r="I24">
        <v>9.5</v>
      </c>
      <c r="J24"/>
      <c r="K24">
        <v>9.5</v>
      </c>
      <c r="L24"/>
      <c r="M24" s="2">
        <f>AVERAGE(K24,I24,G24)</f>
        <v>9.5</v>
      </c>
    </row>
    <row r="25" spans="2:13" ht="12.75">
      <c r="B25" s="5" t="s">
        <v>81</v>
      </c>
      <c r="C25" s="5"/>
      <c r="D25" s="5" t="s">
        <v>18</v>
      </c>
      <c r="F25"/>
      <c r="G25">
        <v>8.9</v>
      </c>
      <c r="H25"/>
      <c r="I25">
        <v>8.4</v>
      </c>
      <c r="J25"/>
      <c r="K25">
        <v>8.7</v>
      </c>
      <c r="L25"/>
      <c r="M25" s="2">
        <f>AVERAGE(K25,I25,G25)</f>
        <v>8.666666666666666</v>
      </c>
    </row>
    <row r="26" spans="2:13" ht="12.75">
      <c r="B26" s="5" t="s">
        <v>74</v>
      </c>
      <c r="C26" s="5"/>
      <c r="D26" s="5" t="s">
        <v>19</v>
      </c>
      <c r="F26"/>
      <c r="G26">
        <v>112</v>
      </c>
      <c r="H26"/>
      <c r="I26">
        <v>113</v>
      </c>
      <c r="J26"/>
      <c r="K26">
        <v>112</v>
      </c>
      <c r="L26"/>
      <c r="M26" s="2">
        <f>AVERAGE(K26,I26,G26)</f>
        <v>112.33333333333333</v>
      </c>
    </row>
    <row r="27" spans="2:13" ht="12.75">
      <c r="B27" s="5"/>
      <c r="C27" s="5"/>
      <c r="G27"/>
      <c r="H27" s="5"/>
      <c r="I27"/>
      <c r="J27" s="5"/>
      <c r="K27"/>
      <c r="L27"/>
      <c r="M27" s="2"/>
    </row>
    <row r="28" spans="2:13" ht="12.75">
      <c r="B28" s="5"/>
      <c r="C28" s="5"/>
      <c r="F28"/>
      <c r="G28"/>
      <c r="H28"/>
      <c r="I28"/>
      <c r="J28"/>
      <c r="K28"/>
      <c r="L28"/>
      <c r="M28" s="2"/>
    </row>
    <row r="29" spans="1:13" ht="12.75">
      <c r="A29" s="14">
        <v>2</v>
      </c>
      <c r="B29" s="18" t="str">
        <f>cond!C13</f>
        <v>3025C2</v>
      </c>
      <c r="C29" s="18"/>
      <c r="D29" s="5" t="str">
        <f>cond!C20</f>
        <v>Trial burn - Min temp</v>
      </c>
      <c r="E29"/>
      <c r="F29"/>
      <c r="G29" s="16" t="s">
        <v>173</v>
      </c>
      <c r="H29" s="16"/>
      <c r="I29" s="17" t="s">
        <v>174</v>
      </c>
      <c r="J29" s="16"/>
      <c r="K29" s="16" t="s">
        <v>175</v>
      </c>
      <c r="L29" s="16"/>
      <c r="M29" s="16" t="s">
        <v>47</v>
      </c>
    </row>
    <row r="30" spans="2:6" ht="12.75">
      <c r="B30" s="5"/>
      <c r="C30" s="5"/>
      <c r="D30" s="9"/>
      <c r="E30" s="9"/>
      <c r="F30"/>
    </row>
    <row r="31" spans="2:13" ht="12.75">
      <c r="B31" s="5" t="s">
        <v>110</v>
      </c>
      <c r="C31" s="5" t="s">
        <v>177</v>
      </c>
      <c r="D31" s="9" t="s">
        <v>16</v>
      </c>
      <c r="E31" s="9" t="s">
        <v>15</v>
      </c>
      <c r="F31"/>
      <c r="G31">
        <v>0.79</v>
      </c>
      <c r="H31"/>
      <c r="I31">
        <v>4.21</v>
      </c>
      <c r="J31"/>
      <c r="K31">
        <v>0.69</v>
      </c>
      <c r="L31"/>
      <c r="M31" s="56">
        <f>AVERAGE(K31,I31,G31)</f>
        <v>1.8966666666666667</v>
      </c>
    </row>
    <row r="32" spans="2:13" ht="12.75">
      <c r="B32" s="5"/>
      <c r="C32" s="5"/>
      <c r="D32" s="9"/>
      <c r="E32" s="9"/>
      <c r="F32"/>
      <c r="G32"/>
      <c r="H32"/>
      <c r="I32"/>
      <c r="J32"/>
      <c r="K32"/>
      <c r="L32"/>
      <c r="M32" s="56"/>
    </row>
    <row r="33" spans="2:12" ht="12.75">
      <c r="B33" s="5"/>
      <c r="C33" s="5"/>
      <c r="D33" s="9"/>
      <c r="E33" s="9"/>
      <c r="F33"/>
      <c r="G33"/>
      <c r="H33"/>
      <c r="I33"/>
      <c r="J33"/>
      <c r="K33"/>
      <c r="L33"/>
    </row>
    <row r="34" spans="2:13" ht="12.75">
      <c r="B34" s="5" t="s">
        <v>115</v>
      </c>
      <c r="C34" s="5" t="s">
        <v>146</v>
      </c>
      <c r="G34" s="20"/>
      <c r="H34" s="20"/>
      <c r="I34" s="21"/>
      <c r="J34" s="20"/>
      <c r="K34" s="20"/>
      <c r="M34" s="55"/>
    </row>
    <row r="35" spans="2:13" ht="12.75">
      <c r="B35" s="5" t="s">
        <v>116</v>
      </c>
      <c r="C35" s="5"/>
      <c r="D35" s="5" t="s">
        <v>144</v>
      </c>
      <c r="G35" s="20">
        <v>907</v>
      </c>
      <c r="H35" s="20"/>
      <c r="I35" s="21">
        <v>907</v>
      </c>
      <c r="J35" s="20"/>
      <c r="K35" s="14">
        <v>907</v>
      </c>
      <c r="M35" s="62"/>
    </row>
    <row r="36" spans="2:13" ht="12.75">
      <c r="B36" s="5" t="s">
        <v>117</v>
      </c>
      <c r="C36" s="5" t="s">
        <v>177</v>
      </c>
      <c r="D36" s="5" t="s">
        <v>144</v>
      </c>
      <c r="F36" s="5" t="s">
        <v>97</v>
      </c>
      <c r="G36" s="57">
        <v>0.0151</v>
      </c>
      <c r="H36" s="5" t="s">
        <v>97</v>
      </c>
      <c r="I36" s="57">
        <v>0.0159</v>
      </c>
      <c r="J36" s="5" t="s">
        <v>97</v>
      </c>
      <c r="K36" s="57">
        <v>0.0147</v>
      </c>
      <c r="L36" s="5"/>
      <c r="M36" s="22"/>
    </row>
    <row r="37" spans="2:13" ht="12.75">
      <c r="B37" s="5" t="s">
        <v>50</v>
      </c>
      <c r="C37" s="5" t="s">
        <v>177</v>
      </c>
      <c r="D37" s="5" t="s">
        <v>18</v>
      </c>
      <c r="F37" s="5" t="s">
        <v>118</v>
      </c>
      <c r="G37" s="71">
        <f>(G35-G36)/G35*100</f>
        <v>99.99833517089306</v>
      </c>
      <c r="H37" s="71" t="s">
        <v>118</v>
      </c>
      <c r="I37" s="71">
        <f>(I35-I36)/I35*100</f>
        <v>99.99824696802646</v>
      </c>
      <c r="J37" s="71" t="s">
        <v>118</v>
      </c>
      <c r="K37" s="71">
        <f>(K35-K36)/K35*100</f>
        <v>99.99837927232636</v>
      </c>
      <c r="L37" s="72"/>
      <c r="M37" s="54"/>
    </row>
    <row r="38" spans="2:13" ht="12.75">
      <c r="B38" s="5"/>
      <c r="C38" s="5"/>
      <c r="G38" s="67"/>
      <c r="H38" s="67"/>
      <c r="I38" s="67"/>
      <c r="J38" s="67"/>
      <c r="K38" s="67"/>
      <c r="L38" s="5"/>
      <c r="M38" s="68"/>
    </row>
    <row r="39" spans="2:13" ht="12.75">
      <c r="B39" s="5" t="s">
        <v>115</v>
      </c>
      <c r="C39" s="5" t="s">
        <v>147</v>
      </c>
      <c r="G39" s="20"/>
      <c r="H39" s="20"/>
      <c r="I39" s="21"/>
      <c r="J39" s="20"/>
      <c r="K39" s="20"/>
      <c r="M39" s="55"/>
    </row>
    <row r="40" spans="2:13" ht="12.75">
      <c r="B40" s="5" t="s">
        <v>116</v>
      </c>
      <c r="C40" s="5"/>
      <c r="D40" s="5" t="s">
        <v>144</v>
      </c>
      <c r="G40" s="20">
        <v>3621</v>
      </c>
      <c r="H40" s="20"/>
      <c r="I40" s="21">
        <v>3630</v>
      </c>
      <c r="J40" s="20"/>
      <c r="K40" s="14">
        <v>3630</v>
      </c>
      <c r="M40" s="62"/>
    </row>
    <row r="41" spans="2:13" ht="12.75">
      <c r="B41" s="5" t="s">
        <v>117</v>
      </c>
      <c r="C41" s="5" t="s">
        <v>177</v>
      </c>
      <c r="D41" s="5" t="s">
        <v>144</v>
      </c>
      <c r="F41" s="5" t="s">
        <v>97</v>
      </c>
      <c r="G41" s="57">
        <v>0.0178</v>
      </c>
      <c r="H41" s="5" t="s">
        <v>97</v>
      </c>
      <c r="I41" s="57">
        <v>0.0579</v>
      </c>
      <c r="J41" s="5" t="s">
        <v>97</v>
      </c>
      <c r="K41" s="57">
        <v>0.0194</v>
      </c>
      <c r="L41" s="5"/>
      <c r="M41" s="22"/>
    </row>
    <row r="42" spans="2:13" ht="12.75">
      <c r="B42" s="5" t="s">
        <v>50</v>
      </c>
      <c r="C42" s="5" t="s">
        <v>177</v>
      </c>
      <c r="D42" s="5" t="s">
        <v>18</v>
      </c>
      <c r="F42" s="5" t="s">
        <v>118</v>
      </c>
      <c r="G42" s="71">
        <f>(G40-G41)/G40*100</f>
        <v>99.99950842308755</v>
      </c>
      <c r="H42" s="71" t="s">
        <v>118</v>
      </c>
      <c r="I42" s="71">
        <f>(I40-I41)/I40*100</f>
        <v>99.9984049586777</v>
      </c>
      <c r="J42" s="71" t="s">
        <v>118</v>
      </c>
      <c r="K42" s="71">
        <f>(K40-K41)/K40*100</f>
        <v>99.99946556473829</v>
      </c>
      <c r="L42" s="72"/>
      <c r="M42" s="54"/>
    </row>
    <row r="43" spans="2:13" ht="12.75">
      <c r="B43" s="5"/>
      <c r="C43" s="5"/>
      <c r="F43"/>
      <c r="G43"/>
      <c r="H43"/>
      <c r="I43"/>
      <c r="J43"/>
      <c r="K43"/>
      <c r="L43"/>
      <c r="M43" s="2"/>
    </row>
    <row r="44" spans="2:13" ht="12.75">
      <c r="B44" s="5" t="s">
        <v>83</v>
      </c>
      <c r="C44" s="5" t="s">
        <v>181</v>
      </c>
      <c r="D44" s="5" t="s">
        <v>177</v>
      </c>
      <c r="F44"/>
      <c r="G44"/>
      <c r="H44"/>
      <c r="I44"/>
      <c r="J44"/>
      <c r="K44"/>
      <c r="L44"/>
      <c r="M44"/>
    </row>
    <row r="45" spans="2:13" ht="12.75">
      <c r="B45" s="5" t="s">
        <v>75</v>
      </c>
      <c r="C45" s="5"/>
      <c r="D45" s="5" t="s">
        <v>17</v>
      </c>
      <c r="F45"/>
      <c r="G45">
        <v>6153</v>
      </c>
      <c r="H45"/>
      <c r="I45">
        <v>5940</v>
      </c>
      <c r="J45"/>
      <c r="K45">
        <v>5985</v>
      </c>
      <c r="L45"/>
      <c r="M45" s="2">
        <f>AVERAGE(K45,I45,G45)</f>
        <v>6026</v>
      </c>
    </row>
    <row r="46" spans="2:13" ht="12.75">
      <c r="B46" s="5" t="s">
        <v>80</v>
      </c>
      <c r="C46" s="5"/>
      <c r="D46" s="5" t="s">
        <v>18</v>
      </c>
      <c r="F46"/>
      <c r="G46">
        <v>10.25</v>
      </c>
      <c r="H46"/>
      <c r="I46">
        <v>10.55</v>
      </c>
      <c r="J46"/>
      <c r="K46">
        <v>10.43</v>
      </c>
      <c r="L46"/>
      <c r="M46" s="2">
        <f>AVERAGE(K46,I46,G46)</f>
        <v>10.41</v>
      </c>
    </row>
    <row r="47" spans="2:13" ht="12.75">
      <c r="B47" s="5" t="s">
        <v>81</v>
      </c>
      <c r="C47" s="5"/>
      <c r="D47" s="5" t="s">
        <v>18</v>
      </c>
      <c r="F47"/>
      <c r="G47">
        <v>26.5</v>
      </c>
      <c r="H47"/>
      <c r="I47">
        <v>24.5</v>
      </c>
      <c r="J47"/>
      <c r="K47">
        <v>25.6</v>
      </c>
      <c r="L47"/>
      <c r="M47" s="2">
        <f>AVERAGE(K47,I47,G47)</f>
        <v>25.53333333333333</v>
      </c>
    </row>
    <row r="48" spans="2:13" ht="12.75">
      <c r="B48" s="5" t="s">
        <v>74</v>
      </c>
      <c r="C48" s="5"/>
      <c r="D48" s="5" t="s">
        <v>19</v>
      </c>
      <c r="F48"/>
      <c r="G48">
        <v>155</v>
      </c>
      <c r="H48"/>
      <c r="I48">
        <v>151</v>
      </c>
      <c r="J48"/>
      <c r="K48">
        <v>154</v>
      </c>
      <c r="L48"/>
      <c r="M48" s="2">
        <f>AVERAGE(K48,I48,G48)</f>
        <v>153.33333333333334</v>
      </c>
    </row>
    <row r="49" spans="4:9" ht="12.75">
      <c r="D49" s="14"/>
      <c r="E49" s="14"/>
      <c r="F49" s="14"/>
      <c r="I49" s="14"/>
    </row>
    <row r="50" spans="4:9" ht="12.75">
      <c r="D50" s="14"/>
      <c r="E50" s="14"/>
      <c r="F50" s="14"/>
      <c r="I50" s="14"/>
    </row>
    <row r="51" spans="1:13" ht="12.75">
      <c r="A51" s="14">
        <v>3</v>
      </c>
      <c r="B51" s="18" t="str">
        <f>cond!C23</f>
        <v>3025C3</v>
      </c>
      <c r="C51" s="5"/>
      <c r="D51" s="5" t="str">
        <f>cond!C30</f>
        <v>Risk burn </v>
      </c>
      <c r="F51"/>
      <c r="G51" s="16" t="s">
        <v>173</v>
      </c>
      <c r="H51" s="16"/>
      <c r="I51" s="17" t="s">
        <v>174</v>
      </c>
      <c r="J51" s="16"/>
      <c r="K51" s="16" t="s">
        <v>175</v>
      </c>
      <c r="L51" s="16"/>
      <c r="M51" s="16" t="s">
        <v>47</v>
      </c>
    </row>
    <row r="52" spans="2:13" ht="12.75">
      <c r="B52" s="5"/>
      <c r="C52" s="5"/>
      <c r="D52" s="9"/>
      <c r="E52" s="9"/>
      <c r="F52"/>
      <c r="G52" s="50"/>
      <c r="I52" s="14"/>
      <c r="M52" s="16"/>
    </row>
    <row r="53" spans="2:13" ht="12.75">
      <c r="B53" s="5" t="s">
        <v>110</v>
      </c>
      <c r="C53" s="5" t="s">
        <v>177</v>
      </c>
      <c r="D53" s="9" t="s">
        <v>16</v>
      </c>
      <c r="E53" s="9" t="s">
        <v>15</v>
      </c>
      <c r="F53"/>
      <c r="G53">
        <v>0.7</v>
      </c>
      <c r="H53" s="5"/>
      <c r="I53">
        <v>16.1</v>
      </c>
      <c r="J53" s="5"/>
      <c r="K53">
        <v>13.1</v>
      </c>
      <c r="L53"/>
      <c r="M53" s="61">
        <f>AVERAGE(K53,I53,G53)</f>
        <v>9.966666666666667</v>
      </c>
    </row>
    <row r="54" spans="2:13" ht="12.75">
      <c r="B54" s="5"/>
      <c r="C54" s="5"/>
      <c r="D54" s="9"/>
      <c r="E54" s="9"/>
      <c r="F54"/>
      <c r="G54"/>
      <c r="H54" s="5"/>
      <c r="I54" s="70"/>
      <c r="J54" s="5"/>
      <c r="K54" s="70"/>
      <c r="L54"/>
      <c r="M54" s="2"/>
    </row>
    <row r="55" spans="2:13" ht="12.75">
      <c r="B55" s="5" t="s">
        <v>83</v>
      </c>
      <c r="C55" s="5" t="s">
        <v>182</v>
      </c>
      <c r="D55" s="5" t="s">
        <v>177</v>
      </c>
      <c r="F55"/>
      <c r="G55"/>
      <c r="H55"/>
      <c r="I55"/>
      <c r="J55"/>
      <c r="K55"/>
      <c r="L55"/>
      <c r="M55"/>
    </row>
    <row r="56" spans="2:13" ht="12.75">
      <c r="B56" s="5" t="s">
        <v>75</v>
      </c>
      <c r="C56" s="5"/>
      <c r="D56" s="5" t="s">
        <v>17</v>
      </c>
      <c r="F56"/>
      <c r="G56">
        <v>5773</v>
      </c>
      <c r="H56"/>
      <c r="I56">
        <v>5754</v>
      </c>
      <c r="J56"/>
      <c r="K56">
        <v>5735</v>
      </c>
      <c r="L56"/>
      <c r="M56" s="2">
        <f>AVERAGE(K56,I56,G56)</f>
        <v>5754</v>
      </c>
    </row>
    <row r="57" spans="2:13" ht="12.75">
      <c r="B57" s="5" t="s">
        <v>80</v>
      </c>
      <c r="C57" s="5"/>
      <c r="D57" s="5" t="s">
        <v>18</v>
      </c>
      <c r="F57"/>
      <c r="G57">
        <v>9.28</v>
      </c>
      <c r="H57"/>
      <c r="I57">
        <v>9.08</v>
      </c>
      <c r="J57"/>
      <c r="K57">
        <v>9.28</v>
      </c>
      <c r="L57"/>
      <c r="M57" s="2">
        <f>AVERAGE(K57,I57,G57)</f>
        <v>9.213333333333333</v>
      </c>
    </row>
    <row r="58" spans="2:13" ht="12.75">
      <c r="B58" s="5" t="s">
        <v>81</v>
      </c>
      <c r="C58" s="5"/>
      <c r="D58" s="5" t="s">
        <v>18</v>
      </c>
      <c r="F58"/>
      <c r="G58">
        <v>23.65</v>
      </c>
      <c r="H58"/>
      <c r="I58">
        <v>23.8</v>
      </c>
      <c r="J58"/>
      <c r="K58">
        <v>24.8</v>
      </c>
      <c r="L58"/>
      <c r="M58" s="2">
        <f>AVERAGE(K58,I58,G58)</f>
        <v>24.083333333333332</v>
      </c>
    </row>
    <row r="59" spans="2:13" ht="12.75">
      <c r="B59" s="5" t="s">
        <v>74</v>
      </c>
      <c r="C59" s="5"/>
      <c r="D59" s="5" t="s">
        <v>19</v>
      </c>
      <c r="F59"/>
      <c r="G59">
        <v>149</v>
      </c>
      <c r="H59"/>
      <c r="I59">
        <v>149</v>
      </c>
      <c r="J59"/>
      <c r="K59">
        <v>151</v>
      </c>
      <c r="L59"/>
      <c r="M59" s="2">
        <f>AVERAGE(K59,I59,G59)</f>
        <v>149.66666666666666</v>
      </c>
    </row>
    <row r="60" spans="2:13" ht="12.75">
      <c r="B60" s="5"/>
      <c r="C60" s="5"/>
      <c r="F60"/>
      <c r="G60"/>
      <c r="H60" s="5"/>
      <c r="I60" s="70"/>
      <c r="J60" s="5"/>
      <c r="K60" s="70"/>
      <c r="L60"/>
      <c r="M60" s="2"/>
    </row>
    <row r="61" spans="2:13" ht="12.75">
      <c r="B61" s="5"/>
      <c r="C61" s="5"/>
      <c r="G61" s="60"/>
      <c r="H61" s="70"/>
      <c r="I61" s="70"/>
      <c r="J61" s="70"/>
      <c r="K61" s="70"/>
      <c r="L61"/>
      <c r="M61" s="2"/>
    </row>
    <row r="62" spans="2:13" ht="12.75">
      <c r="B62" s="5"/>
      <c r="C62" s="5"/>
      <c r="G62" s="60"/>
      <c r="H62" s="5"/>
      <c r="I62"/>
      <c r="J62" s="5"/>
      <c r="K62" s="70"/>
      <c r="L62"/>
      <c r="M62" s="2"/>
    </row>
    <row r="63" spans="2:13" ht="12.75">
      <c r="B63" s="5"/>
      <c r="C63" s="5"/>
      <c r="F63"/>
      <c r="G63" s="60"/>
      <c r="H63" s="5"/>
      <c r="I63" s="70"/>
      <c r="J63" s="5"/>
      <c r="K63" s="70"/>
      <c r="L63"/>
      <c r="M63" s="2"/>
    </row>
    <row r="64" spans="2:13" ht="12.75">
      <c r="B64" s="5"/>
      <c r="C64" s="5"/>
      <c r="F64"/>
      <c r="G64"/>
      <c r="H64" s="5"/>
      <c r="I64" s="70"/>
      <c r="J64" s="5"/>
      <c r="K64" s="70"/>
      <c r="L64"/>
      <c r="M64" s="2"/>
    </row>
    <row r="65" spans="2:13" ht="12.75">
      <c r="B65" s="5"/>
      <c r="C65" s="5"/>
      <c r="G65"/>
      <c r="H65"/>
      <c r="I65"/>
      <c r="J65"/>
      <c r="K65"/>
      <c r="L65"/>
      <c r="M65" s="2"/>
    </row>
    <row r="66" spans="2:13" ht="12.75">
      <c r="B66" s="5"/>
      <c r="C66" s="5"/>
      <c r="G66" s="70"/>
      <c r="H66" s="5"/>
      <c r="I66" s="70"/>
      <c r="J66" s="5"/>
      <c r="K66" s="70"/>
      <c r="L66"/>
      <c r="M66" s="2"/>
    </row>
    <row r="67" spans="2:13" ht="12.75">
      <c r="B67" s="5"/>
      <c r="C67" s="5"/>
      <c r="G67" s="70"/>
      <c r="H67" s="5"/>
      <c r="I67" s="64"/>
      <c r="J67" s="5"/>
      <c r="K67"/>
      <c r="L67"/>
      <c r="M67" s="2"/>
    </row>
    <row r="68" spans="2:13" ht="12.75">
      <c r="B68" s="5"/>
      <c r="C68" s="5"/>
      <c r="G68" s="70"/>
      <c r="H68"/>
      <c r="I68"/>
      <c r="J68"/>
      <c r="K68"/>
      <c r="L68"/>
      <c r="M68" s="2"/>
    </row>
    <row r="69" spans="2:13" ht="12.75">
      <c r="B69" s="5"/>
      <c r="C69" s="5"/>
      <c r="G69" s="70"/>
      <c r="H69" s="5"/>
      <c r="I69" s="70"/>
      <c r="J69" s="5"/>
      <c r="K69" s="70"/>
      <c r="L69"/>
      <c r="M69" s="2"/>
    </row>
    <row r="70" spans="2:13" ht="12.75">
      <c r="B70" s="5"/>
      <c r="C70" s="5"/>
      <c r="F70"/>
      <c r="G70" s="70"/>
      <c r="H70" s="5"/>
      <c r="I70" s="70"/>
      <c r="J70" s="5"/>
      <c r="K70" s="70"/>
      <c r="L70"/>
      <c r="M70" s="2"/>
    </row>
    <row r="71" spans="2:13" ht="12.75">
      <c r="B71" s="5"/>
      <c r="C71" s="5"/>
      <c r="G71" s="70"/>
      <c r="H71" s="5"/>
      <c r="I71" s="70"/>
      <c r="J71" s="5"/>
      <c r="K71" s="70"/>
      <c r="L71"/>
      <c r="M71" s="2"/>
    </row>
    <row r="72" spans="2:13" ht="12.75">
      <c r="B72" s="5"/>
      <c r="C72" s="5"/>
      <c r="G72" s="70"/>
      <c r="H72"/>
      <c r="I72"/>
      <c r="J72"/>
      <c r="K72" s="70"/>
      <c r="L72"/>
      <c r="M72" s="2"/>
    </row>
    <row r="73" spans="2:13" ht="12.75">
      <c r="B73" s="5"/>
      <c r="C73" s="5"/>
      <c r="F73"/>
      <c r="G73" s="70"/>
      <c r="H73"/>
      <c r="I73"/>
      <c r="J73"/>
      <c r="K73" s="70"/>
      <c r="L73"/>
      <c r="M73" s="2"/>
    </row>
    <row r="74" spans="2:13" ht="12.75">
      <c r="B74" s="5"/>
      <c r="C74" s="5"/>
      <c r="G74"/>
      <c r="H74"/>
      <c r="I74"/>
      <c r="J74"/>
      <c r="K74" s="70"/>
      <c r="L74"/>
      <c r="M74" s="2"/>
    </row>
    <row r="75" spans="2:13" ht="12.75">
      <c r="B75" s="5"/>
      <c r="C75" s="5"/>
      <c r="G75" s="70"/>
      <c r="H75"/>
      <c r="I75"/>
      <c r="J75"/>
      <c r="K75"/>
      <c r="L75"/>
      <c r="M75"/>
    </row>
    <row r="76" spans="2:9" ht="12.75">
      <c r="B76" s="5"/>
      <c r="C76" s="5"/>
      <c r="G76" s="70"/>
      <c r="I76" s="14"/>
    </row>
    <row r="77" spans="2:9" ht="12.75">
      <c r="B77" s="5"/>
      <c r="C77" s="5"/>
      <c r="G77" s="70"/>
      <c r="I77" s="14"/>
    </row>
    <row r="78" spans="2:9" ht="12.75">
      <c r="B78" s="5"/>
      <c r="C78" s="5"/>
      <c r="G78" s="70"/>
      <c r="I78" s="14"/>
    </row>
    <row r="79" spans="2:9" ht="12.75">
      <c r="B79" s="5"/>
      <c r="C79" s="5"/>
      <c r="G79"/>
      <c r="I79" s="14"/>
    </row>
    <row r="80" spans="2:9" ht="12.75">
      <c r="B80" s="5"/>
      <c r="C80" s="5"/>
      <c r="F80"/>
      <c r="G80"/>
      <c r="I80" s="14"/>
    </row>
    <row r="81" spans="2:13" ht="12.75">
      <c r="B81" s="5"/>
      <c r="C81" s="5"/>
      <c r="G81" s="70"/>
      <c r="H81"/>
      <c r="I81"/>
      <c r="J81"/>
      <c r="K81"/>
      <c r="L81"/>
      <c r="M81"/>
    </row>
    <row r="82" spans="2:13" ht="12.75">
      <c r="B82" s="5"/>
      <c r="C82" s="5"/>
      <c r="G82" s="70"/>
      <c r="H82"/>
      <c r="I82"/>
      <c r="J82"/>
      <c r="K82"/>
      <c r="L82"/>
      <c r="M82"/>
    </row>
    <row r="83" spans="2:13" ht="12.75">
      <c r="B83" s="5"/>
      <c r="C83" s="5"/>
      <c r="G83" s="70"/>
      <c r="H83"/>
      <c r="I83"/>
      <c r="J83"/>
      <c r="K83"/>
      <c r="L83"/>
      <c r="M83" s="2"/>
    </row>
    <row r="84" spans="2:13" ht="12.75">
      <c r="B84" s="5"/>
      <c r="C84" s="5"/>
      <c r="F84"/>
      <c r="G84"/>
      <c r="H84"/>
      <c r="I84"/>
      <c r="J84"/>
      <c r="K84"/>
      <c r="L84"/>
      <c r="M84" s="2"/>
    </row>
    <row r="85" spans="2:13" ht="12.75">
      <c r="B85" s="5"/>
      <c r="C85" s="5"/>
      <c r="F85"/>
      <c r="G85"/>
      <c r="H85"/>
      <c r="I85"/>
      <c r="J85"/>
      <c r="K85"/>
      <c r="L85"/>
      <c r="M85" s="2"/>
    </row>
    <row r="86" spans="2:13" ht="12.75">
      <c r="B86" s="5"/>
      <c r="C86" s="5"/>
      <c r="F86"/>
      <c r="G86"/>
      <c r="H86"/>
      <c r="I86"/>
      <c r="J86"/>
      <c r="K86"/>
      <c r="L86"/>
      <c r="M86" s="2"/>
    </row>
    <row r="87" spans="2:13" ht="13.5" customHeight="1">
      <c r="B87" s="5"/>
      <c r="C87" s="5"/>
      <c r="F87"/>
      <c r="G87"/>
      <c r="H87"/>
      <c r="I87"/>
      <c r="J87"/>
      <c r="K87"/>
      <c r="L87"/>
      <c r="M87" s="2"/>
    </row>
    <row r="88" spans="2:13" ht="12.75">
      <c r="B88" s="5"/>
      <c r="C88" s="5"/>
      <c r="H88" s="5"/>
      <c r="I88" s="2"/>
      <c r="J88" s="5"/>
      <c r="K88" s="2"/>
      <c r="M88" s="2"/>
    </row>
    <row r="89" spans="2:13" ht="12.75">
      <c r="B89" s="5"/>
      <c r="C89" s="5"/>
      <c r="H89" s="5"/>
      <c r="I89" s="2"/>
      <c r="J89" s="5"/>
      <c r="K89" s="2"/>
      <c r="M89" s="2"/>
    </row>
    <row r="90" spans="2:13" ht="12.75">
      <c r="B90" s="5"/>
      <c r="C90" s="5"/>
      <c r="H90" s="5"/>
      <c r="I90" s="2"/>
      <c r="J90" s="5"/>
      <c r="K90" s="2"/>
      <c r="M90" s="2"/>
    </row>
    <row r="91" spans="2:13" ht="12.75">
      <c r="B91" s="5"/>
      <c r="C91" s="5"/>
      <c r="H91" s="5"/>
      <c r="I91" s="2"/>
      <c r="J91" s="5"/>
      <c r="K91" s="2"/>
      <c r="M91" s="2"/>
    </row>
    <row r="92" spans="2:13" ht="12.75">
      <c r="B92" s="5"/>
      <c r="C92" s="5"/>
      <c r="H92" s="5"/>
      <c r="I92" s="2"/>
      <c r="J92" s="5"/>
      <c r="K92" s="2"/>
      <c r="M92" s="2"/>
    </row>
    <row r="93" spans="2:13" ht="12.75">
      <c r="B93" s="5"/>
      <c r="C93" s="5"/>
      <c r="I93" s="2"/>
      <c r="K93" s="2"/>
      <c r="M93" s="2"/>
    </row>
    <row r="94" spans="2:13" ht="12.75">
      <c r="B94" s="5"/>
      <c r="C94" s="5"/>
      <c r="H94" s="5"/>
      <c r="I94" s="2"/>
      <c r="J94" s="5"/>
      <c r="K94" s="2"/>
      <c r="M94" s="2"/>
    </row>
    <row r="95" spans="2:13" ht="12.75">
      <c r="B95" s="5"/>
      <c r="C95" s="5"/>
      <c r="H95" s="5"/>
      <c r="I95" s="2"/>
      <c r="J95" s="5"/>
      <c r="K95" s="2"/>
      <c r="M95" s="2"/>
    </row>
    <row r="96" spans="2:13" ht="12.75">
      <c r="B96" s="5"/>
      <c r="C96" s="5"/>
      <c r="I96" s="2"/>
      <c r="K96" s="2"/>
      <c r="M96" s="2"/>
    </row>
    <row r="97" spans="2:13" ht="12.75">
      <c r="B97" s="5"/>
      <c r="C97" s="5"/>
      <c r="F97"/>
      <c r="G97"/>
      <c r="H97" s="5"/>
      <c r="I97" s="2"/>
      <c r="J97" s="5"/>
      <c r="K97" s="2"/>
      <c r="L97"/>
      <c r="M97" s="2"/>
    </row>
    <row r="98" spans="2:13" ht="12.75">
      <c r="B98" s="5"/>
      <c r="C98" s="5"/>
      <c r="H98" s="5"/>
      <c r="I98" s="2"/>
      <c r="J98" s="5"/>
      <c r="K98" s="2"/>
      <c r="M98" s="2"/>
    </row>
    <row r="99" spans="2:13" ht="12.75">
      <c r="B99" s="5"/>
      <c r="C99" s="5"/>
      <c r="F99"/>
      <c r="G99"/>
      <c r="H99" s="5"/>
      <c r="I99" s="2"/>
      <c r="J99" s="5"/>
      <c r="K99" s="2"/>
      <c r="L99"/>
      <c r="M99" s="2"/>
    </row>
    <row r="100" spans="2:13" ht="12.75">
      <c r="B100" s="5"/>
      <c r="C100" s="5"/>
      <c r="G100" s="2"/>
      <c r="H100"/>
      <c r="I100" s="2"/>
      <c r="J100"/>
      <c r="K100" s="2"/>
      <c r="L100"/>
      <c r="M100" s="2"/>
    </row>
    <row r="101" spans="2:13" ht="12.75">
      <c r="B101" s="5"/>
      <c r="C101" s="5"/>
      <c r="G101" s="60"/>
      <c r="H101" s="5"/>
      <c r="I101" s="2"/>
      <c r="J101" s="5"/>
      <c r="K101" s="2"/>
      <c r="L101"/>
      <c r="M101" s="2"/>
    </row>
    <row r="102" spans="2:13" ht="12.75">
      <c r="B102" s="5"/>
      <c r="C102" s="5"/>
      <c r="G102" s="60"/>
      <c r="H102" s="5"/>
      <c r="I102" s="2"/>
      <c r="J102" s="5"/>
      <c r="K102" s="2"/>
      <c r="L102"/>
      <c r="M102" s="2"/>
    </row>
    <row r="103" spans="2:13" ht="12.75">
      <c r="B103" s="5"/>
      <c r="C103" s="5"/>
      <c r="G103" s="60"/>
      <c r="H103"/>
      <c r="I103" s="2"/>
      <c r="J103"/>
      <c r="K103" s="2"/>
      <c r="L103"/>
      <c r="M103" s="2"/>
    </row>
    <row r="104" spans="2:13" ht="12.75">
      <c r="B104" s="5"/>
      <c r="C104" s="5"/>
      <c r="G104" s="60"/>
      <c r="H104" s="5"/>
      <c r="I104" s="2"/>
      <c r="J104" s="5"/>
      <c r="K104" s="2"/>
      <c r="L104"/>
      <c r="M104" s="2"/>
    </row>
    <row r="105" spans="2:13" ht="12.75">
      <c r="B105" s="5"/>
      <c r="C105" s="5"/>
      <c r="F105"/>
      <c r="G105" s="60"/>
      <c r="H105" s="5"/>
      <c r="I105" s="2"/>
      <c r="J105" s="5"/>
      <c r="K105" s="2"/>
      <c r="L105"/>
      <c r="M105" s="2"/>
    </row>
    <row r="106" spans="2:13" ht="12.75">
      <c r="B106" s="5"/>
      <c r="C106" s="5"/>
      <c r="G106" s="60"/>
      <c r="H106" s="5"/>
      <c r="I106" s="2"/>
      <c r="J106" s="5"/>
      <c r="K106" s="2"/>
      <c r="L106"/>
      <c r="M106" s="2"/>
    </row>
    <row r="107" spans="2:13" ht="12.75">
      <c r="B107" s="5"/>
      <c r="C107" s="5"/>
      <c r="G107" s="60"/>
      <c r="I107" s="2"/>
      <c r="K107" s="2"/>
      <c r="M107" s="2"/>
    </row>
    <row r="108" spans="2:13" ht="12.75">
      <c r="B108" s="5"/>
      <c r="C108" s="5"/>
      <c r="F108"/>
      <c r="G108" s="60"/>
      <c r="H108"/>
      <c r="I108" s="2"/>
      <c r="J108"/>
      <c r="K108" s="2"/>
      <c r="L108"/>
      <c r="M108" s="2"/>
    </row>
    <row r="109" spans="2:13" ht="12.75">
      <c r="B109" s="5"/>
      <c r="C109" s="5"/>
      <c r="G109" s="60"/>
      <c r="H109"/>
      <c r="I109" s="2"/>
      <c r="J109"/>
      <c r="K109" s="2"/>
      <c r="L109"/>
      <c r="M109" s="2"/>
    </row>
    <row r="110" spans="2:13" ht="12.75">
      <c r="B110" s="5"/>
      <c r="C110" s="5"/>
      <c r="G110" s="60"/>
      <c r="H110"/>
      <c r="I110"/>
      <c r="J110"/>
      <c r="K110"/>
      <c r="L110"/>
      <c r="M110"/>
    </row>
    <row r="111" spans="2:13" ht="12.75">
      <c r="B111" s="5"/>
      <c r="C111" s="5"/>
      <c r="G111" s="60"/>
      <c r="H111" s="2"/>
      <c r="I111" s="2"/>
      <c r="J111" s="2"/>
      <c r="K111" s="2"/>
      <c r="L111" s="2"/>
      <c r="M111" s="2"/>
    </row>
    <row r="112" spans="2:13" ht="12.75">
      <c r="B112" s="5"/>
      <c r="C112" s="5"/>
      <c r="G112" s="60"/>
      <c r="H112" s="2"/>
      <c r="I112" s="2"/>
      <c r="J112" s="2"/>
      <c r="K112" s="2"/>
      <c r="L112" s="2"/>
      <c r="M112" s="2"/>
    </row>
    <row r="113" spans="2:13" ht="12.75">
      <c r="B113" s="5"/>
      <c r="C113" s="5"/>
      <c r="G113" s="60"/>
      <c r="M113" s="2"/>
    </row>
    <row r="114" spans="2:13" ht="12.75">
      <c r="B114" s="5"/>
      <c r="C114" s="5"/>
      <c r="G114" s="60"/>
      <c r="M114" s="54"/>
    </row>
    <row r="115" spans="2:13" ht="12.75">
      <c r="B115" s="5"/>
      <c r="C115" s="5"/>
      <c r="G115" s="60"/>
      <c r="M115" s="2"/>
    </row>
    <row r="116" spans="2:13" ht="12.75">
      <c r="B116" s="5"/>
      <c r="C116" s="5"/>
      <c r="G116" s="60"/>
      <c r="M116" s="2"/>
    </row>
    <row r="117" spans="2:13" ht="12.75">
      <c r="B117" s="5"/>
      <c r="C117" s="5"/>
      <c r="G117" s="60"/>
      <c r="M117" s="2"/>
    </row>
    <row r="118" spans="2:13" ht="12.75">
      <c r="B118" s="5"/>
      <c r="C118" s="5"/>
      <c r="G118" s="60"/>
      <c r="H118" s="60"/>
      <c r="I118" s="60"/>
      <c r="J118" s="60"/>
      <c r="K118" s="60"/>
      <c r="M118" s="2"/>
    </row>
    <row r="119" spans="2:13" ht="12.75">
      <c r="B119" s="5"/>
      <c r="C119" s="5"/>
      <c r="G119" s="60"/>
      <c r="M119" s="2"/>
    </row>
    <row r="120" spans="2:13" ht="12.75">
      <c r="B120" s="5"/>
      <c r="C120" s="5"/>
      <c r="G120" s="60"/>
      <c r="H120" s="60"/>
      <c r="I120" s="60"/>
      <c r="J120" s="60"/>
      <c r="K120" s="60"/>
      <c r="M120" s="2"/>
    </row>
    <row r="121" spans="2:13" ht="12.75">
      <c r="B121" s="5"/>
      <c r="C121" s="5"/>
      <c r="G121" s="60"/>
      <c r="M121" s="2"/>
    </row>
    <row r="122" spans="2:13" ht="12.75">
      <c r="B122" s="5"/>
      <c r="C122" s="5"/>
      <c r="H122" s="20"/>
      <c r="I122" s="21"/>
      <c r="J122" s="20"/>
      <c r="K122" s="20"/>
      <c r="M122" s="55"/>
    </row>
    <row r="123" spans="7:13" ht="12.75">
      <c r="G123" s="2"/>
      <c r="H123" s="20"/>
      <c r="I123" s="21"/>
      <c r="J123" s="20"/>
      <c r="K123" s="20"/>
      <c r="M123" s="62"/>
    </row>
    <row r="124" spans="7:13" ht="12.75">
      <c r="G124" s="2"/>
      <c r="H124" s="5"/>
      <c r="I124" s="57"/>
      <c r="J124" s="5"/>
      <c r="K124" s="57"/>
      <c r="L124" s="5"/>
      <c r="M124" s="22"/>
    </row>
    <row r="125" spans="8:13" ht="12.75">
      <c r="H125" s="5"/>
      <c r="I125" s="63"/>
      <c r="J125" s="5"/>
      <c r="K125" s="63"/>
      <c r="L125" s="5"/>
      <c r="M125" s="65"/>
    </row>
    <row r="126" ht="12.75">
      <c r="M126" s="2"/>
    </row>
    <row r="127" spans="8:13" ht="12.75">
      <c r="H127" s="5"/>
      <c r="J127" s="5"/>
      <c r="M127" s="2"/>
    </row>
    <row r="128" ht="12.75">
      <c r="M128" s="2"/>
    </row>
    <row r="129" ht="12.75">
      <c r="M129" s="2"/>
    </row>
    <row r="130" ht="12.75">
      <c r="M130" s="2"/>
    </row>
    <row r="131" ht="12.75">
      <c r="M131" s="2"/>
    </row>
    <row r="132" ht="12.75">
      <c r="M132" s="2"/>
    </row>
    <row r="133" spans="8:13" ht="12.75">
      <c r="H133" s="5"/>
      <c r="J133" s="5"/>
      <c r="M133" s="2"/>
    </row>
    <row r="134" spans="8:13" ht="12.75">
      <c r="H134" s="5"/>
      <c r="J134" s="5"/>
      <c r="M134" s="2"/>
    </row>
    <row r="135" ht="12.75">
      <c r="M135" s="2"/>
    </row>
    <row r="136" spans="8:13" ht="12.75">
      <c r="H136" s="5"/>
      <c r="J136" s="5"/>
      <c r="M136" s="2"/>
    </row>
    <row r="137" spans="8:13" ht="12.75">
      <c r="H137" s="5"/>
      <c r="M137" s="2"/>
    </row>
    <row r="138" ht="12.75">
      <c r="M138" s="2"/>
    </row>
    <row r="139" ht="12.75">
      <c r="M139" s="2"/>
    </row>
    <row r="140" spans="8:13" ht="12.75">
      <c r="H140" s="5"/>
      <c r="J140" s="5"/>
      <c r="M140" s="2"/>
    </row>
    <row r="141" spans="9:13" ht="12.75">
      <c r="I141" s="64"/>
      <c r="M141" s="2"/>
    </row>
    <row r="142" ht="12.75">
      <c r="M142" s="2"/>
    </row>
    <row r="143" spans="8:13" ht="12.75">
      <c r="H143" s="5"/>
      <c r="J143" s="5"/>
      <c r="M143" s="2"/>
    </row>
    <row r="144" ht="12.75">
      <c r="M144" s="2"/>
    </row>
    <row r="145" ht="12.75">
      <c r="M145" s="2"/>
    </row>
    <row r="146" spans="8:13" ht="12.75">
      <c r="H146" s="5"/>
      <c r="J146" s="5"/>
      <c r="M146" s="2"/>
    </row>
    <row r="147" ht="12.75">
      <c r="M147" s="2"/>
    </row>
    <row r="148" ht="12.75">
      <c r="M148" s="2"/>
    </row>
    <row r="149" ht="12.75"/>
    <row r="150" ht="12.75"/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/>
    <row r="156" ht="12.75"/>
    <row r="157" ht="12.75">
      <c r="M157" s="2"/>
    </row>
    <row r="158" ht="12.75">
      <c r="M158" s="2"/>
    </row>
    <row r="159" ht="12.75">
      <c r="M159" s="2"/>
    </row>
    <row r="160" spans="4:13" ht="12.75">
      <c r="D160" s="14"/>
      <c r="E160" s="14"/>
      <c r="F160" s="14"/>
      <c r="H160"/>
      <c r="I160"/>
      <c r="J160"/>
      <c r="K160"/>
      <c r="L160"/>
      <c r="M160" s="2"/>
    </row>
    <row r="161" spans="4:13" ht="12.75">
      <c r="D161" s="14"/>
      <c r="E161" s="14"/>
      <c r="F161" s="14"/>
      <c r="H161"/>
      <c r="I161"/>
      <c r="J161"/>
      <c r="K161"/>
      <c r="L161"/>
      <c r="M161"/>
    </row>
    <row r="162" spans="4:13" ht="12.75">
      <c r="D162" s="14"/>
      <c r="E162" s="14"/>
      <c r="F162" s="14"/>
      <c r="H162" s="5"/>
      <c r="I162" s="2"/>
      <c r="J162" s="5"/>
      <c r="K162" s="2"/>
      <c r="L162"/>
      <c r="M162" s="2"/>
    </row>
    <row r="163" spans="4:13" ht="12.75">
      <c r="D163" s="14"/>
      <c r="E163" s="14"/>
      <c r="F163" s="14"/>
      <c r="H163"/>
      <c r="I163" s="2"/>
      <c r="J163"/>
      <c r="K163" s="2"/>
      <c r="L163"/>
      <c r="M163" s="2"/>
    </row>
    <row r="164" spans="4:13" ht="12.75">
      <c r="D164" s="14"/>
      <c r="E164" s="14"/>
      <c r="F164" s="14"/>
      <c r="H164"/>
      <c r="I164" s="2"/>
      <c r="J164"/>
      <c r="K164" s="2"/>
      <c r="L164"/>
      <c r="M164" s="2"/>
    </row>
    <row r="165" spans="4:13" ht="12.75">
      <c r="D165" s="14"/>
      <c r="E165" s="14"/>
      <c r="F165" s="14"/>
      <c r="H165"/>
      <c r="I165" s="2"/>
      <c r="J165"/>
      <c r="K165" s="2"/>
      <c r="L165"/>
      <c r="M165" s="2"/>
    </row>
    <row r="166" spans="4:13" ht="12.75">
      <c r="D166" s="14"/>
      <c r="E166" s="14"/>
      <c r="F166" s="14"/>
      <c r="H166"/>
      <c r="I166" s="2"/>
      <c r="J166"/>
      <c r="K166" s="2"/>
      <c r="L166"/>
      <c r="M166" s="2"/>
    </row>
    <row r="167" spans="4:13" ht="12.75">
      <c r="D167" s="14"/>
      <c r="E167" s="14"/>
      <c r="F167" s="14"/>
      <c r="H167"/>
      <c r="I167" s="2"/>
      <c r="J167"/>
      <c r="K167" s="2"/>
      <c r="L167"/>
      <c r="M167" s="2"/>
    </row>
    <row r="168" spans="4:13" ht="12.75">
      <c r="D168" s="14"/>
      <c r="E168" s="14"/>
      <c r="F168" s="14"/>
      <c r="H168" s="5"/>
      <c r="I168" s="2"/>
      <c r="J168" s="5"/>
      <c r="K168" s="2"/>
      <c r="L168"/>
      <c r="M168" s="2"/>
    </row>
    <row r="169" spans="4:13" ht="12.75">
      <c r="D169" s="14"/>
      <c r="E169" s="14"/>
      <c r="F169" s="14"/>
      <c r="H169" s="5"/>
      <c r="I169" s="2"/>
      <c r="J169" s="5"/>
      <c r="K169" s="2"/>
      <c r="L169"/>
      <c r="M169" s="2"/>
    </row>
    <row r="170" spans="4:13" ht="12.75">
      <c r="D170" s="14"/>
      <c r="E170" s="14"/>
      <c r="F170" s="14"/>
      <c r="H170"/>
      <c r="I170" s="2"/>
      <c r="J170"/>
      <c r="K170" s="2"/>
      <c r="L170"/>
      <c r="M170" s="2"/>
    </row>
    <row r="171" spans="4:13" ht="12.75">
      <c r="D171" s="14"/>
      <c r="E171" s="14"/>
      <c r="F171" s="14"/>
      <c r="H171" s="5"/>
      <c r="I171" s="2"/>
      <c r="J171" s="5"/>
      <c r="K171" s="2"/>
      <c r="L171"/>
      <c r="M171" s="2"/>
    </row>
    <row r="172" spans="4:13" ht="12.75">
      <c r="D172" s="14"/>
      <c r="E172" s="14"/>
      <c r="F172" s="14"/>
      <c r="H172" s="5"/>
      <c r="I172" s="2"/>
      <c r="J172"/>
      <c r="K172" s="2"/>
      <c r="L172"/>
      <c r="M172" s="2"/>
    </row>
    <row r="173" spans="4:13" ht="12.75">
      <c r="D173" s="14"/>
      <c r="E173" s="14"/>
      <c r="F173" s="14"/>
      <c r="H173"/>
      <c r="I173" s="2"/>
      <c r="J173"/>
      <c r="K173" s="2"/>
      <c r="L173"/>
      <c r="M173" s="2"/>
    </row>
    <row r="174" spans="4:13" ht="12.75">
      <c r="D174" s="14"/>
      <c r="E174" s="14"/>
      <c r="F174" s="14"/>
      <c r="H174"/>
      <c r="I174" s="2"/>
      <c r="J174"/>
      <c r="K174" s="2"/>
      <c r="L174"/>
      <c r="M174" s="2"/>
    </row>
    <row r="175" spans="4:13" ht="12.75">
      <c r="D175" s="14"/>
      <c r="E175" s="14"/>
      <c r="F175" s="14"/>
      <c r="H175" s="5"/>
      <c r="I175" s="2"/>
      <c r="J175" s="5"/>
      <c r="K175" s="2"/>
      <c r="L175"/>
      <c r="M175" s="2"/>
    </row>
    <row r="176" spans="4:13" ht="12.75">
      <c r="D176" s="14"/>
      <c r="E176" s="14"/>
      <c r="F176" s="14"/>
      <c r="H176"/>
      <c r="I176" s="2"/>
      <c r="J176"/>
      <c r="K176" s="2"/>
      <c r="L176"/>
      <c r="M176" s="2"/>
    </row>
    <row r="177" spans="4:13" ht="12.75">
      <c r="D177" s="14"/>
      <c r="E177" s="14"/>
      <c r="F177" s="14"/>
      <c r="H177"/>
      <c r="I177" s="2"/>
      <c r="J177"/>
      <c r="K177" s="2"/>
      <c r="L177"/>
      <c r="M177" s="2"/>
    </row>
    <row r="178" spans="4:13" ht="12.75">
      <c r="D178" s="14"/>
      <c r="E178" s="14"/>
      <c r="F178" s="14"/>
      <c r="H178" s="5"/>
      <c r="I178" s="2"/>
      <c r="J178" s="5"/>
      <c r="K178" s="2"/>
      <c r="L178"/>
      <c r="M178" s="2"/>
    </row>
    <row r="179" spans="4:13" ht="12.75">
      <c r="D179" s="14"/>
      <c r="E179" s="14"/>
      <c r="F179" s="14"/>
      <c r="H179"/>
      <c r="I179" s="2"/>
      <c r="J179"/>
      <c r="K179" s="2"/>
      <c r="L179"/>
      <c r="M179" s="2"/>
    </row>
    <row r="180" spans="4:13" ht="12.75">
      <c r="D180" s="14"/>
      <c r="E180" s="14"/>
      <c r="F180" s="14"/>
      <c r="H180"/>
      <c r="I180" s="2"/>
      <c r="J180"/>
      <c r="K180" s="2"/>
      <c r="L180"/>
      <c r="M180" s="2"/>
    </row>
    <row r="181" spans="4:13" ht="12.75">
      <c r="D181" s="14"/>
      <c r="E181" s="14"/>
      <c r="F181" s="14"/>
      <c r="H181" s="5"/>
      <c r="I181" s="2"/>
      <c r="J181" s="5"/>
      <c r="K181" s="2"/>
      <c r="L181"/>
      <c r="M181" s="2"/>
    </row>
    <row r="182" spans="4:13" ht="12.75">
      <c r="D182" s="14"/>
      <c r="E182" s="14"/>
      <c r="F182" s="14"/>
      <c r="H182"/>
      <c r="I182" s="2"/>
      <c r="J182"/>
      <c r="K182" s="2"/>
      <c r="L182"/>
      <c r="M182" s="2"/>
    </row>
    <row r="183" spans="4:13" ht="12.75">
      <c r="D183" s="14"/>
      <c r="E183" s="14"/>
      <c r="F183" s="14"/>
      <c r="H183"/>
      <c r="I183" s="2"/>
      <c r="J183"/>
      <c r="K183" s="2"/>
      <c r="L183"/>
      <c r="M183" s="2"/>
    </row>
    <row r="184" spans="4:13" ht="12.75">
      <c r="D184" s="14"/>
      <c r="E184" s="14"/>
      <c r="F184" s="14"/>
      <c r="H184"/>
      <c r="I184"/>
      <c r="J184"/>
      <c r="K184"/>
      <c r="L184"/>
      <c r="M184"/>
    </row>
    <row r="185" spans="4:13" ht="12.75">
      <c r="D185" s="14"/>
      <c r="E185" s="14"/>
      <c r="F185" s="14"/>
      <c r="H185" s="60"/>
      <c r="I185" s="60"/>
      <c r="J185" s="60"/>
      <c r="K185" s="60"/>
      <c r="L185" s="2"/>
      <c r="M185" s="2"/>
    </row>
    <row r="186" spans="4:13" ht="12.75">
      <c r="D186" s="14"/>
      <c r="E186" s="14"/>
      <c r="F186" s="14"/>
      <c r="H186" s="2"/>
      <c r="I186" s="2"/>
      <c r="J186" s="2"/>
      <c r="K186" s="2"/>
      <c r="L186" s="2"/>
      <c r="M186" s="2"/>
    </row>
    <row r="187" spans="4:13" ht="12.75">
      <c r="D187" s="14"/>
      <c r="E187" s="14"/>
      <c r="F187" s="14"/>
      <c r="H187"/>
      <c r="I187"/>
      <c r="J187"/>
      <c r="K187"/>
      <c r="L187"/>
      <c r="M187"/>
    </row>
    <row r="188" spans="4:6" ht="12.75">
      <c r="D188" s="14"/>
      <c r="E188" s="14"/>
      <c r="F188" s="14"/>
    </row>
    <row r="189" spans="4:6" ht="12.75">
      <c r="D189" s="14"/>
      <c r="E189" s="14"/>
      <c r="F189" s="14"/>
    </row>
    <row r="190" spans="4:6" ht="12.75">
      <c r="D190" s="14"/>
      <c r="E190" s="14"/>
      <c r="F190" s="14"/>
    </row>
    <row r="191" spans="4:6" ht="12.75">
      <c r="D191" s="14"/>
      <c r="E191" s="14"/>
      <c r="F191" s="14"/>
    </row>
    <row r="256" spans="2:7" ht="12.75">
      <c r="B256" s="5"/>
      <c r="C256" s="5"/>
      <c r="F256"/>
      <c r="G25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0"/>
  <sheetViews>
    <sheetView workbookViewId="0" topLeftCell="B1">
      <selection activeCell="J38" sqref="J38"/>
    </sheetView>
  </sheetViews>
  <sheetFormatPr defaultColWidth="9.140625" defaultRowHeight="12.75"/>
  <cols>
    <col min="1" max="1" width="2.28125" style="24" hidden="1" customWidth="1"/>
    <col min="2" max="2" width="22.421875" style="6" customWidth="1"/>
    <col min="3" max="3" width="3.8515625" style="6" customWidth="1"/>
    <col min="4" max="4" width="9.28125" style="6" customWidth="1"/>
    <col min="5" max="5" width="5.7109375" style="6" customWidth="1"/>
    <col min="6" max="6" width="3.7109375" style="24" customWidth="1"/>
    <col min="7" max="7" width="9.57421875" style="25" customWidth="1"/>
    <col min="8" max="8" width="4.00390625" style="25" customWidth="1"/>
    <col min="9" max="9" width="10.7109375" style="24" customWidth="1"/>
    <col min="10" max="10" width="4.421875" style="24" customWidth="1"/>
    <col min="11" max="11" width="9.421875" style="24" customWidth="1"/>
    <col min="12" max="12" width="4.00390625" style="24" customWidth="1"/>
    <col min="13" max="13" width="9.421875" style="24" customWidth="1"/>
    <col min="14" max="14" width="2.8515625" style="24" customWidth="1"/>
    <col min="15" max="15" width="8.57421875" style="24" customWidth="1"/>
    <col min="16" max="16" width="2.57421875" style="24" customWidth="1"/>
    <col min="17" max="17" width="6.8515625" style="24" customWidth="1"/>
    <col min="18" max="18" width="1.8515625" style="24" customWidth="1"/>
    <col min="19" max="19" width="9.28125" style="24" customWidth="1"/>
    <col min="20" max="20" width="2.140625" style="24" customWidth="1"/>
    <col min="21" max="21" width="11.00390625" style="24" customWidth="1"/>
    <col min="22" max="22" width="3.7109375" style="24" customWidth="1"/>
    <col min="23" max="23" width="8.7109375" style="24" customWidth="1"/>
    <col min="24" max="24" width="4.00390625" style="24" customWidth="1"/>
    <col min="25" max="25" width="8.8515625" style="24" customWidth="1"/>
    <col min="26" max="26" width="4.140625" style="24" customWidth="1"/>
    <col min="27" max="27" width="8.140625" style="24" customWidth="1"/>
    <col min="28" max="28" width="4.28125" style="24" customWidth="1"/>
    <col min="29" max="16384" width="8.8515625" style="24" customWidth="1"/>
  </cols>
  <sheetData>
    <row r="1" spans="2:3" ht="12.75">
      <c r="B1" s="23" t="s">
        <v>172</v>
      </c>
      <c r="C1" s="23"/>
    </row>
    <row r="3" spans="1:29" ht="12.75">
      <c r="A3" s="24" t="s">
        <v>85</v>
      </c>
      <c r="B3" s="23" t="str">
        <f>emiss!B6</f>
        <v>3025C1</v>
      </c>
      <c r="C3" s="23" t="s">
        <v>84</v>
      </c>
      <c r="E3" s="6" t="s">
        <v>122</v>
      </c>
      <c r="G3" s="26" t="s">
        <v>173</v>
      </c>
      <c r="H3" s="26"/>
      <c r="I3" s="26" t="s">
        <v>174</v>
      </c>
      <c r="J3" s="26"/>
      <c r="K3" s="26" t="s">
        <v>175</v>
      </c>
      <c r="L3" s="26"/>
      <c r="M3" s="26" t="s">
        <v>47</v>
      </c>
      <c r="N3" s="26"/>
      <c r="O3" s="26" t="s">
        <v>173</v>
      </c>
      <c r="P3" s="26"/>
      <c r="Q3" s="26" t="s">
        <v>174</v>
      </c>
      <c r="R3" s="26"/>
      <c r="S3" s="26" t="s">
        <v>175</v>
      </c>
      <c r="T3" s="26"/>
      <c r="U3" s="26" t="s">
        <v>47</v>
      </c>
      <c r="V3" s="26"/>
      <c r="W3" s="26" t="s">
        <v>173</v>
      </c>
      <c r="X3" s="26"/>
      <c r="Y3" s="26" t="s">
        <v>174</v>
      </c>
      <c r="Z3" s="26"/>
      <c r="AA3" s="26" t="s">
        <v>175</v>
      </c>
      <c r="AB3" s="26"/>
      <c r="AC3" s="26" t="s">
        <v>47</v>
      </c>
    </row>
    <row r="4" spans="2:29" ht="12.75">
      <c r="B4" s="23"/>
      <c r="C4" s="23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2:29" ht="12.75">
      <c r="B5" s="6" t="s">
        <v>199</v>
      </c>
      <c r="C5" s="23"/>
      <c r="G5" s="26" t="s">
        <v>202</v>
      </c>
      <c r="H5" s="26"/>
      <c r="I5" s="26" t="s">
        <v>202</v>
      </c>
      <c r="J5" s="26"/>
      <c r="K5" s="26" t="s">
        <v>202</v>
      </c>
      <c r="L5" s="26"/>
      <c r="M5" s="26" t="s">
        <v>202</v>
      </c>
      <c r="N5" s="26"/>
      <c r="O5" s="26" t="s">
        <v>203</v>
      </c>
      <c r="P5" s="26"/>
      <c r="Q5" s="26" t="s">
        <v>203</v>
      </c>
      <c r="R5" s="26"/>
      <c r="S5" s="26" t="s">
        <v>203</v>
      </c>
      <c r="T5" s="26"/>
      <c r="U5" s="26" t="s">
        <v>203</v>
      </c>
      <c r="V5" s="26"/>
      <c r="W5" s="26" t="s">
        <v>204</v>
      </c>
      <c r="X5" s="26"/>
      <c r="Y5" s="26" t="s">
        <v>204</v>
      </c>
      <c r="Z5" s="26"/>
      <c r="AA5" s="26" t="s">
        <v>204</v>
      </c>
      <c r="AB5" s="26"/>
      <c r="AC5" s="26" t="s">
        <v>204</v>
      </c>
    </row>
    <row r="6" spans="2:29" ht="12.75">
      <c r="B6" s="6" t="s">
        <v>200</v>
      </c>
      <c r="G6" s="25" t="s">
        <v>201</v>
      </c>
      <c r="I6" s="25" t="s">
        <v>201</v>
      </c>
      <c r="K6" s="25" t="s">
        <v>201</v>
      </c>
      <c r="M6" s="25" t="s">
        <v>201</v>
      </c>
      <c r="O6" s="49" t="s">
        <v>52</v>
      </c>
      <c r="P6" s="49"/>
      <c r="Q6" s="49" t="s">
        <v>52</v>
      </c>
      <c r="R6" s="49"/>
      <c r="S6" s="49" t="s">
        <v>52</v>
      </c>
      <c r="T6" s="49"/>
      <c r="U6" s="49" t="s">
        <v>52</v>
      </c>
      <c r="V6" s="49"/>
      <c r="W6" s="49" t="s">
        <v>25</v>
      </c>
      <c r="X6" s="49"/>
      <c r="Y6" s="49" t="s">
        <v>25</v>
      </c>
      <c r="Z6" s="49"/>
      <c r="AA6" s="49" t="s">
        <v>25</v>
      </c>
      <c r="AB6" s="49"/>
      <c r="AC6" s="49" t="s">
        <v>25</v>
      </c>
    </row>
    <row r="7" spans="2:29" ht="12.75">
      <c r="B7" s="6" t="s">
        <v>207</v>
      </c>
      <c r="G7" s="25" t="s">
        <v>60</v>
      </c>
      <c r="I7" s="25" t="s">
        <v>60</v>
      </c>
      <c r="K7" s="25" t="s">
        <v>60</v>
      </c>
      <c r="L7" s="25"/>
      <c r="M7" s="25" t="s">
        <v>60</v>
      </c>
      <c r="O7" s="49" t="s">
        <v>52</v>
      </c>
      <c r="P7" s="49"/>
      <c r="Q7" s="49" t="s">
        <v>52</v>
      </c>
      <c r="R7" s="49"/>
      <c r="S7" s="49" t="s">
        <v>52</v>
      </c>
      <c r="T7" s="49"/>
      <c r="U7" s="49" t="s">
        <v>52</v>
      </c>
      <c r="V7" s="49"/>
      <c r="W7" s="49" t="s">
        <v>25</v>
      </c>
      <c r="X7" s="49"/>
      <c r="Y7" s="49" t="s">
        <v>25</v>
      </c>
      <c r="Z7" s="49"/>
      <c r="AA7" s="49" t="s">
        <v>25</v>
      </c>
      <c r="AB7" s="49"/>
      <c r="AC7" s="49" t="s">
        <v>25</v>
      </c>
    </row>
    <row r="8" spans="2:29" s="49" customFormat="1" ht="12.75">
      <c r="B8" s="49" t="s">
        <v>48</v>
      </c>
      <c r="F8" s="47"/>
      <c r="G8" s="74" t="s">
        <v>142</v>
      </c>
      <c r="H8" s="10"/>
      <c r="I8" s="74" t="s">
        <v>142</v>
      </c>
      <c r="J8" s="10"/>
      <c r="K8" s="74" t="s">
        <v>142</v>
      </c>
      <c r="L8" s="10"/>
      <c r="M8" s="74" t="s">
        <v>142</v>
      </c>
      <c r="N8" s="10"/>
      <c r="O8" s="49" t="s">
        <v>52</v>
      </c>
      <c r="Q8" s="49" t="s">
        <v>52</v>
      </c>
      <c r="S8" s="49" t="s">
        <v>52</v>
      </c>
      <c r="U8" s="49" t="s">
        <v>52</v>
      </c>
      <c r="W8" s="49" t="s">
        <v>25</v>
      </c>
      <c r="Y8" s="49" t="s">
        <v>25</v>
      </c>
      <c r="AA8" s="49" t="s">
        <v>25</v>
      </c>
      <c r="AC8" s="49" t="s">
        <v>25</v>
      </c>
    </row>
    <row r="9" spans="2:22" ht="12.75">
      <c r="B9" s="6" t="s">
        <v>86</v>
      </c>
      <c r="C9" s="49"/>
      <c r="D9" s="6" t="s">
        <v>144</v>
      </c>
      <c r="F9" s="9"/>
      <c r="G9" s="9">
        <v>791473</v>
      </c>
      <c r="H9" s="9"/>
      <c r="I9" s="9">
        <v>794895</v>
      </c>
      <c r="J9" s="9"/>
      <c r="K9" s="9">
        <v>781993</v>
      </c>
      <c r="L9" s="9"/>
      <c r="M9" s="39">
        <f>AVERAGE(G9:K9)</f>
        <v>789453.6666666666</v>
      </c>
      <c r="N9" s="39"/>
      <c r="O9" s="9">
        <v>117009</v>
      </c>
      <c r="P9" s="9"/>
      <c r="Q9" s="9">
        <v>117072</v>
      </c>
      <c r="R9" s="9"/>
      <c r="S9" s="9">
        <v>116972</v>
      </c>
      <c r="T9" s="9"/>
      <c r="U9" s="39">
        <f>AVERAGE(O9:S9)</f>
        <v>117017.66666666667</v>
      </c>
      <c r="V9" s="39"/>
    </row>
    <row r="10" spans="2:29" ht="12.75">
      <c r="B10" s="6" t="s">
        <v>49</v>
      </c>
      <c r="C10" s="49"/>
      <c r="D10" s="6" t="s">
        <v>144</v>
      </c>
      <c r="F10" s="9"/>
      <c r="G10" s="9">
        <v>3562</v>
      </c>
      <c r="H10" s="9"/>
      <c r="I10" s="9">
        <v>3736</v>
      </c>
      <c r="J10" s="9"/>
      <c r="K10" s="9">
        <v>3988</v>
      </c>
      <c r="L10" s="9"/>
      <c r="M10" s="39">
        <f>AVERAGE(G10:K10)</f>
        <v>3762</v>
      </c>
      <c r="N10" s="39"/>
      <c r="O10" s="9">
        <v>11268</v>
      </c>
      <c r="P10" s="9"/>
      <c r="Q10" s="9">
        <v>11269</v>
      </c>
      <c r="R10" s="9"/>
      <c r="S10" s="9">
        <v>11267</v>
      </c>
      <c r="T10" s="9"/>
      <c r="U10" s="39">
        <f>AVERAGE(O10:S10)</f>
        <v>11268</v>
      </c>
      <c r="V10" s="39"/>
      <c r="W10" s="9">
        <f>O10+G10</f>
        <v>14830</v>
      </c>
      <c r="X10" s="9"/>
      <c r="Y10" s="9">
        <f>Q10+I10</f>
        <v>15005</v>
      </c>
      <c r="Z10" s="9"/>
      <c r="AA10" s="9">
        <f>S10+K10</f>
        <v>15255</v>
      </c>
      <c r="AB10" s="9"/>
      <c r="AC10" s="39">
        <f>AVERAGE(W10:AA10)</f>
        <v>15030</v>
      </c>
    </row>
    <row r="11" spans="2:18" ht="12.75">
      <c r="B11" s="6" t="s">
        <v>143</v>
      </c>
      <c r="C11" s="24"/>
      <c r="D11" s="6" t="s">
        <v>144</v>
      </c>
      <c r="F11" s="9"/>
      <c r="G11" s="9">
        <v>36</v>
      </c>
      <c r="H11" s="9"/>
      <c r="I11" s="9">
        <v>34</v>
      </c>
      <c r="J11" s="9"/>
      <c r="K11" s="9">
        <v>38</v>
      </c>
      <c r="L11" s="9"/>
      <c r="M11" s="39">
        <f>AVERAGE(G11:K11)</f>
        <v>36</v>
      </c>
      <c r="N11" s="39"/>
      <c r="O11" s="38"/>
      <c r="P11" s="38"/>
      <c r="Q11" s="38"/>
      <c r="R11" s="31"/>
    </row>
    <row r="12" spans="2:18" ht="12.75">
      <c r="B12" s="6" t="s">
        <v>106</v>
      </c>
      <c r="C12" s="24"/>
      <c r="D12" s="6" t="s">
        <v>144</v>
      </c>
      <c r="F12" s="9" t="s">
        <v>97</v>
      </c>
      <c r="G12" s="9">
        <v>0.21</v>
      </c>
      <c r="H12" s="9" t="s">
        <v>97</v>
      </c>
      <c r="I12" s="9">
        <v>0.2</v>
      </c>
      <c r="J12" s="9" t="s">
        <v>97</v>
      </c>
      <c r="K12" s="9">
        <v>0.2</v>
      </c>
      <c r="L12" s="9"/>
      <c r="M12" s="31"/>
      <c r="N12" s="31"/>
      <c r="O12" s="38"/>
      <c r="P12" s="38"/>
      <c r="Q12" s="38"/>
      <c r="R12" s="31"/>
    </row>
    <row r="13" spans="2:18" ht="12.75">
      <c r="B13" s="6" t="s">
        <v>102</v>
      </c>
      <c r="C13" s="24"/>
      <c r="D13" s="6" t="s">
        <v>144</v>
      </c>
      <c r="F13" s="26"/>
      <c r="G13" s="58">
        <v>1.3</v>
      </c>
      <c r="H13" s="58"/>
      <c r="I13" s="58">
        <v>1</v>
      </c>
      <c r="J13" s="58"/>
      <c r="K13" s="59">
        <v>1</v>
      </c>
      <c r="L13" s="59"/>
      <c r="M13" s="31"/>
      <c r="N13" s="31"/>
      <c r="O13" s="59"/>
      <c r="P13" s="59"/>
      <c r="Q13" s="59"/>
      <c r="R13" s="31"/>
    </row>
    <row r="14" spans="2:18" ht="12.75">
      <c r="B14" s="6" t="s">
        <v>103</v>
      </c>
      <c r="C14" s="24"/>
      <c r="D14" s="6" t="s">
        <v>144</v>
      </c>
      <c r="F14" s="24" t="s">
        <v>97</v>
      </c>
      <c r="G14" s="58">
        <v>0.03</v>
      </c>
      <c r="H14" s="58" t="s">
        <v>97</v>
      </c>
      <c r="I14" s="59">
        <v>0.03</v>
      </c>
      <c r="J14" s="59" t="s">
        <v>97</v>
      </c>
      <c r="K14" s="15">
        <v>0.03</v>
      </c>
      <c r="L14" s="15"/>
      <c r="M14" s="31"/>
      <c r="N14" s="31"/>
      <c r="O14" s="59"/>
      <c r="P14" s="59"/>
      <c r="Q14" s="59"/>
      <c r="R14" s="31"/>
    </row>
    <row r="15" spans="2:18" ht="12.75">
      <c r="B15" s="6" t="s">
        <v>77</v>
      </c>
      <c r="C15" s="24"/>
      <c r="D15" s="6" t="s">
        <v>144</v>
      </c>
      <c r="F15" s="24" t="s">
        <v>97</v>
      </c>
      <c r="G15" s="58">
        <v>0.01</v>
      </c>
      <c r="H15" s="58" t="s">
        <v>97</v>
      </c>
      <c r="I15" s="15">
        <v>0.01</v>
      </c>
      <c r="J15" s="59" t="s">
        <v>97</v>
      </c>
      <c r="K15" s="15">
        <v>0.01</v>
      </c>
      <c r="L15" s="15"/>
      <c r="M15" s="31"/>
      <c r="N15" s="31"/>
      <c r="O15" s="59"/>
      <c r="P15" s="59"/>
      <c r="Q15" s="59"/>
      <c r="R15" s="31"/>
    </row>
    <row r="16" spans="2:18" ht="12.75">
      <c r="B16" s="6" t="s">
        <v>104</v>
      </c>
      <c r="C16" s="24"/>
      <c r="D16" s="6" t="s">
        <v>144</v>
      </c>
      <c r="F16" s="24" t="s">
        <v>97</v>
      </c>
      <c r="G16" s="58">
        <v>0.01</v>
      </c>
      <c r="H16" s="58" t="s">
        <v>97</v>
      </c>
      <c r="I16" s="15">
        <v>0.01</v>
      </c>
      <c r="J16" s="59" t="s">
        <v>97</v>
      </c>
      <c r="K16" s="15">
        <v>0.01</v>
      </c>
      <c r="L16" s="15"/>
      <c r="M16" s="31"/>
      <c r="N16" s="31"/>
      <c r="O16" s="59"/>
      <c r="P16" s="59"/>
      <c r="Q16" s="59"/>
      <c r="R16" s="31"/>
    </row>
    <row r="17" spans="2:21" ht="12.75">
      <c r="B17" s="6" t="s">
        <v>82</v>
      </c>
      <c r="C17" s="24"/>
      <c r="D17" s="6" t="s">
        <v>144</v>
      </c>
      <c r="G17" s="58">
        <v>3.7</v>
      </c>
      <c r="H17" s="58"/>
      <c r="I17" s="15">
        <v>4.2</v>
      </c>
      <c r="J17" s="59"/>
      <c r="K17" s="15">
        <v>4.3</v>
      </c>
      <c r="L17" s="15"/>
      <c r="M17" s="31">
        <v>4.1</v>
      </c>
      <c r="N17" s="31"/>
      <c r="O17" s="59">
        <v>9.4</v>
      </c>
      <c r="P17" s="59"/>
      <c r="Q17" s="59">
        <v>9.5</v>
      </c>
      <c r="R17" s="31"/>
      <c r="S17" s="24">
        <v>9.3</v>
      </c>
      <c r="U17" s="24">
        <v>9.4</v>
      </c>
    </row>
    <row r="18" spans="2:18" ht="12.75">
      <c r="B18" s="6" t="s">
        <v>76</v>
      </c>
      <c r="C18" s="24"/>
      <c r="D18" s="6" t="s">
        <v>144</v>
      </c>
      <c r="F18" s="14" t="s">
        <v>97</v>
      </c>
      <c r="G18" s="58">
        <v>0.22</v>
      </c>
      <c r="H18" s="58" t="s">
        <v>97</v>
      </c>
      <c r="I18" s="15">
        <v>0.21</v>
      </c>
      <c r="J18" s="15" t="s">
        <v>97</v>
      </c>
      <c r="K18" s="15">
        <v>0.22</v>
      </c>
      <c r="L18" s="15"/>
      <c r="M18" s="31"/>
      <c r="N18" s="31"/>
      <c r="O18" s="59"/>
      <c r="P18" s="59"/>
      <c r="Q18" s="59"/>
      <c r="R18" s="31"/>
    </row>
    <row r="19" spans="2:18" ht="12.75">
      <c r="B19" s="6" t="s">
        <v>78</v>
      </c>
      <c r="C19" s="24"/>
      <c r="D19" s="6" t="s">
        <v>144</v>
      </c>
      <c r="F19" s="24" t="s">
        <v>97</v>
      </c>
      <c r="G19" s="58">
        <v>0.01</v>
      </c>
      <c r="H19" s="58" t="s">
        <v>97</v>
      </c>
      <c r="I19" s="15">
        <v>0.01</v>
      </c>
      <c r="J19" s="59" t="s">
        <v>97</v>
      </c>
      <c r="K19" s="15">
        <v>0.01</v>
      </c>
      <c r="L19" s="15"/>
      <c r="M19" s="31"/>
      <c r="N19" s="31"/>
      <c r="O19" s="59"/>
      <c r="P19" s="59"/>
      <c r="Q19" s="59"/>
      <c r="R19" s="31"/>
    </row>
    <row r="20" spans="2:18" ht="12.75">
      <c r="B20" s="6" t="s">
        <v>105</v>
      </c>
      <c r="C20" s="24"/>
      <c r="D20" s="6" t="s">
        <v>144</v>
      </c>
      <c r="G20" s="58">
        <v>1.6</v>
      </c>
      <c r="H20" s="58"/>
      <c r="I20" s="15">
        <v>1.7</v>
      </c>
      <c r="J20" s="59"/>
      <c r="K20" s="15">
        <v>1.8</v>
      </c>
      <c r="L20" s="15"/>
      <c r="M20" s="31"/>
      <c r="N20" s="31"/>
      <c r="O20" s="59"/>
      <c r="P20" s="59"/>
      <c r="Q20" s="59"/>
      <c r="R20" s="31"/>
    </row>
    <row r="21" spans="2:18" ht="12.75">
      <c r="B21" s="6" t="s">
        <v>107</v>
      </c>
      <c r="C21" s="24"/>
      <c r="D21" s="6" t="s">
        <v>144</v>
      </c>
      <c r="G21" s="58">
        <v>3.3</v>
      </c>
      <c r="H21" s="58"/>
      <c r="I21" s="58">
        <v>2.5</v>
      </c>
      <c r="J21" s="58"/>
      <c r="K21" s="15">
        <v>2.2</v>
      </c>
      <c r="L21" s="15"/>
      <c r="M21" s="31"/>
      <c r="N21" s="31"/>
      <c r="O21" s="59"/>
      <c r="P21" s="59"/>
      <c r="Q21" s="59"/>
      <c r="R21" s="31"/>
    </row>
    <row r="22" spans="2:18" ht="12.75">
      <c r="B22" s="6" t="s">
        <v>101</v>
      </c>
      <c r="C22" s="24"/>
      <c r="D22" s="6" t="s">
        <v>144</v>
      </c>
      <c r="F22" s="14" t="s">
        <v>97</v>
      </c>
      <c r="G22" s="58">
        <v>0.04</v>
      </c>
      <c r="H22" s="14" t="s">
        <v>97</v>
      </c>
      <c r="I22" s="58">
        <v>0.04</v>
      </c>
      <c r="J22" s="14" t="s">
        <v>97</v>
      </c>
      <c r="K22" s="58">
        <v>0.04</v>
      </c>
      <c r="L22" s="58"/>
      <c r="M22" s="31"/>
      <c r="N22" s="31"/>
      <c r="O22" s="59"/>
      <c r="P22" s="59"/>
      <c r="Q22" s="59"/>
      <c r="R22" s="31"/>
    </row>
    <row r="23" spans="2:18" ht="12.75">
      <c r="B23" s="6" t="s">
        <v>108</v>
      </c>
      <c r="C23" s="24"/>
      <c r="D23" s="6" t="s">
        <v>144</v>
      </c>
      <c r="F23" s="14" t="s">
        <v>97</v>
      </c>
      <c r="G23" s="58">
        <v>0.59</v>
      </c>
      <c r="H23" s="14" t="s">
        <v>97</v>
      </c>
      <c r="I23" s="58">
        <v>0.59</v>
      </c>
      <c r="J23" s="14" t="s">
        <v>97</v>
      </c>
      <c r="K23" s="58">
        <v>0.59</v>
      </c>
      <c r="L23" s="58"/>
      <c r="M23" s="31"/>
      <c r="N23" s="31"/>
      <c r="O23" s="59"/>
      <c r="P23" s="59"/>
      <c r="Q23" s="59"/>
      <c r="R23" s="31"/>
    </row>
    <row r="24" spans="2:18" ht="12.75">
      <c r="B24" s="6" t="s">
        <v>109</v>
      </c>
      <c r="C24" s="24"/>
      <c r="D24" s="6" t="s">
        <v>144</v>
      </c>
      <c r="G24" s="58">
        <v>1</v>
      </c>
      <c r="H24" s="58"/>
      <c r="I24" s="58">
        <v>6.8</v>
      </c>
      <c r="J24" s="58"/>
      <c r="K24" s="15">
        <v>0.59</v>
      </c>
      <c r="L24" s="15"/>
      <c r="M24" s="31"/>
      <c r="N24" s="31"/>
      <c r="O24" s="59"/>
      <c r="P24" s="59"/>
      <c r="Q24" s="59"/>
      <c r="R24" s="31"/>
    </row>
    <row r="25" spans="2:18" ht="12.75">
      <c r="B25" s="24"/>
      <c r="G25" s="58"/>
      <c r="H25" s="58"/>
      <c r="I25" s="59"/>
      <c r="J25" s="59"/>
      <c r="K25" s="59"/>
      <c r="L25" s="59"/>
      <c r="M25" s="31"/>
      <c r="N25" s="31"/>
      <c r="O25" s="59"/>
      <c r="P25" s="59"/>
      <c r="Q25" s="59"/>
      <c r="R25" s="31"/>
    </row>
    <row r="26" spans="2:21" ht="12.75">
      <c r="B26" s="6" t="s">
        <v>119</v>
      </c>
      <c r="D26" s="6" t="s">
        <v>17</v>
      </c>
      <c r="G26" s="58">
        <v>6048</v>
      </c>
      <c r="H26" s="58"/>
      <c r="I26" s="21">
        <v>6245</v>
      </c>
      <c r="J26" s="59"/>
      <c r="K26" s="15">
        <v>6230</v>
      </c>
      <c r="L26" s="15"/>
      <c r="M26" s="39">
        <f>AVERAGE(G26:K26)</f>
        <v>6174.333333333333</v>
      </c>
      <c r="N26" s="39"/>
      <c r="O26" s="58">
        <v>6048</v>
      </c>
      <c r="P26" s="58"/>
      <c r="Q26" s="21">
        <v>6245</v>
      </c>
      <c r="R26" s="59"/>
      <c r="S26" s="15">
        <v>6230</v>
      </c>
      <c r="T26" s="15"/>
      <c r="U26" s="39">
        <f>AVERAGE(O26:S26)</f>
        <v>6174.333333333333</v>
      </c>
    </row>
    <row r="27" spans="2:21" ht="12.75">
      <c r="B27" s="6" t="s">
        <v>120</v>
      </c>
      <c r="D27" s="6" t="s">
        <v>18</v>
      </c>
      <c r="G27" s="58">
        <v>9.5</v>
      </c>
      <c r="H27" s="58"/>
      <c r="I27" s="21">
        <v>9.5</v>
      </c>
      <c r="J27" s="59"/>
      <c r="K27" s="15">
        <v>9.5</v>
      </c>
      <c r="L27" s="15"/>
      <c r="M27" s="39">
        <f>AVERAGE(G27:K27)</f>
        <v>9.5</v>
      </c>
      <c r="N27" s="39"/>
      <c r="O27" s="58">
        <v>9.5</v>
      </c>
      <c r="P27" s="58"/>
      <c r="Q27" s="21">
        <v>9.5</v>
      </c>
      <c r="R27" s="59"/>
      <c r="S27" s="15">
        <v>9.5</v>
      </c>
      <c r="T27" s="15"/>
      <c r="U27" s="39">
        <f>AVERAGE(O27:S27)</f>
        <v>9.5</v>
      </c>
    </row>
    <row r="28" spans="2:20" ht="12.75">
      <c r="B28" s="24"/>
      <c r="G28" s="58"/>
      <c r="H28" s="58"/>
      <c r="I28" s="59"/>
      <c r="J28" s="59"/>
      <c r="K28" s="59"/>
      <c r="L28" s="59"/>
      <c r="M28" s="39"/>
      <c r="N28" s="39"/>
      <c r="O28" s="59"/>
      <c r="P28" s="59"/>
      <c r="Q28" s="59"/>
      <c r="R28" s="31"/>
      <c r="S28" s="7"/>
      <c r="T28" s="7"/>
    </row>
    <row r="29" spans="2:20" ht="12.75">
      <c r="B29" s="44" t="s">
        <v>121</v>
      </c>
      <c r="G29" s="58"/>
      <c r="H29" s="58"/>
      <c r="I29" s="59"/>
      <c r="J29" s="59"/>
      <c r="K29" s="59"/>
      <c r="L29" s="59"/>
      <c r="M29" s="39"/>
      <c r="N29" s="39"/>
      <c r="O29" s="59"/>
      <c r="P29" s="59"/>
      <c r="Q29" s="59"/>
      <c r="R29" s="31"/>
      <c r="S29" s="7"/>
      <c r="T29" s="7"/>
    </row>
    <row r="30" spans="2:29" ht="12.75">
      <c r="B30" s="6" t="s">
        <v>49</v>
      </c>
      <c r="D30" s="6" t="s">
        <v>59</v>
      </c>
      <c r="E30" s="6" t="s">
        <v>15</v>
      </c>
      <c r="F30" s="14"/>
      <c r="G30" s="30">
        <f>(G10/60)*1000/(G$26*0.0283)*(21-7)/(21-G$27)</f>
        <v>422.2548456173692</v>
      </c>
      <c r="H30" s="58"/>
      <c r="I30" s="30">
        <f>(I10/60)*1000/(I$26*0.0283)*(21-7)/(21-I$27)</f>
        <v>428.9107529173849</v>
      </c>
      <c r="J30" s="58"/>
      <c r="K30" s="30">
        <f>(K10/60)*1000/(K$26*0.0283)*(21-7)/(21-K$27)</f>
        <v>458.9439111388841</v>
      </c>
      <c r="L30" s="30"/>
      <c r="M30" s="30">
        <f>AVERAGE(G30:K30)</f>
        <v>436.70316989121267</v>
      </c>
      <c r="N30" s="30"/>
      <c r="O30" s="30">
        <f>(O10/60)*1000/(O$26*0.0283)*(21-7)/(21-O$27)</f>
        <v>1335.7573274611223</v>
      </c>
      <c r="P30" s="58"/>
      <c r="Q30" s="30">
        <f>(Q10/60)*1000/(Q$26*0.0283)*(21-7)/(21-Q$27)</f>
        <v>1293.7353518806235</v>
      </c>
      <c r="R30" s="58"/>
      <c r="S30" s="30">
        <f>(S10/60)*1000/(S$26*0.0283)*(21-7)/(21-S$27)</f>
        <v>1296.6201220666517</v>
      </c>
      <c r="T30" s="30"/>
      <c r="U30" s="30">
        <f>AVERAGE(O30:S30)</f>
        <v>1308.7042671361326</v>
      </c>
      <c r="W30" s="30">
        <f>(W10/60)*1000/(G$26*0.0283)*(21-7)/(21-G$27)</f>
        <v>1758.0121730784915</v>
      </c>
      <c r="Y30" s="30">
        <f>(Y10/60)*1000/(I$26*0.0283)*(21-7)/(21-I$27)</f>
        <v>1722.6461047980088</v>
      </c>
      <c r="AA30" s="30">
        <f>(AA10/60)*1000/(K$26*0.0283)*(21-7)/(21-K$27)</f>
        <v>1755.5640332055355</v>
      </c>
      <c r="AC30" s="30">
        <f>(AC10/60)*1000/(M$26*0.0283)*(21-7)/(21-M$27)</f>
        <v>1745.2651554344743</v>
      </c>
    </row>
    <row r="31" spans="2:29" ht="12.75">
      <c r="B31" s="6" t="s">
        <v>143</v>
      </c>
      <c r="D31" s="6" t="s">
        <v>53</v>
      </c>
      <c r="E31" s="6" t="s">
        <v>15</v>
      </c>
      <c r="F31" s="14"/>
      <c r="G31" s="30">
        <f>(G11/60)*1000000/(G$26*0.0283)*(21-7)/(21-G$27)</f>
        <v>4267.595295402946</v>
      </c>
      <c r="H31" s="58"/>
      <c r="I31" s="30">
        <f>(I11/60)*1000000/(I$26*0.0283)*(21-7)/(21-I$27)</f>
        <v>3903.3633830811254</v>
      </c>
      <c r="J31" s="58"/>
      <c r="K31" s="30">
        <f>(K11/60)*1000000/(K$26*0.0283)*(21-7)/(21-K$27)</f>
        <v>4373.086415064591</v>
      </c>
      <c r="L31" s="30"/>
      <c r="M31" s="30">
        <f aca="true" t="shared" si="0" ref="M31:M44">AVERAGE(G31:K31)</f>
        <v>4181.3483645162205</v>
      </c>
      <c r="N31" s="30"/>
      <c r="O31" s="59"/>
      <c r="P31" s="59"/>
      <c r="Q31" s="59"/>
      <c r="R31" s="31"/>
      <c r="W31" s="27">
        <f>G31</f>
        <v>4267.595295402946</v>
      </c>
      <c r="Y31" s="27">
        <f aca="true" t="shared" si="1" ref="Y31:Y36">I31</f>
        <v>3903.3633830811254</v>
      </c>
      <c r="AA31" s="27">
        <f aca="true" t="shared" si="2" ref="AA31:AA36">K31</f>
        <v>4373.086415064591</v>
      </c>
      <c r="AC31" s="27">
        <f aca="true" t="shared" si="3" ref="AC31:AC36">M31</f>
        <v>4181.3483645162205</v>
      </c>
    </row>
    <row r="32" spans="2:29" ht="12.75">
      <c r="B32" s="6" t="s">
        <v>106</v>
      </c>
      <c r="D32" s="6" t="s">
        <v>53</v>
      </c>
      <c r="E32" s="6" t="s">
        <v>15</v>
      </c>
      <c r="F32" s="9">
        <v>100</v>
      </c>
      <c r="G32" s="30">
        <f aca="true" t="shared" si="4" ref="G32:G44">(G12/60)*1000000/(G$26*0.0283)*(21-7)/(21-G$27)</f>
        <v>24.89430588985052</v>
      </c>
      <c r="H32" s="9">
        <v>100</v>
      </c>
      <c r="I32" s="30">
        <f aca="true" t="shared" si="5" ref="I32:I44">(I12/60)*1000000/(I$26*0.0283)*(21-7)/(21-I$27)</f>
        <v>22.9609610769478</v>
      </c>
      <c r="J32" s="9">
        <v>100</v>
      </c>
      <c r="K32" s="30">
        <f aca="true" t="shared" si="6" ref="K32:K44">(K12/60)*1000000/(K$26*0.0283)*(21-7)/(21-K$27)</f>
        <v>23.016244289813645</v>
      </c>
      <c r="L32" s="9">
        <v>100</v>
      </c>
      <c r="M32" s="30">
        <f t="shared" si="0"/>
        <v>54.1743022513224</v>
      </c>
      <c r="N32" s="30"/>
      <c r="O32" s="59"/>
      <c r="P32" s="59"/>
      <c r="Q32" s="59"/>
      <c r="R32" s="31"/>
      <c r="V32" s="9">
        <v>100</v>
      </c>
      <c r="W32" s="27">
        <f aca="true" t="shared" si="7" ref="W32:W44">G32</f>
        <v>24.89430588985052</v>
      </c>
      <c r="X32" s="9">
        <v>100</v>
      </c>
      <c r="Y32" s="27">
        <f t="shared" si="1"/>
        <v>22.9609610769478</v>
      </c>
      <c r="Z32" s="9">
        <v>100</v>
      </c>
      <c r="AA32" s="27">
        <f t="shared" si="2"/>
        <v>23.016244289813645</v>
      </c>
      <c r="AB32" s="9">
        <v>100</v>
      </c>
      <c r="AC32" s="27">
        <f t="shared" si="3"/>
        <v>54.1743022513224</v>
      </c>
    </row>
    <row r="33" spans="2:29" ht="12.75">
      <c r="B33" s="6" t="s">
        <v>102</v>
      </c>
      <c r="D33" s="6" t="s">
        <v>53</v>
      </c>
      <c r="E33" s="6" t="s">
        <v>15</v>
      </c>
      <c r="F33" s="26"/>
      <c r="G33" s="30">
        <f t="shared" si="4"/>
        <v>154.10760788955085</v>
      </c>
      <c r="H33" s="26"/>
      <c r="I33" s="30">
        <f t="shared" si="5"/>
        <v>114.804805384739</v>
      </c>
      <c r="J33" s="26"/>
      <c r="K33" s="30">
        <f t="shared" si="6"/>
        <v>115.08122144906822</v>
      </c>
      <c r="L33" s="26"/>
      <c r="M33" s="30">
        <f t="shared" si="0"/>
        <v>127.99787824111935</v>
      </c>
      <c r="N33" s="30"/>
      <c r="V33" s="26"/>
      <c r="W33" s="27">
        <f t="shared" si="7"/>
        <v>154.10760788955085</v>
      </c>
      <c r="X33" s="26"/>
      <c r="Y33" s="27">
        <f t="shared" si="1"/>
        <v>114.804805384739</v>
      </c>
      <c r="Z33" s="26"/>
      <c r="AA33" s="27">
        <f t="shared" si="2"/>
        <v>115.08122144906822</v>
      </c>
      <c r="AB33" s="26"/>
      <c r="AC33" s="27">
        <f t="shared" si="3"/>
        <v>127.99787824111935</v>
      </c>
    </row>
    <row r="34" spans="2:29" ht="12.75">
      <c r="B34" s="6" t="s">
        <v>103</v>
      </c>
      <c r="D34" s="6" t="s">
        <v>53</v>
      </c>
      <c r="E34" s="6" t="s">
        <v>15</v>
      </c>
      <c r="F34" s="24">
        <v>100</v>
      </c>
      <c r="G34" s="30">
        <f t="shared" si="4"/>
        <v>3.556329412835789</v>
      </c>
      <c r="H34" s="24">
        <v>100</v>
      </c>
      <c r="I34" s="30">
        <f t="shared" si="5"/>
        <v>3.44414416154217</v>
      </c>
      <c r="J34" s="24">
        <v>100</v>
      </c>
      <c r="K34" s="30">
        <f t="shared" si="6"/>
        <v>3.4524366434720464</v>
      </c>
      <c r="L34" s="24">
        <v>100</v>
      </c>
      <c r="M34" s="30">
        <f t="shared" si="0"/>
        <v>42.09058204357</v>
      </c>
      <c r="N34" s="30"/>
      <c r="V34" s="24">
        <v>100</v>
      </c>
      <c r="W34" s="27">
        <f t="shared" si="7"/>
        <v>3.556329412835789</v>
      </c>
      <c r="X34" s="24">
        <v>100</v>
      </c>
      <c r="Y34" s="27">
        <f t="shared" si="1"/>
        <v>3.44414416154217</v>
      </c>
      <c r="Z34" s="24">
        <v>100</v>
      </c>
      <c r="AA34" s="27">
        <f t="shared" si="2"/>
        <v>3.4524366434720464</v>
      </c>
      <c r="AB34" s="24">
        <v>100</v>
      </c>
      <c r="AC34" s="27">
        <f t="shared" si="3"/>
        <v>42.09058204357</v>
      </c>
    </row>
    <row r="35" spans="2:29" ht="12.75">
      <c r="B35" s="6" t="s">
        <v>77</v>
      </c>
      <c r="D35" s="6" t="s">
        <v>53</v>
      </c>
      <c r="E35" s="6" t="s">
        <v>15</v>
      </c>
      <c r="F35" s="24">
        <v>100</v>
      </c>
      <c r="G35" s="30">
        <f t="shared" si="4"/>
        <v>1.1854431376119294</v>
      </c>
      <c r="H35" s="24">
        <v>100</v>
      </c>
      <c r="I35" s="30">
        <f t="shared" si="5"/>
        <v>1.1480480538473898</v>
      </c>
      <c r="J35" s="24">
        <v>100</v>
      </c>
      <c r="K35" s="30">
        <f t="shared" si="6"/>
        <v>1.150812214490682</v>
      </c>
      <c r="L35" s="24">
        <v>100</v>
      </c>
      <c r="M35" s="30">
        <f t="shared" si="0"/>
        <v>40.696860681189996</v>
      </c>
      <c r="N35" s="30"/>
      <c r="V35" s="24">
        <v>100</v>
      </c>
      <c r="W35" s="27">
        <f t="shared" si="7"/>
        <v>1.1854431376119294</v>
      </c>
      <c r="X35" s="24">
        <v>100</v>
      </c>
      <c r="Y35" s="27">
        <f t="shared" si="1"/>
        <v>1.1480480538473898</v>
      </c>
      <c r="Z35" s="24">
        <v>100</v>
      </c>
      <c r="AA35" s="27">
        <f t="shared" si="2"/>
        <v>1.150812214490682</v>
      </c>
      <c r="AB35" s="24">
        <v>100</v>
      </c>
      <c r="AC35" s="27">
        <f t="shared" si="3"/>
        <v>40.696860681189996</v>
      </c>
    </row>
    <row r="36" spans="2:29" ht="12.75">
      <c r="B36" s="6" t="s">
        <v>104</v>
      </c>
      <c r="D36" s="6" t="s">
        <v>53</v>
      </c>
      <c r="E36" s="6" t="s">
        <v>15</v>
      </c>
      <c r="F36" s="24">
        <v>100</v>
      </c>
      <c r="G36" s="30">
        <f t="shared" si="4"/>
        <v>1.1854431376119294</v>
      </c>
      <c r="H36" s="24">
        <v>100</v>
      </c>
      <c r="I36" s="30">
        <f t="shared" si="5"/>
        <v>1.1480480538473898</v>
      </c>
      <c r="J36" s="24">
        <v>100</v>
      </c>
      <c r="K36" s="30">
        <f t="shared" si="6"/>
        <v>1.150812214490682</v>
      </c>
      <c r="L36" s="24">
        <v>100</v>
      </c>
      <c r="M36" s="30">
        <f t="shared" si="0"/>
        <v>40.696860681189996</v>
      </c>
      <c r="N36" s="30"/>
      <c r="V36" s="24">
        <v>100</v>
      </c>
      <c r="W36" s="27">
        <f t="shared" si="7"/>
        <v>1.1854431376119294</v>
      </c>
      <c r="X36" s="24">
        <v>100</v>
      </c>
      <c r="Y36" s="27">
        <f t="shared" si="1"/>
        <v>1.1480480538473898</v>
      </c>
      <c r="Z36" s="24">
        <v>100</v>
      </c>
      <c r="AA36" s="27">
        <f t="shared" si="2"/>
        <v>1.150812214490682</v>
      </c>
      <c r="AB36" s="24">
        <v>100</v>
      </c>
      <c r="AC36" s="27">
        <f t="shared" si="3"/>
        <v>40.696860681189996</v>
      </c>
    </row>
    <row r="37" spans="2:29" ht="12.75">
      <c r="B37" s="6" t="s">
        <v>82</v>
      </c>
      <c r="D37" s="6" t="s">
        <v>53</v>
      </c>
      <c r="E37" s="6" t="s">
        <v>15</v>
      </c>
      <c r="G37" s="30">
        <f t="shared" si="4"/>
        <v>438.613960916414</v>
      </c>
      <c r="H37" s="24"/>
      <c r="I37" s="30">
        <f t="shared" si="5"/>
        <v>482.1801826159038</v>
      </c>
      <c r="K37" s="30">
        <f t="shared" si="6"/>
        <v>494.8492522309934</v>
      </c>
      <c r="M37" s="30">
        <f t="shared" si="0"/>
        <v>471.88113192110376</v>
      </c>
      <c r="N37" s="30"/>
      <c r="O37" s="30">
        <f>(O17/60)*1000000/(O$26*0.0283)*(21-7)/(21-O$27)</f>
        <v>1114.316549355214</v>
      </c>
      <c r="P37" s="58"/>
      <c r="Q37" s="30">
        <f>(Q17/60)*1000000/(Q$26*0.0283)*(21-7)/(21-Q$27)</f>
        <v>1090.6456511550202</v>
      </c>
      <c r="R37" s="59"/>
      <c r="S37" s="30">
        <f>(S17/60)*1000000/(S$26*0.0283)*(21-7)/(21-S$27)</f>
        <v>1070.2553594763344</v>
      </c>
      <c r="T37" s="30"/>
      <c r="U37" s="30">
        <f>AVERAGE(O37:S37)</f>
        <v>1091.7391866621895</v>
      </c>
      <c r="W37" s="27">
        <f>G37+O37</f>
        <v>1552.930510271628</v>
      </c>
      <c r="Y37" s="27">
        <f>I37+Q37</f>
        <v>1572.825833770924</v>
      </c>
      <c r="AA37" s="27">
        <f>K37+S37</f>
        <v>1565.1046117073279</v>
      </c>
      <c r="AC37" s="27">
        <f>M37+U37</f>
        <v>1563.6203185832933</v>
      </c>
    </row>
    <row r="38" spans="2:29" ht="12.75">
      <c r="B38" s="6" t="s">
        <v>76</v>
      </c>
      <c r="D38" s="6" t="s">
        <v>53</v>
      </c>
      <c r="E38" s="6" t="s">
        <v>15</v>
      </c>
      <c r="F38" s="14">
        <v>100</v>
      </c>
      <c r="G38" s="30">
        <f t="shared" si="4"/>
        <v>26.079749027462448</v>
      </c>
      <c r="H38" s="14">
        <v>100</v>
      </c>
      <c r="I38" s="30">
        <f t="shared" si="5"/>
        <v>24.10900913079519</v>
      </c>
      <c r="J38" s="14">
        <v>100</v>
      </c>
      <c r="K38" s="30">
        <f t="shared" si="6"/>
        <v>25.317868718795008</v>
      </c>
      <c r="L38" s="14">
        <v>100</v>
      </c>
      <c r="M38" s="30">
        <f t="shared" si="0"/>
        <v>55.101325375410525</v>
      </c>
      <c r="N38" s="30"/>
      <c r="R38" s="27"/>
      <c r="S38" s="27"/>
      <c r="V38" s="14">
        <v>100</v>
      </c>
      <c r="W38" s="27">
        <f t="shared" si="7"/>
        <v>26.079749027462448</v>
      </c>
      <c r="X38" s="14">
        <v>100</v>
      </c>
      <c r="Y38" s="27">
        <f aca="true" t="shared" si="8" ref="Y38:Y44">I38</f>
        <v>24.10900913079519</v>
      </c>
      <c r="Z38" s="14">
        <v>100</v>
      </c>
      <c r="AA38" s="27">
        <f aca="true" t="shared" si="9" ref="AA38:AA44">K38</f>
        <v>25.317868718795008</v>
      </c>
      <c r="AB38" s="14">
        <v>100</v>
      </c>
      <c r="AC38" s="27">
        <f aca="true" t="shared" si="10" ref="AC38:AC44">M38</f>
        <v>55.101325375410525</v>
      </c>
    </row>
    <row r="39" spans="2:29" ht="12.75">
      <c r="B39" s="6" t="s">
        <v>78</v>
      </c>
      <c r="D39" s="6" t="s">
        <v>53</v>
      </c>
      <c r="E39" s="6" t="s">
        <v>15</v>
      </c>
      <c r="F39" s="14">
        <v>100</v>
      </c>
      <c r="G39" s="30">
        <f t="shared" si="4"/>
        <v>1.1854431376119294</v>
      </c>
      <c r="H39" s="14">
        <v>100</v>
      </c>
      <c r="I39" s="30">
        <f t="shared" si="5"/>
        <v>1.1480480538473898</v>
      </c>
      <c r="J39" s="14">
        <v>100</v>
      </c>
      <c r="K39" s="30">
        <f t="shared" si="6"/>
        <v>1.150812214490682</v>
      </c>
      <c r="L39" s="14">
        <v>100</v>
      </c>
      <c r="M39" s="30">
        <f t="shared" si="0"/>
        <v>40.696860681189996</v>
      </c>
      <c r="N39" s="30"/>
      <c r="R39" s="27"/>
      <c r="S39" s="27"/>
      <c r="V39" s="14">
        <v>100</v>
      </c>
      <c r="W39" s="27">
        <f t="shared" si="7"/>
        <v>1.1854431376119294</v>
      </c>
      <c r="X39" s="14">
        <v>100</v>
      </c>
      <c r="Y39" s="27">
        <f t="shared" si="8"/>
        <v>1.1480480538473898</v>
      </c>
      <c r="Z39" s="14">
        <v>100</v>
      </c>
      <c r="AA39" s="27">
        <f t="shared" si="9"/>
        <v>1.150812214490682</v>
      </c>
      <c r="AB39" s="14">
        <v>100</v>
      </c>
      <c r="AC39" s="27">
        <f t="shared" si="10"/>
        <v>40.696860681189996</v>
      </c>
    </row>
    <row r="40" spans="2:29" ht="12.75">
      <c r="B40" s="6" t="s">
        <v>105</v>
      </c>
      <c r="C40" s="23"/>
      <c r="D40" s="6" t="s">
        <v>53</v>
      </c>
      <c r="E40" s="6" t="s">
        <v>15</v>
      </c>
      <c r="G40" s="30">
        <f t="shared" si="4"/>
        <v>189.67090201790873</v>
      </c>
      <c r="H40" s="24"/>
      <c r="I40" s="30">
        <f t="shared" si="5"/>
        <v>195.16816915405627</v>
      </c>
      <c r="K40" s="30">
        <f t="shared" si="6"/>
        <v>207.1461986083228</v>
      </c>
      <c r="M40" s="30">
        <f t="shared" si="0"/>
        <v>197.32842326009595</v>
      </c>
      <c r="N40" s="30"/>
      <c r="R40" s="27"/>
      <c r="S40" s="27"/>
      <c r="W40" s="27">
        <f t="shared" si="7"/>
        <v>189.67090201790873</v>
      </c>
      <c r="Y40" s="27">
        <f t="shared" si="8"/>
        <v>195.16816915405627</v>
      </c>
      <c r="AA40" s="27">
        <f t="shared" si="9"/>
        <v>207.1461986083228</v>
      </c>
      <c r="AC40" s="27">
        <f t="shared" si="10"/>
        <v>197.32842326009595</v>
      </c>
    </row>
    <row r="41" spans="2:29" ht="12.75">
      <c r="B41" s="6" t="s">
        <v>107</v>
      </c>
      <c r="D41" s="6" t="s">
        <v>53</v>
      </c>
      <c r="E41" s="6" t="s">
        <v>15</v>
      </c>
      <c r="G41" s="30">
        <f t="shared" si="4"/>
        <v>391.1962354119368</v>
      </c>
      <c r="H41" s="24"/>
      <c r="I41" s="30">
        <f t="shared" si="5"/>
        <v>287.01201346184746</v>
      </c>
      <c r="K41" s="30">
        <f t="shared" si="6"/>
        <v>253.17868718795003</v>
      </c>
      <c r="M41" s="30">
        <f t="shared" si="0"/>
        <v>310.46231202057805</v>
      </c>
      <c r="N41" s="30"/>
      <c r="R41" s="27"/>
      <c r="S41" s="27"/>
      <c r="W41" s="27">
        <f t="shared" si="7"/>
        <v>391.1962354119368</v>
      </c>
      <c r="Y41" s="27">
        <f t="shared" si="8"/>
        <v>287.01201346184746</v>
      </c>
      <c r="AA41" s="27">
        <f t="shared" si="9"/>
        <v>253.17868718795003</v>
      </c>
      <c r="AC41" s="27">
        <f t="shared" si="10"/>
        <v>310.46231202057805</v>
      </c>
    </row>
    <row r="42" spans="2:29" ht="12.75">
      <c r="B42" s="6" t="s">
        <v>101</v>
      </c>
      <c r="D42" s="6" t="s">
        <v>53</v>
      </c>
      <c r="E42" s="6" t="s">
        <v>15</v>
      </c>
      <c r="F42" s="14">
        <v>100</v>
      </c>
      <c r="G42" s="30">
        <f t="shared" si="4"/>
        <v>4.741772550447718</v>
      </c>
      <c r="H42" s="14">
        <v>100</v>
      </c>
      <c r="I42" s="30">
        <f t="shared" si="5"/>
        <v>4.592192215389559</v>
      </c>
      <c r="J42" s="14">
        <v>100</v>
      </c>
      <c r="K42" s="30">
        <f t="shared" si="6"/>
        <v>4.603248857962728</v>
      </c>
      <c r="L42" s="14">
        <v>100</v>
      </c>
      <c r="M42" s="30">
        <f t="shared" si="0"/>
        <v>42.78744272476</v>
      </c>
      <c r="N42" s="30"/>
      <c r="R42" s="27"/>
      <c r="S42" s="27"/>
      <c r="V42" s="14">
        <v>100</v>
      </c>
      <c r="W42" s="27">
        <f t="shared" si="7"/>
        <v>4.741772550447718</v>
      </c>
      <c r="X42" s="14">
        <v>100</v>
      </c>
      <c r="Y42" s="27">
        <f t="shared" si="8"/>
        <v>4.592192215389559</v>
      </c>
      <c r="Z42" s="14">
        <v>100</v>
      </c>
      <c r="AA42" s="27">
        <f t="shared" si="9"/>
        <v>4.603248857962728</v>
      </c>
      <c r="AB42" s="14">
        <v>100</v>
      </c>
      <c r="AC42" s="27">
        <f t="shared" si="10"/>
        <v>42.78744272476</v>
      </c>
    </row>
    <row r="43" spans="2:29" ht="12.75">
      <c r="B43" s="6" t="s">
        <v>108</v>
      </c>
      <c r="D43" s="6" t="s">
        <v>53</v>
      </c>
      <c r="E43" s="6" t="s">
        <v>15</v>
      </c>
      <c r="F43" s="14">
        <v>100</v>
      </c>
      <c r="G43" s="30">
        <f t="shared" si="4"/>
        <v>69.94114511910384</v>
      </c>
      <c r="H43" s="14">
        <v>100</v>
      </c>
      <c r="I43" s="30">
        <f t="shared" si="5"/>
        <v>67.734835176996</v>
      </c>
      <c r="J43" s="14">
        <v>100</v>
      </c>
      <c r="K43" s="30">
        <f t="shared" si="6"/>
        <v>67.89792065495024</v>
      </c>
      <c r="L43" s="14">
        <v>100</v>
      </c>
      <c r="M43" s="30">
        <f t="shared" si="0"/>
        <v>81.11478019021001</v>
      </c>
      <c r="N43" s="30"/>
      <c r="R43" s="27"/>
      <c r="S43" s="27"/>
      <c r="V43" s="14">
        <v>100</v>
      </c>
      <c r="W43" s="27">
        <f t="shared" si="7"/>
        <v>69.94114511910384</v>
      </c>
      <c r="X43" s="14">
        <v>100</v>
      </c>
      <c r="Y43" s="27">
        <f t="shared" si="8"/>
        <v>67.734835176996</v>
      </c>
      <c r="Z43" s="14">
        <v>100</v>
      </c>
      <c r="AA43" s="27">
        <f t="shared" si="9"/>
        <v>67.89792065495024</v>
      </c>
      <c r="AB43" s="14">
        <v>100</v>
      </c>
      <c r="AC43" s="27">
        <f t="shared" si="10"/>
        <v>81.11478019021001</v>
      </c>
    </row>
    <row r="44" spans="2:29" ht="12.75">
      <c r="B44" s="6" t="s">
        <v>109</v>
      </c>
      <c r="D44" s="6" t="s">
        <v>53</v>
      </c>
      <c r="E44" s="6" t="s">
        <v>15</v>
      </c>
      <c r="G44" s="30">
        <f t="shared" si="4"/>
        <v>118.54431376119297</v>
      </c>
      <c r="H44" s="24"/>
      <c r="I44" s="30">
        <f t="shared" si="5"/>
        <v>780.6726766162251</v>
      </c>
      <c r="K44" s="30">
        <f t="shared" si="6"/>
        <v>67.89792065495024</v>
      </c>
      <c r="M44" s="30">
        <f t="shared" si="0"/>
        <v>322.3716370107894</v>
      </c>
      <c r="N44" s="30"/>
      <c r="R44" s="27"/>
      <c r="S44" s="27"/>
      <c r="W44" s="27">
        <f t="shared" si="7"/>
        <v>118.54431376119297</v>
      </c>
      <c r="Y44" s="27">
        <f t="shared" si="8"/>
        <v>780.6726766162251</v>
      </c>
      <c r="AA44" s="27">
        <f t="shared" si="9"/>
        <v>67.89792065495024</v>
      </c>
      <c r="AC44" s="27">
        <f t="shared" si="10"/>
        <v>322.3716370107894</v>
      </c>
    </row>
    <row r="45" spans="7:19" ht="12.75">
      <c r="G45" s="7"/>
      <c r="H45" s="24"/>
      <c r="M45" s="30"/>
      <c r="N45" s="30"/>
      <c r="R45" s="27"/>
      <c r="S45" s="27"/>
    </row>
    <row r="46" spans="2:29" ht="12.75">
      <c r="B46" s="6" t="s">
        <v>54</v>
      </c>
      <c r="D46" s="6" t="s">
        <v>53</v>
      </c>
      <c r="E46" s="6" t="s">
        <v>15</v>
      </c>
      <c r="F46" s="24">
        <v>100</v>
      </c>
      <c r="G46" s="66">
        <f>G36+G38</f>
        <v>27.265192165074378</v>
      </c>
      <c r="H46" s="24">
        <v>100</v>
      </c>
      <c r="I46" s="66">
        <f>I36/2+I38/2</f>
        <v>12.62852859232129</v>
      </c>
      <c r="J46" s="24">
        <v>100</v>
      </c>
      <c r="K46" s="66">
        <f>K36/2+K38/2</f>
        <v>13.234340466642845</v>
      </c>
      <c r="L46" s="24">
        <v>100</v>
      </c>
      <c r="M46" s="39">
        <f>AVERAGE(G46:K46)</f>
        <v>50.6256122448077</v>
      </c>
      <c r="N46" s="39"/>
      <c r="R46" s="27"/>
      <c r="S46" s="27"/>
      <c r="V46" s="24">
        <v>100</v>
      </c>
      <c r="W46" s="27">
        <f>G46</f>
        <v>27.265192165074378</v>
      </c>
      <c r="X46" s="24">
        <v>100</v>
      </c>
      <c r="Y46" s="27">
        <f>I46</f>
        <v>12.62852859232129</v>
      </c>
      <c r="Z46" s="24">
        <v>100</v>
      </c>
      <c r="AA46" s="27">
        <f>K46</f>
        <v>13.234340466642845</v>
      </c>
      <c r="AB46" s="24">
        <v>100</v>
      </c>
      <c r="AC46" s="27">
        <f>M46</f>
        <v>50.6256122448077</v>
      </c>
    </row>
    <row r="47" spans="2:29" ht="12.75">
      <c r="B47" s="6" t="s">
        <v>55</v>
      </c>
      <c r="D47" s="6" t="s">
        <v>53</v>
      </c>
      <c r="E47" s="6" t="s">
        <v>15</v>
      </c>
      <c r="F47" s="24">
        <f>G35/G47*100</f>
        <v>0.19960079840319356</v>
      </c>
      <c r="G47" s="66">
        <f>G33+G35+G37</f>
        <v>593.9070119435768</v>
      </c>
      <c r="H47" s="24">
        <f>I35/I47*100</f>
        <v>0.19212295869356386</v>
      </c>
      <c r="I47" s="66">
        <f>I33+I35/2+I37</f>
        <v>597.5590120275665</v>
      </c>
      <c r="J47" s="24">
        <f>K35/K47*100</f>
        <v>0.18850141376060314</v>
      </c>
      <c r="K47" s="66">
        <f>K33+K35/2+K37</f>
        <v>610.505879787307</v>
      </c>
      <c r="L47" s="24">
        <v>0.2</v>
      </c>
      <c r="M47" s="39">
        <f>AVERAGE(G47:K47)</f>
        <v>360.47050562618085</v>
      </c>
      <c r="N47" s="39"/>
      <c r="O47" s="30">
        <f>(O27/60)*1000000/(O$26*0.0283)*(21-7)/(21-O$27)</f>
        <v>1126.1709807313327</v>
      </c>
      <c r="P47" s="58"/>
      <c r="Q47" s="30">
        <f>(Q27/60)*1000000/(Q$26*0.0283)*(21-7)/(21-Q$27)</f>
        <v>1090.6456511550202</v>
      </c>
      <c r="R47" s="59"/>
      <c r="S47" s="30">
        <f>(S27/60)*1000000/(S$26*0.0283)*(21-7)/(21-S$27)</f>
        <v>1093.2716037661478</v>
      </c>
      <c r="T47" s="30"/>
      <c r="U47" s="30">
        <f>AVERAGE(O47:S47)</f>
        <v>1103.3627452175003</v>
      </c>
      <c r="V47" s="24">
        <f>W35/W47*100</f>
        <v>0.06891798759476223</v>
      </c>
      <c r="W47" s="27">
        <f>G47+O47</f>
        <v>1720.0779926749096</v>
      </c>
      <c r="X47" s="24">
        <f>Y35/Y47*100</f>
        <v>0.06800408024481469</v>
      </c>
      <c r="Y47" s="27">
        <f>I47+Q47</f>
        <v>1688.2046631825867</v>
      </c>
      <c r="Z47" s="24">
        <f>AA35/AA47*100</f>
        <v>0.06754474839581223</v>
      </c>
      <c r="AA47" s="27">
        <f>K47+S47</f>
        <v>1703.7774835534547</v>
      </c>
      <c r="AB47" s="24">
        <v>0.1</v>
      </c>
      <c r="AC47" s="27">
        <f>M47+U47</f>
        <v>1463.833250843681</v>
      </c>
    </row>
    <row r="48" spans="13:19" ht="12.75">
      <c r="M48" s="27"/>
      <c r="N48" s="27"/>
      <c r="R48" s="27"/>
      <c r="S48" s="27"/>
    </row>
    <row r="49" spans="13:19" ht="12.75">
      <c r="M49" s="27"/>
      <c r="N49" s="27"/>
      <c r="R49" s="27"/>
      <c r="S49" s="27"/>
    </row>
    <row r="50" spans="2:21" ht="12.75">
      <c r="B50" s="23" t="str">
        <f>cond!C23</f>
        <v>3025C3</v>
      </c>
      <c r="C50" s="23" t="str">
        <f>cond!C30</f>
        <v>Risk burn </v>
      </c>
      <c r="G50" s="26" t="s">
        <v>173</v>
      </c>
      <c r="H50" s="26"/>
      <c r="I50" s="26" t="s">
        <v>174</v>
      </c>
      <c r="J50" s="26"/>
      <c r="K50" s="26" t="s">
        <v>175</v>
      </c>
      <c r="L50" s="26"/>
      <c r="M50" s="26" t="s">
        <v>47</v>
      </c>
      <c r="N50" s="73"/>
      <c r="O50" s="26" t="s">
        <v>173</v>
      </c>
      <c r="P50" s="26"/>
      <c r="Q50" s="26" t="s">
        <v>174</v>
      </c>
      <c r="R50" s="26"/>
      <c r="S50" s="26" t="s">
        <v>175</v>
      </c>
      <c r="T50" s="26"/>
      <c r="U50" s="26" t="s">
        <v>47</v>
      </c>
    </row>
    <row r="51" spans="2:21" ht="12.75">
      <c r="B51" s="23"/>
      <c r="C51" s="23"/>
      <c r="G51" s="26"/>
      <c r="H51" s="26"/>
      <c r="I51" s="26"/>
      <c r="J51" s="26"/>
      <c r="K51" s="26"/>
      <c r="L51" s="26"/>
      <c r="M51" s="26"/>
      <c r="N51" s="73"/>
      <c r="O51" s="26"/>
      <c r="P51" s="26"/>
      <c r="Q51" s="26"/>
      <c r="R51" s="26"/>
      <c r="S51" s="26"/>
      <c r="T51" s="26"/>
      <c r="U51" s="26"/>
    </row>
    <row r="52" spans="2:21" ht="12.75">
      <c r="B52" s="6" t="s">
        <v>199</v>
      </c>
      <c r="C52" s="23"/>
      <c r="G52" s="26" t="s">
        <v>202</v>
      </c>
      <c r="H52" s="26"/>
      <c r="I52" s="26" t="s">
        <v>202</v>
      </c>
      <c r="J52" s="26"/>
      <c r="K52" s="26" t="s">
        <v>202</v>
      </c>
      <c r="L52" s="26"/>
      <c r="M52" s="26" t="s">
        <v>202</v>
      </c>
      <c r="N52" s="73"/>
      <c r="O52" s="26" t="s">
        <v>203</v>
      </c>
      <c r="P52" s="26"/>
      <c r="Q52" s="26" t="s">
        <v>203</v>
      </c>
      <c r="R52" s="26"/>
      <c r="S52" s="26" t="s">
        <v>203</v>
      </c>
      <c r="T52" s="26"/>
      <c r="U52" s="26" t="s">
        <v>203</v>
      </c>
    </row>
    <row r="53" spans="2:21" ht="12.75">
      <c r="B53" s="6" t="s">
        <v>200</v>
      </c>
      <c r="G53" s="25" t="s">
        <v>201</v>
      </c>
      <c r="I53" s="25" t="s">
        <v>201</v>
      </c>
      <c r="K53" s="25" t="s">
        <v>201</v>
      </c>
      <c r="M53" s="25" t="s">
        <v>201</v>
      </c>
      <c r="N53" s="27"/>
      <c r="O53" s="24" t="s">
        <v>205</v>
      </c>
      <c r="Q53" s="24" t="s">
        <v>205</v>
      </c>
      <c r="R53" s="27"/>
      <c r="S53" s="24" t="s">
        <v>205</v>
      </c>
      <c r="U53" s="24" t="s">
        <v>205</v>
      </c>
    </row>
    <row r="54" spans="2:21" ht="12.75">
      <c r="B54" s="49" t="s">
        <v>48</v>
      </c>
      <c r="G54" s="25" t="s">
        <v>171</v>
      </c>
      <c r="I54" s="25" t="s">
        <v>171</v>
      </c>
      <c r="K54" s="25" t="s">
        <v>171</v>
      </c>
      <c r="M54" s="25" t="s">
        <v>171</v>
      </c>
      <c r="N54" s="27"/>
      <c r="O54" s="24" t="s">
        <v>137</v>
      </c>
      <c r="Q54" s="24" t="s">
        <v>137</v>
      </c>
      <c r="R54" s="27"/>
      <c r="S54" s="24" t="s">
        <v>137</v>
      </c>
      <c r="U54" s="24" t="s">
        <v>137</v>
      </c>
    </row>
    <row r="55" spans="2:21" ht="12.75">
      <c r="B55" s="6" t="s">
        <v>86</v>
      </c>
      <c r="D55" s="6" t="s">
        <v>51</v>
      </c>
      <c r="G55" s="25">
        <v>1995</v>
      </c>
      <c r="I55" s="24">
        <v>1988</v>
      </c>
      <c r="K55" s="24">
        <v>1991</v>
      </c>
      <c r="M55" s="39">
        <f>AVERAGE(G55:K55)</f>
        <v>1991.3333333333333</v>
      </c>
      <c r="N55" s="39"/>
      <c r="O55" s="25">
        <v>54.8</v>
      </c>
      <c r="P55" s="25"/>
      <c r="Q55" s="24">
        <v>50.4</v>
      </c>
      <c r="S55" s="24">
        <v>52</v>
      </c>
      <c r="U55" s="30">
        <f>AVERAGE(O55:S55)</f>
        <v>52.4</v>
      </c>
    </row>
    <row r="56" spans="2:19" ht="12.75">
      <c r="B56" s="6" t="s">
        <v>206</v>
      </c>
      <c r="D56" s="6" t="s">
        <v>152</v>
      </c>
      <c r="G56" s="25">
        <v>7160</v>
      </c>
      <c r="I56" s="24">
        <v>6780</v>
      </c>
      <c r="K56" s="24">
        <v>7030</v>
      </c>
      <c r="M56" s="39">
        <f>AVERAGE(G56:K56)</f>
        <v>6990</v>
      </c>
      <c r="N56" s="39"/>
      <c r="R56" s="27"/>
      <c r="S56" s="27"/>
    </row>
    <row r="57" spans="2:19" ht="12.75">
      <c r="B57" s="6" t="s">
        <v>214</v>
      </c>
      <c r="D57" s="6" t="s">
        <v>153</v>
      </c>
      <c r="G57" s="7">
        <f>G56*G55/1000000</f>
        <v>14.2842</v>
      </c>
      <c r="H57" s="7"/>
      <c r="I57" s="7">
        <f>I56*I55/1000000</f>
        <v>13.47864</v>
      </c>
      <c r="J57" s="7"/>
      <c r="K57" s="7">
        <f>K56*K55/1000000</f>
        <v>13.99673</v>
      </c>
      <c r="L57" s="7"/>
      <c r="M57" s="30">
        <f>AVERAGE(G57:K57)</f>
        <v>13.919856666666666</v>
      </c>
      <c r="N57" s="30"/>
      <c r="R57" s="27"/>
      <c r="S57" s="27"/>
    </row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pans="6:14" ht="12.75">
      <c r="F93" s="26"/>
      <c r="G93" s="7"/>
      <c r="H93" s="7"/>
      <c r="M93" s="38"/>
      <c r="N93" s="38"/>
    </row>
    <row r="94" spans="6:14" ht="12.75">
      <c r="F94" s="26"/>
      <c r="G94" s="7"/>
      <c r="H94" s="7"/>
      <c r="M94" s="27"/>
      <c r="N94" s="27"/>
    </row>
    <row r="95" spans="6:14" ht="12.75">
      <c r="F95" s="26"/>
      <c r="G95" s="7"/>
      <c r="H95" s="7"/>
      <c r="M95" s="27"/>
      <c r="N95" s="27"/>
    </row>
    <row r="96" spans="2:17" ht="12.75">
      <c r="B96" s="44"/>
      <c r="G96" s="7"/>
      <c r="H96" s="7"/>
      <c r="M96" s="27"/>
      <c r="N96" s="27"/>
      <c r="Q96" s="38"/>
    </row>
    <row r="97" spans="6:19" ht="12.75">
      <c r="F97" s="26"/>
      <c r="G97" s="27"/>
      <c r="H97" s="58"/>
      <c r="I97" s="27"/>
      <c r="J97" s="58"/>
      <c r="K97" s="27"/>
      <c r="L97" s="27"/>
      <c r="M97" s="38"/>
      <c r="N97" s="38"/>
      <c r="R97" s="27"/>
      <c r="S97" s="27"/>
    </row>
    <row r="98" spans="7:19" ht="12.75">
      <c r="G98" s="27"/>
      <c r="H98" s="58"/>
      <c r="I98" s="27"/>
      <c r="J98" s="59"/>
      <c r="K98" s="27"/>
      <c r="L98" s="27"/>
      <c r="M98" s="27"/>
      <c r="N98" s="27"/>
      <c r="R98" s="27"/>
      <c r="S98" s="27"/>
    </row>
    <row r="99" spans="7:19" ht="12.75">
      <c r="G99" s="27"/>
      <c r="H99" s="58"/>
      <c r="I99" s="27"/>
      <c r="J99" s="59"/>
      <c r="K99" s="27"/>
      <c r="L99" s="27"/>
      <c r="M99" s="38"/>
      <c r="N99" s="38"/>
      <c r="R99" s="27"/>
      <c r="S99" s="27"/>
    </row>
    <row r="100" spans="7:19" ht="12.75">
      <c r="G100" s="27"/>
      <c r="H100" s="58"/>
      <c r="I100" s="27"/>
      <c r="J100" s="15"/>
      <c r="K100" s="27"/>
      <c r="L100" s="27"/>
      <c r="M100" s="27"/>
      <c r="N100" s="27"/>
      <c r="R100" s="27"/>
      <c r="S100" s="27"/>
    </row>
    <row r="101" spans="7:19" ht="12.75">
      <c r="G101" s="27"/>
      <c r="H101" s="58"/>
      <c r="I101" s="27"/>
      <c r="J101" s="15"/>
      <c r="K101" s="27"/>
      <c r="L101" s="27"/>
      <c r="M101" s="27"/>
      <c r="N101" s="27"/>
      <c r="R101" s="27"/>
      <c r="S101" s="27"/>
    </row>
    <row r="102" spans="6:19" ht="12.75">
      <c r="F102" s="14"/>
      <c r="G102" s="27"/>
      <c r="H102" s="58"/>
      <c r="I102" s="27"/>
      <c r="J102" s="15"/>
      <c r="K102" s="27"/>
      <c r="L102" s="27"/>
      <c r="M102" s="38"/>
      <c r="N102" s="38"/>
      <c r="R102" s="27"/>
      <c r="S102" s="27"/>
    </row>
    <row r="103" spans="6:19" ht="12.75">
      <c r="F103" s="14"/>
      <c r="G103" s="27"/>
      <c r="H103" s="58"/>
      <c r="I103" s="27"/>
      <c r="J103" s="15"/>
      <c r="K103" s="27"/>
      <c r="L103" s="27"/>
      <c r="M103" s="27"/>
      <c r="N103" s="27"/>
      <c r="R103" s="27"/>
      <c r="S103" s="27"/>
    </row>
    <row r="104" spans="7:19" ht="12.75">
      <c r="G104" s="27"/>
      <c r="H104" s="58"/>
      <c r="I104" s="27"/>
      <c r="J104" s="59"/>
      <c r="K104" s="27"/>
      <c r="L104" s="27"/>
      <c r="M104" s="38"/>
      <c r="N104" s="38"/>
      <c r="R104" s="27"/>
      <c r="S104" s="27"/>
    </row>
    <row r="105" spans="6:19" ht="12.75">
      <c r="F105" s="14"/>
      <c r="G105" s="27"/>
      <c r="H105" s="58"/>
      <c r="I105" s="27"/>
      <c r="J105" s="58"/>
      <c r="K105" s="27"/>
      <c r="L105" s="27"/>
      <c r="M105" s="38"/>
      <c r="N105" s="38"/>
      <c r="R105" s="27"/>
      <c r="S105" s="27"/>
    </row>
    <row r="106" spans="7:19" ht="12.75">
      <c r="G106" s="27"/>
      <c r="H106" s="58"/>
      <c r="I106" s="27"/>
      <c r="J106" s="58"/>
      <c r="K106" s="27"/>
      <c r="L106" s="27"/>
      <c r="M106" s="38"/>
      <c r="N106" s="38"/>
      <c r="R106" s="27"/>
      <c r="S106" s="27"/>
    </row>
    <row r="107" spans="7:19" ht="12.75">
      <c r="G107" s="27"/>
      <c r="H107" s="58"/>
      <c r="I107" s="27"/>
      <c r="J107" s="58"/>
      <c r="K107" s="27"/>
      <c r="L107" s="27"/>
      <c r="M107" s="38"/>
      <c r="N107" s="38"/>
      <c r="R107" s="27"/>
      <c r="S107" s="27"/>
    </row>
    <row r="108" spans="3:19" ht="12.75">
      <c r="C108" s="23"/>
      <c r="G108" s="27"/>
      <c r="H108" s="58"/>
      <c r="I108" s="27"/>
      <c r="J108" s="58"/>
      <c r="K108" s="27"/>
      <c r="L108" s="27"/>
      <c r="M108" s="38"/>
      <c r="N108" s="38"/>
      <c r="R108" s="27"/>
      <c r="S108" s="27"/>
    </row>
    <row r="109" spans="7:19" ht="12.75">
      <c r="G109" s="27"/>
      <c r="H109" s="58"/>
      <c r="I109" s="27"/>
      <c r="J109" s="58"/>
      <c r="K109" s="27"/>
      <c r="L109" s="27"/>
      <c r="M109" s="38"/>
      <c r="N109" s="38"/>
      <c r="R109" s="27"/>
      <c r="S109" s="27"/>
    </row>
    <row r="110" spans="7:19" ht="12.75">
      <c r="G110" s="27"/>
      <c r="H110" s="58"/>
      <c r="I110" s="27"/>
      <c r="J110" s="21"/>
      <c r="K110" s="27"/>
      <c r="L110" s="27"/>
      <c r="M110" s="27"/>
      <c r="N110" s="27"/>
      <c r="R110" s="27"/>
      <c r="S110" s="27"/>
    </row>
    <row r="111" spans="7:19" ht="12.75">
      <c r="G111" s="27"/>
      <c r="H111" s="58"/>
      <c r="I111" s="27"/>
      <c r="J111" s="59"/>
      <c r="K111" s="27"/>
      <c r="L111" s="27"/>
      <c r="M111" s="38"/>
      <c r="N111" s="38"/>
      <c r="R111" s="27"/>
      <c r="S111" s="27"/>
    </row>
    <row r="112" spans="6:19" ht="12.75">
      <c r="F112" s="58"/>
      <c r="G112" s="27"/>
      <c r="H112" s="58"/>
      <c r="I112" s="27"/>
      <c r="J112" s="21"/>
      <c r="K112" s="27"/>
      <c r="L112" s="27"/>
      <c r="M112" s="27"/>
      <c r="N112" s="27"/>
      <c r="R112" s="27"/>
      <c r="S112" s="27"/>
    </row>
    <row r="113" spans="6:19" ht="12.75">
      <c r="F113" s="58"/>
      <c r="G113" s="27"/>
      <c r="H113" s="58"/>
      <c r="I113" s="27"/>
      <c r="J113" s="21"/>
      <c r="K113" s="27"/>
      <c r="L113" s="27"/>
      <c r="M113" s="27"/>
      <c r="N113" s="27"/>
      <c r="R113" s="27"/>
      <c r="S113" s="27"/>
    </row>
    <row r="114" spans="6:19" ht="12.75">
      <c r="F114" s="58"/>
      <c r="G114" s="27"/>
      <c r="H114" s="58"/>
      <c r="I114" s="27"/>
      <c r="J114" s="21"/>
      <c r="K114" s="27"/>
      <c r="L114" s="27"/>
      <c r="M114" s="27"/>
      <c r="N114" s="27"/>
      <c r="R114" s="27"/>
      <c r="S114" s="27"/>
    </row>
    <row r="115" spans="6:19" ht="12.75">
      <c r="F115" s="21"/>
      <c r="G115" s="27"/>
      <c r="H115" s="58"/>
      <c r="I115" s="27"/>
      <c r="J115" s="21"/>
      <c r="K115" s="27"/>
      <c r="L115" s="27"/>
      <c r="M115" s="27"/>
      <c r="N115" s="27"/>
      <c r="R115" s="27"/>
      <c r="S115" s="27"/>
    </row>
    <row r="116" spans="6:19" ht="12.75">
      <c r="F116" s="21"/>
      <c r="G116" s="27"/>
      <c r="H116" s="58"/>
      <c r="I116" s="27"/>
      <c r="J116" s="58"/>
      <c r="K116" s="27"/>
      <c r="L116" s="27"/>
      <c r="M116" s="27"/>
      <c r="N116" s="27"/>
      <c r="R116" s="27"/>
      <c r="S116" s="27"/>
    </row>
    <row r="117" spans="7:19" ht="12.75">
      <c r="G117" s="27"/>
      <c r="H117" s="58"/>
      <c r="I117" s="27"/>
      <c r="J117" s="59"/>
      <c r="K117" s="27"/>
      <c r="L117" s="27"/>
      <c r="M117" s="38"/>
      <c r="N117" s="38"/>
      <c r="R117" s="27"/>
      <c r="S117" s="27"/>
    </row>
    <row r="119" spans="7:19" ht="12.75">
      <c r="G119" s="66"/>
      <c r="H119" s="66"/>
      <c r="I119" s="66"/>
      <c r="J119" s="66"/>
      <c r="K119" s="66"/>
      <c r="L119" s="66"/>
      <c r="M119" s="38"/>
      <c r="N119" s="38"/>
      <c r="S119" s="27"/>
    </row>
    <row r="120" spans="7:19" ht="12.75">
      <c r="G120" s="66"/>
      <c r="H120" s="66"/>
      <c r="I120" s="66"/>
      <c r="J120" s="66"/>
      <c r="K120" s="66"/>
      <c r="L120" s="66"/>
      <c r="M120" s="38"/>
      <c r="N120" s="38"/>
      <c r="S120" s="2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B1">
      <selection activeCell="E14" sqref="E14"/>
    </sheetView>
  </sheetViews>
  <sheetFormatPr defaultColWidth="9.140625" defaultRowHeight="12.75"/>
  <cols>
    <col min="1" max="1" width="3.8515625" style="0" hidden="1" customWidth="1"/>
    <col min="2" max="2" width="32.421875" style="0" customWidth="1"/>
    <col min="4" max="4" width="9.140625" style="0" customWidth="1"/>
    <col min="5" max="5" width="12.28125" style="0" customWidth="1"/>
    <col min="6" max="6" width="12.421875" style="0" customWidth="1"/>
  </cols>
  <sheetData>
    <row r="1" spans="2:6" ht="12.75">
      <c r="B1" s="3" t="s">
        <v>63</v>
      </c>
      <c r="C1" s="9"/>
      <c r="D1" s="9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t="s">
        <v>85</v>
      </c>
      <c r="B3" s="3" t="str">
        <f>cond!C3</f>
        <v>3025C1</v>
      </c>
      <c r="C3" s="9" t="str">
        <f>cond!C10</f>
        <v>Trial burn - Max temp</v>
      </c>
      <c r="D3" s="9"/>
      <c r="E3" s="50" t="s">
        <v>47</v>
      </c>
      <c r="F3" s="9"/>
    </row>
    <row r="4" spans="2:6" ht="12.75">
      <c r="B4" s="9"/>
      <c r="C4" s="9"/>
      <c r="D4" s="9"/>
      <c r="F4" s="9"/>
    </row>
    <row r="5" spans="2:6" ht="14.25">
      <c r="B5" s="9" t="s">
        <v>138</v>
      </c>
      <c r="C5" s="77" t="s">
        <v>209</v>
      </c>
      <c r="D5" s="4"/>
      <c r="E5">
        <v>1247</v>
      </c>
      <c r="F5" s="9"/>
    </row>
    <row r="6" spans="2:6" ht="14.25">
      <c r="B6" s="9" t="s">
        <v>139</v>
      </c>
      <c r="C6" s="77" t="s">
        <v>51</v>
      </c>
      <c r="D6" s="4"/>
      <c r="E6">
        <v>334</v>
      </c>
      <c r="F6" s="9"/>
    </row>
    <row r="7" spans="2:5" s="9" customFormat="1" ht="12.75">
      <c r="B7" s="9" t="s">
        <v>140</v>
      </c>
      <c r="C7" s="77" t="s">
        <v>141</v>
      </c>
      <c r="E7">
        <v>6085</v>
      </c>
    </row>
    <row r="8" spans="2:5" s="9" customFormat="1" ht="12.75">
      <c r="B8" s="9" t="s">
        <v>148</v>
      </c>
      <c r="C8" s="77" t="s">
        <v>111</v>
      </c>
      <c r="E8">
        <v>15</v>
      </c>
    </row>
    <row r="9" spans="3:5" s="9" customFormat="1" ht="12.75">
      <c r="C9" s="77"/>
      <c r="E9"/>
    </row>
    <row r="10" spans="2:5" ht="12.75">
      <c r="B10" s="3" t="str">
        <f>emiss!B29</f>
        <v>3025C2</v>
      </c>
      <c r="C10" s="77" t="str">
        <f>cond!C20</f>
        <v>Trial burn - Min temp</v>
      </c>
      <c r="D10" s="9"/>
      <c r="E10" s="50" t="s">
        <v>47</v>
      </c>
    </row>
    <row r="11" spans="2:4" ht="12.75">
      <c r="B11" s="9"/>
      <c r="C11" s="77"/>
      <c r="D11" s="9"/>
    </row>
    <row r="12" spans="2:5" ht="14.25">
      <c r="B12" s="9" t="s">
        <v>138</v>
      </c>
      <c r="C12" s="77" t="s">
        <v>209</v>
      </c>
      <c r="D12" s="4"/>
      <c r="E12">
        <v>1131</v>
      </c>
    </row>
    <row r="13" spans="2:5" ht="14.25">
      <c r="B13" s="9" t="s">
        <v>139</v>
      </c>
      <c r="C13" s="77" t="s">
        <v>51</v>
      </c>
      <c r="D13" s="4"/>
      <c r="E13">
        <v>88.4</v>
      </c>
    </row>
    <row r="14" spans="2:5" ht="12.75">
      <c r="B14" s="9" t="s">
        <v>140</v>
      </c>
      <c r="C14" s="77" t="s">
        <v>141</v>
      </c>
      <c r="D14" s="9"/>
      <c r="E14">
        <v>6026</v>
      </c>
    </row>
    <row r="15" spans="2:5" ht="12.75">
      <c r="B15" s="9" t="s">
        <v>148</v>
      </c>
      <c r="C15" s="77" t="s">
        <v>111</v>
      </c>
      <c r="D15" s="9"/>
      <c r="E15">
        <v>11.5</v>
      </c>
    </row>
    <row r="16" ht="12.75">
      <c r="C16" s="77"/>
    </row>
    <row r="17" spans="2:5" ht="12.75">
      <c r="B17" s="3" t="str">
        <f>cond!C23</f>
        <v>3025C3</v>
      </c>
      <c r="C17" s="77" t="str">
        <f>cond!C30</f>
        <v>Risk burn </v>
      </c>
      <c r="E17" s="50" t="s">
        <v>47</v>
      </c>
    </row>
    <row r="18" spans="2:4" ht="12.75">
      <c r="B18" s="9"/>
      <c r="C18" s="77"/>
      <c r="D18" s="9"/>
    </row>
    <row r="19" spans="2:5" ht="14.25">
      <c r="B19" s="9" t="s">
        <v>138</v>
      </c>
      <c r="C19" s="77" t="s">
        <v>209</v>
      </c>
      <c r="D19" s="4"/>
      <c r="E19">
        <v>1198</v>
      </c>
    </row>
    <row r="20" spans="2:5" ht="14.25">
      <c r="B20" s="9" t="s">
        <v>139</v>
      </c>
      <c r="C20" s="77" t="s">
        <v>51</v>
      </c>
      <c r="D20" s="4"/>
      <c r="E20">
        <v>52.4</v>
      </c>
    </row>
    <row r="21" spans="2:5" ht="12.75">
      <c r="B21" s="9" t="s">
        <v>140</v>
      </c>
      <c r="C21" s="77" t="s">
        <v>141</v>
      </c>
      <c r="D21" s="9"/>
      <c r="E21">
        <v>5753</v>
      </c>
    </row>
    <row r="22" spans="2:5" ht="12.75">
      <c r="B22" s="9" t="s">
        <v>148</v>
      </c>
      <c r="C22" s="77" t="s">
        <v>111</v>
      </c>
      <c r="D22" s="9"/>
      <c r="E22">
        <v>9.4</v>
      </c>
    </row>
    <row r="23" spans="2:4" ht="12.75">
      <c r="B23" s="9"/>
      <c r="C23" s="9"/>
      <c r="D23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H21" sqref="H2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5.57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5.00390625" style="50" customWidth="1"/>
    <col min="11" max="11" width="9.28125" style="0" customWidth="1"/>
    <col min="13" max="13" width="9.28125" style="0" customWidth="1"/>
    <col min="14" max="14" width="5.00390625" style="0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18" ht="12.75">
      <c r="A1" s="40" t="s">
        <v>65</v>
      </c>
      <c r="B1" s="24"/>
      <c r="C1" s="24"/>
      <c r="D1" s="24"/>
      <c r="E1" s="32"/>
      <c r="F1" s="33"/>
      <c r="G1" s="32"/>
      <c r="H1" s="33"/>
      <c r="I1" s="36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24" t="s">
        <v>213</v>
      </c>
      <c r="B2" s="24"/>
      <c r="C2" s="24"/>
      <c r="D2" s="24"/>
      <c r="E2" s="32"/>
      <c r="F2" s="33"/>
      <c r="G2" s="32"/>
      <c r="H2" s="33"/>
      <c r="I2" s="36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24" t="s">
        <v>20</v>
      </c>
      <c r="B3" s="24"/>
      <c r="C3" s="6" t="s">
        <v>123</v>
      </c>
      <c r="D3" s="6"/>
      <c r="E3" s="32"/>
      <c r="F3" s="33"/>
      <c r="G3" s="32"/>
      <c r="H3" s="33"/>
      <c r="I3" s="36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4" t="s">
        <v>21</v>
      </c>
      <c r="B4" s="24"/>
      <c r="C4" s="6" t="str">
        <f>cond!C23</f>
        <v>3025C3</v>
      </c>
      <c r="D4" s="6"/>
      <c r="E4" s="34" t="str">
        <f>cond!C30</f>
        <v>Risk burn </v>
      </c>
      <c r="F4" s="35"/>
      <c r="G4" s="34"/>
      <c r="H4" s="35"/>
      <c r="I4" s="36"/>
      <c r="J4" s="34"/>
      <c r="K4" s="34"/>
      <c r="L4" s="34"/>
      <c r="M4" s="34"/>
      <c r="N4" s="34"/>
      <c r="O4" s="34"/>
      <c r="P4" s="34"/>
      <c r="Q4" s="34"/>
      <c r="R4" s="34"/>
    </row>
    <row r="5" spans="1:18" ht="12.75">
      <c r="A5" s="24" t="s">
        <v>22</v>
      </c>
      <c r="B5" s="24"/>
      <c r="C5" s="9" t="s">
        <v>151</v>
      </c>
      <c r="D5" s="9"/>
      <c r="E5" s="9"/>
      <c r="F5" s="9"/>
      <c r="G5" s="9"/>
      <c r="H5" s="9"/>
      <c r="I5" s="45"/>
      <c r="J5" s="9"/>
      <c r="K5" s="32"/>
      <c r="L5" s="9"/>
      <c r="M5" s="32"/>
      <c r="N5" s="32"/>
      <c r="O5" s="32"/>
      <c r="P5" s="32"/>
      <c r="Q5" s="32"/>
      <c r="R5" s="32"/>
    </row>
    <row r="6" spans="1:18" ht="12.75">
      <c r="A6" s="24"/>
      <c r="B6" s="24"/>
      <c r="C6" s="26"/>
      <c r="D6" s="26"/>
      <c r="E6" s="36"/>
      <c r="F6" s="33"/>
      <c r="G6" s="36"/>
      <c r="H6" s="33"/>
      <c r="I6" s="36"/>
      <c r="J6" s="36"/>
      <c r="K6" s="32"/>
      <c r="L6" s="36"/>
      <c r="M6" s="32"/>
      <c r="N6" s="32"/>
      <c r="O6" s="36"/>
      <c r="P6" s="32"/>
      <c r="Q6" s="36"/>
      <c r="R6" s="32"/>
    </row>
    <row r="7" spans="1:18" ht="12.75">
      <c r="A7" s="24"/>
      <c r="B7" s="24"/>
      <c r="C7" s="26" t="s">
        <v>23</v>
      </c>
      <c r="D7" s="26"/>
      <c r="E7" s="37" t="s">
        <v>210</v>
      </c>
      <c r="F7" s="37"/>
      <c r="G7" s="37"/>
      <c r="H7" s="37"/>
      <c r="I7" s="8"/>
      <c r="J7" s="37" t="s">
        <v>113</v>
      </c>
      <c r="K7" s="37"/>
      <c r="L7" s="37"/>
      <c r="M7" s="37"/>
      <c r="N7" s="8"/>
      <c r="O7" s="37" t="s">
        <v>211</v>
      </c>
      <c r="P7" s="37"/>
      <c r="Q7" s="37"/>
      <c r="R7" s="37"/>
    </row>
    <row r="8" spans="1:18" ht="12.75">
      <c r="A8" s="24"/>
      <c r="B8" s="24"/>
      <c r="C8" s="26" t="s">
        <v>24</v>
      </c>
      <c r="D8" s="24"/>
      <c r="E8" s="36" t="s">
        <v>25</v>
      </c>
      <c r="F8" s="35" t="s">
        <v>26</v>
      </c>
      <c r="G8" s="36" t="s">
        <v>25</v>
      </c>
      <c r="H8" s="35" t="s">
        <v>26</v>
      </c>
      <c r="I8" s="36"/>
      <c r="J8" s="36" t="s">
        <v>25</v>
      </c>
      <c r="K8" s="36" t="s">
        <v>27</v>
      </c>
      <c r="L8" s="36" t="s">
        <v>25</v>
      </c>
      <c r="M8" s="36" t="s">
        <v>27</v>
      </c>
      <c r="N8" s="32"/>
      <c r="O8" s="36" t="s">
        <v>25</v>
      </c>
      <c r="P8" s="36" t="s">
        <v>27</v>
      </c>
      <c r="Q8" s="36" t="s">
        <v>25</v>
      </c>
      <c r="R8" s="36" t="s">
        <v>27</v>
      </c>
    </row>
    <row r="9" spans="1:18" ht="12.75">
      <c r="A9" s="24"/>
      <c r="B9" s="24"/>
      <c r="C9" s="26"/>
      <c r="D9" s="24"/>
      <c r="E9" s="36" t="s">
        <v>212</v>
      </c>
      <c r="F9" s="36" t="s">
        <v>212</v>
      </c>
      <c r="G9" s="36" t="s">
        <v>64</v>
      </c>
      <c r="H9" s="35" t="s">
        <v>64</v>
      </c>
      <c r="I9" s="36"/>
      <c r="J9" s="36" t="s">
        <v>212</v>
      </c>
      <c r="K9" s="36" t="s">
        <v>212</v>
      </c>
      <c r="L9" s="36" t="s">
        <v>64</v>
      </c>
      <c r="M9" s="35" t="s">
        <v>64</v>
      </c>
      <c r="N9" s="32"/>
      <c r="O9" s="36" t="s">
        <v>212</v>
      </c>
      <c r="P9" s="36" t="s">
        <v>212</v>
      </c>
      <c r="Q9" s="36" t="s">
        <v>64</v>
      </c>
      <c r="R9" s="35" t="s">
        <v>64</v>
      </c>
    </row>
    <row r="10" spans="1:18" ht="12.75">
      <c r="A10" s="24" t="s">
        <v>98</v>
      </c>
      <c r="B10" s="24"/>
      <c r="C10" s="24"/>
      <c r="D10" s="24"/>
      <c r="E10" s="32"/>
      <c r="F10" s="33"/>
      <c r="G10" s="32"/>
      <c r="H10" s="33"/>
      <c r="I10" s="36"/>
      <c r="J10" s="32"/>
      <c r="K10" s="32"/>
      <c r="L10" s="32"/>
      <c r="M10" s="32"/>
      <c r="N10" s="32"/>
      <c r="O10" s="27"/>
      <c r="P10" s="32"/>
      <c r="Q10" s="32"/>
      <c r="R10" s="32"/>
    </row>
    <row r="11" spans="1:18" ht="12.75">
      <c r="A11" s="24"/>
      <c r="B11" s="24" t="s">
        <v>28</v>
      </c>
      <c r="C11" s="26">
        <v>1</v>
      </c>
      <c r="D11" t="s">
        <v>97</v>
      </c>
      <c r="E11">
        <v>4.3</v>
      </c>
      <c r="F11" s="29">
        <f aca="true" t="shared" si="0" ref="F11:F35">IF(E11="","",E11*$C11)</f>
        <v>4.3</v>
      </c>
      <c r="G11" s="29">
        <f aca="true" t="shared" si="1" ref="G11:G35">IF(E11=0,"",IF(D11="nd",E11/2,E11))</f>
        <v>2.15</v>
      </c>
      <c r="H11" s="29">
        <f aca="true" t="shared" si="2" ref="H11:H35">IF(G11="","",G11*$C11)</f>
        <v>2.15</v>
      </c>
      <c r="I11" t="s">
        <v>97</v>
      </c>
      <c r="J11">
        <v>17</v>
      </c>
      <c r="K11" s="29">
        <f aca="true" t="shared" si="3" ref="K11:K35">IF(J11="","",J11*$C11)</f>
        <v>17</v>
      </c>
      <c r="L11" s="29">
        <f>IF(J11=0,"",IF(I11="nd",J11/2,J11))</f>
        <v>8.5</v>
      </c>
      <c r="M11" s="29">
        <f aca="true" t="shared" si="4" ref="M11:M35">IF(L11="","",L11*$C11)</f>
        <v>8.5</v>
      </c>
      <c r="N11" t="s">
        <v>97</v>
      </c>
      <c r="O11">
        <v>5.6</v>
      </c>
      <c r="P11" s="38">
        <f aca="true" t="shared" si="5" ref="P11:P35">IF(O11="","",O11*$C11)</f>
        <v>5.6</v>
      </c>
      <c r="Q11" s="38">
        <f>IF(O11=0,"",IF(N11="nd",O11/2,O11))</f>
        <v>2.8</v>
      </c>
      <c r="R11" s="38">
        <f aca="true" t="shared" si="6" ref="R11:R35">IF(Q11="","",Q11*$C11)</f>
        <v>2.8</v>
      </c>
    </row>
    <row r="12" spans="1:18" ht="12.75">
      <c r="A12" s="24"/>
      <c r="B12" s="24" t="s">
        <v>88</v>
      </c>
      <c r="C12" s="26">
        <v>0</v>
      </c>
      <c r="F12" s="38">
        <f t="shared" si="0"/>
      </c>
      <c r="G12" s="38">
        <f>IF(E12=0,"",IF(D12="nd",E12/2,E12))</f>
      </c>
      <c r="H12" s="38">
        <f t="shared" si="2"/>
      </c>
      <c r="I12"/>
      <c r="K12" s="29">
        <f t="shared" si="3"/>
      </c>
      <c r="L12" s="38">
        <f>IF(J12=0,"",IF(I12="nd",J12/2,J12))</f>
      </c>
      <c r="M12" s="29">
        <f t="shared" si="4"/>
      </c>
      <c r="P12" s="38">
        <f t="shared" si="5"/>
      </c>
      <c r="Q12" s="38">
        <f>IF(O12=0,"",IF(N12="nd",O12/2,O12))</f>
      </c>
      <c r="R12" s="38">
        <f t="shared" si="6"/>
      </c>
    </row>
    <row r="13" spans="1:18" ht="12.75">
      <c r="A13" s="24"/>
      <c r="B13" s="24" t="s">
        <v>29</v>
      </c>
      <c r="C13" s="26">
        <v>0.5</v>
      </c>
      <c r="D13" t="s">
        <v>97</v>
      </c>
      <c r="E13">
        <v>5.7</v>
      </c>
      <c r="F13" s="29">
        <f t="shared" si="0"/>
        <v>2.85</v>
      </c>
      <c r="G13" s="29">
        <f t="shared" si="1"/>
        <v>2.85</v>
      </c>
      <c r="H13" s="29">
        <f t="shared" si="2"/>
        <v>1.425</v>
      </c>
      <c r="I13" t="s">
        <v>97</v>
      </c>
      <c r="J13">
        <v>3.8</v>
      </c>
      <c r="K13" s="29">
        <f t="shared" si="3"/>
        <v>1.9</v>
      </c>
      <c r="L13" s="29">
        <f aca="true" t="shared" si="7" ref="L13:L35">IF(J13=0,"",IF(I13="nd",J13/2,J13))</f>
        <v>1.9</v>
      </c>
      <c r="M13" s="29">
        <f t="shared" si="4"/>
        <v>0.95</v>
      </c>
      <c r="N13" t="s">
        <v>97</v>
      </c>
      <c r="O13">
        <v>8.4</v>
      </c>
      <c r="P13" s="38">
        <f t="shared" si="5"/>
        <v>4.2</v>
      </c>
      <c r="Q13" s="38">
        <f aca="true" t="shared" si="8" ref="Q13:Q35">IF(O13=0,"",IF(N13="nd",O13/2,O13))</f>
        <v>4.2</v>
      </c>
      <c r="R13" s="38">
        <f t="shared" si="6"/>
        <v>2.1</v>
      </c>
    </row>
    <row r="14" spans="1:18" ht="12.75">
      <c r="A14" s="24"/>
      <c r="B14" s="24" t="s">
        <v>89</v>
      </c>
      <c r="C14" s="26">
        <v>0</v>
      </c>
      <c r="F14" s="38">
        <f t="shared" si="0"/>
      </c>
      <c r="G14" s="38">
        <f>IF(E14=0,"",IF(D14="nd",E14/2,E14))</f>
      </c>
      <c r="H14" s="38">
        <f t="shared" si="2"/>
      </c>
      <c r="I14"/>
      <c r="K14" s="29">
        <f t="shared" si="3"/>
      </c>
      <c r="L14" s="38">
        <f>IF(J14=0,"",IF(I14="nd",J14/2,J14))</f>
      </c>
      <c r="M14" s="29">
        <f t="shared" si="4"/>
      </c>
      <c r="P14" s="38">
        <f t="shared" si="5"/>
      </c>
      <c r="Q14" s="38">
        <f>IF(O14=0,"",IF(N14="nd",O14/2,O14))</f>
      </c>
      <c r="R14" s="38">
        <f t="shared" si="6"/>
      </c>
    </row>
    <row r="15" spans="1:18" ht="12.75">
      <c r="A15" s="24"/>
      <c r="B15" s="24" t="s">
        <v>30</v>
      </c>
      <c r="C15" s="26">
        <v>0.1</v>
      </c>
      <c r="D15" t="s">
        <v>97</v>
      </c>
      <c r="E15">
        <v>4.8</v>
      </c>
      <c r="F15" s="29">
        <f t="shared" si="0"/>
        <v>0.48</v>
      </c>
      <c r="G15" s="29">
        <f t="shared" si="1"/>
        <v>2.4</v>
      </c>
      <c r="H15" s="29">
        <f t="shared" si="2"/>
        <v>0.24</v>
      </c>
      <c r="I15" t="s">
        <v>97</v>
      </c>
      <c r="J15">
        <v>6.1</v>
      </c>
      <c r="K15" s="29">
        <f t="shared" si="3"/>
        <v>0.61</v>
      </c>
      <c r="L15" s="29">
        <f t="shared" si="7"/>
        <v>3.05</v>
      </c>
      <c r="M15" s="29">
        <f t="shared" si="4"/>
        <v>0.305</v>
      </c>
      <c r="N15" t="s">
        <v>97</v>
      </c>
      <c r="O15">
        <v>7.3</v>
      </c>
      <c r="P15" s="38">
        <f t="shared" si="5"/>
        <v>0.73</v>
      </c>
      <c r="Q15" s="38">
        <f t="shared" si="8"/>
        <v>3.65</v>
      </c>
      <c r="R15" s="38">
        <f t="shared" si="6"/>
        <v>0.365</v>
      </c>
    </row>
    <row r="16" spans="1:18" ht="12.75">
      <c r="A16" s="24"/>
      <c r="B16" s="24" t="s">
        <v>31</v>
      </c>
      <c r="C16" s="26">
        <v>0.1</v>
      </c>
      <c r="D16" t="s">
        <v>97</v>
      </c>
      <c r="E16">
        <v>3.8</v>
      </c>
      <c r="F16" s="29">
        <f t="shared" si="0"/>
        <v>0.38</v>
      </c>
      <c r="G16" s="29">
        <f t="shared" si="1"/>
        <v>1.9</v>
      </c>
      <c r="H16" s="29">
        <f t="shared" si="2"/>
        <v>0.19</v>
      </c>
      <c r="I16" t="s">
        <v>97</v>
      </c>
      <c r="J16">
        <v>4.8</v>
      </c>
      <c r="K16" s="29">
        <f t="shared" si="3"/>
        <v>0.48</v>
      </c>
      <c r="L16" s="29">
        <f t="shared" si="7"/>
        <v>2.4</v>
      </c>
      <c r="M16" s="29">
        <f t="shared" si="4"/>
        <v>0.24</v>
      </c>
      <c r="N16" t="s">
        <v>97</v>
      </c>
      <c r="O16">
        <v>5.8</v>
      </c>
      <c r="P16" s="38">
        <f t="shared" si="5"/>
        <v>0.58</v>
      </c>
      <c r="Q16" s="38">
        <f t="shared" si="8"/>
        <v>2.9</v>
      </c>
      <c r="R16" s="38">
        <f t="shared" si="6"/>
        <v>0.29</v>
      </c>
    </row>
    <row r="17" spans="1:18" ht="12.75">
      <c r="A17" s="24"/>
      <c r="B17" s="24" t="s">
        <v>32</v>
      </c>
      <c r="C17" s="26">
        <v>0.1</v>
      </c>
      <c r="D17" t="s">
        <v>97</v>
      </c>
      <c r="E17">
        <v>4.3</v>
      </c>
      <c r="F17" s="29">
        <f t="shared" si="0"/>
        <v>0.43</v>
      </c>
      <c r="G17" s="29">
        <f t="shared" si="1"/>
        <v>2.15</v>
      </c>
      <c r="H17" s="29">
        <f t="shared" si="2"/>
        <v>0.215</v>
      </c>
      <c r="I17" t="s">
        <v>97</v>
      </c>
      <c r="J17">
        <v>5.4</v>
      </c>
      <c r="K17" s="29">
        <f t="shared" si="3"/>
        <v>0.54</v>
      </c>
      <c r="L17" s="29">
        <f t="shared" si="7"/>
        <v>2.7</v>
      </c>
      <c r="M17" s="29">
        <f t="shared" si="4"/>
        <v>0.27</v>
      </c>
      <c r="N17" t="s">
        <v>97</v>
      </c>
      <c r="O17">
        <v>6.5</v>
      </c>
      <c r="P17" s="38">
        <f t="shared" si="5"/>
        <v>0.65</v>
      </c>
      <c r="Q17" s="38">
        <f t="shared" si="8"/>
        <v>3.25</v>
      </c>
      <c r="R17" s="38">
        <f t="shared" si="6"/>
        <v>0.325</v>
      </c>
    </row>
    <row r="18" spans="1:18" ht="12.75">
      <c r="A18" s="24"/>
      <c r="B18" s="24" t="s">
        <v>90</v>
      </c>
      <c r="C18" s="26">
        <v>0</v>
      </c>
      <c r="F18" s="38">
        <f t="shared" si="0"/>
      </c>
      <c r="G18" s="38">
        <f>IF(E18=0,"",IF(D18="nd",E18/2,E18))</f>
      </c>
      <c r="H18" s="38">
        <f t="shared" si="2"/>
      </c>
      <c r="I18"/>
      <c r="K18" s="29">
        <f t="shared" si="3"/>
      </c>
      <c r="L18" s="38">
        <f>IF(J18=0,"",IF(I18="nd",J18/2,J18))</f>
      </c>
      <c r="M18" s="29">
        <f t="shared" si="4"/>
      </c>
      <c r="P18" s="38">
        <f t="shared" si="5"/>
      </c>
      <c r="Q18" s="38">
        <f>IF(O18=0,"",IF(N18="nd",O18/2,O18))</f>
      </c>
      <c r="R18" s="38">
        <f t="shared" si="6"/>
      </c>
    </row>
    <row r="19" spans="1:18" ht="12.75">
      <c r="A19" s="24"/>
      <c r="B19" s="24" t="s">
        <v>33</v>
      </c>
      <c r="C19" s="26">
        <v>0.01</v>
      </c>
      <c r="E19">
        <v>12</v>
      </c>
      <c r="F19" s="29">
        <f t="shared" si="0"/>
        <v>0.12</v>
      </c>
      <c r="G19" s="29">
        <f t="shared" si="1"/>
        <v>12</v>
      </c>
      <c r="H19" s="29">
        <f t="shared" si="2"/>
        <v>0.12</v>
      </c>
      <c r="I19"/>
      <c r="J19">
        <v>16</v>
      </c>
      <c r="K19" s="29">
        <f t="shared" si="3"/>
        <v>0.16</v>
      </c>
      <c r="L19" s="29">
        <f t="shared" si="7"/>
        <v>16</v>
      </c>
      <c r="M19" s="29">
        <f t="shared" si="4"/>
        <v>0.16</v>
      </c>
      <c r="O19">
        <v>14</v>
      </c>
      <c r="P19" s="38">
        <f t="shared" si="5"/>
        <v>0.14</v>
      </c>
      <c r="Q19" s="38">
        <f t="shared" si="8"/>
        <v>14</v>
      </c>
      <c r="R19" s="38">
        <f t="shared" si="6"/>
        <v>0.14</v>
      </c>
    </row>
    <row r="20" spans="1:18" ht="12.75">
      <c r="A20" s="24"/>
      <c r="B20" s="24" t="s">
        <v>91</v>
      </c>
      <c r="C20" s="26">
        <v>0</v>
      </c>
      <c r="F20" s="38">
        <f t="shared" si="0"/>
      </c>
      <c r="G20" s="38">
        <f>IF(E20=0,"",IF(D20="nd",E20/2,E20))</f>
      </c>
      <c r="H20" s="38">
        <f t="shared" si="2"/>
      </c>
      <c r="I20"/>
      <c r="K20" s="29">
        <f t="shared" si="3"/>
      </c>
      <c r="L20" s="38">
        <f>IF(J20=0,"",IF(I20="nd",J20/2,J20))</f>
      </c>
      <c r="M20" s="29">
        <f t="shared" si="4"/>
      </c>
      <c r="P20" s="38">
        <f t="shared" si="5"/>
      </c>
      <c r="Q20" s="38">
        <f>IF(O20=0,"",IF(N20="nd",O20/2,O20))</f>
      </c>
      <c r="R20" s="38">
        <f t="shared" si="6"/>
      </c>
    </row>
    <row r="21" spans="1:18" ht="12.75">
      <c r="A21" s="24"/>
      <c r="B21" s="24" t="s">
        <v>34</v>
      </c>
      <c r="C21" s="26">
        <v>0.001</v>
      </c>
      <c r="E21">
        <v>42</v>
      </c>
      <c r="F21" s="29">
        <f t="shared" si="0"/>
        <v>0.042</v>
      </c>
      <c r="G21" s="29">
        <f t="shared" si="1"/>
        <v>42</v>
      </c>
      <c r="H21" s="29">
        <f t="shared" si="2"/>
        <v>0.042</v>
      </c>
      <c r="I21"/>
      <c r="J21">
        <v>81</v>
      </c>
      <c r="K21" s="29">
        <f t="shared" si="3"/>
        <v>0.081</v>
      </c>
      <c r="L21" s="38">
        <f t="shared" si="7"/>
        <v>81</v>
      </c>
      <c r="M21" s="29">
        <f t="shared" si="4"/>
        <v>0.081</v>
      </c>
      <c r="O21">
        <v>95</v>
      </c>
      <c r="P21" s="38">
        <f t="shared" si="5"/>
        <v>0.095</v>
      </c>
      <c r="Q21" s="38">
        <f t="shared" si="8"/>
        <v>95</v>
      </c>
      <c r="R21" s="38">
        <f t="shared" si="6"/>
        <v>0.095</v>
      </c>
    </row>
    <row r="22" spans="1:18" ht="12.75">
      <c r="A22" s="24"/>
      <c r="B22" s="24" t="s">
        <v>35</v>
      </c>
      <c r="C22" s="26">
        <v>0.1</v>
      </c>
      <c r="D22" t="s">
        <v>97</v>
      </c>
      <c r="E22">
        <v>4</v>
      </c>
      <c r="F22" s="29">
        <f t="shared" si="0"/>
        <v>0.4</v>
      </c>
      <c r="G22" s="29">
        <f t="shared" si="1"/>
        <v>2</v>
      </c>
      <c r="H22" s="29">
        <f t="shared" si="2"/>
        <v>0.2</v>
      </c>
      <c r="I22" t="s">
        <v>97</v>
      </c>
      <c r="J22">
        <v>14</v>
      </c>
      <c r="K22" s="29">
        <f t="shared" si="3"/>
        <v>1.4000000000000001</v>
      </c>
      <c r="L22" s="38">
        <f t="shared" si="7"/>
        <v>7</v>
      </c>
      <c r="M22" s="29">
        <f t="shared" si="4"/>
        <v>0.7000000000000001</v>
      </c>
      <c r="N22" t="s">
        <v>97</v>
      </c>
      <c r="O22">
        <v>6.5</v>
      </c>
      <c r="P22" s="38">
        <f t="shared" si="5"/>
        <v>0.65</v>
      </c>
      <c r="Q22" s="38">
        <f t="shared" si="8"/>
        <v>3.25</v>
      </c>
      <c r="R22" s="38">
        <f t="shared" si="6"/>
        <v>0.325</v>
      </c>
    </row>
    <row r="23" spans="1:18" ht="12.75">
      <c r="A23" s="24"/>
      <c r="B23" s="24" t="s">
        <v>92</v>
      </c>
      <c r="C23" s="26">
        <v>0</v>
      </c>
      <c r="F23" s="38">
        <f t="shared" si="0"/>
      </c>
      <c r="G23" s="38">
        <f>IF(E23=0,"",IF(D23="nd",E23/2,E23))</f>
      </c>
      <c r="H23" s="38">
        <f t="shared" si="2"/>
      </c>
      <c r="I23"/>
      <c r="K23" s="29">
        <f t="shared" si="3"/>
      </c>
      <c r="L23" s="38">
        <f>IF(J23=0,"",IF(I23="nd",J23/2,J23))</f>
      </c>
      <c r="M23" s="29">
        <f t="shared" si="4"/>
      </c>
      <c r="P23" s="38">
        <f t="shared" si="5"/>
      </c>
      <c r="Q23" s="38">
        <f>IF(O23=0,"",IF(N23="nd",O23/2,O23))</f>
      </c>
      <c r="R23" s="38">
        <f t="shared" si="6"/>
      </c>
    </row>
    <row r="24" spans="1:18" ht="12.75">
      <c r="A24" s="24"/>
      <c r="B24" s="24" t="s">
        <v>36</v>
      </c>
      <c r="C24" s="26">
        <v>0.05</v>
      </c>
      <c r="D24" t="s">
        <v>97</v>
      </c>
      <c r="E24">
        <v>3.9</v>
      </c>
      <c r="F24" s="38">
        <f t="shared" si="0"/>
        <v>0.195</v>
      </c>
      <c r="G24" s="38">
        <f t="shared" si="1"/>
        <v>1.95</v>
      </c>
      <c r="H24" s="38">
        <f t="shared" si="2"/>
        <v>0.0975</v>
      </c>
      <c r="I24" t="s">
        <v>97</v>
      </c>
      <c r="J24">
        <v>3.8</v>
      </c>
      <c r="K24" s="29">
        <f t="shared" si="3"/>
        <v>0.19</v>
      </c>
      <c r="L24" s="38">
        <f t="shared" si="7"/>
        <v>1.9</v>
      </c>
      <c r="M24" s="29">
        <f t="shared" si="4"/>
        <v>0.095</v>
      </c>
      <c r="N24" t="s">
        <v>97</v>
      </c>
      <c r="O24">
        <v>6.2</v>
      </c>
      <c r="P24" s="38">
        <f t="shared" si="5"/>
        <v>0.31000000000000005</v>
      </c>
      <c r="Q24" s="38">
        <f t="shared" si="8"/>
        <v>3.1</v>
      </c>
      <c r="R24" s="38">
        <f t="shared" si="6"/>
        <v>0.15500000000000003</v>
      </c>
    </row>
    <row r="25" spans="1:18" ht="12.75">
      <c r="A25" s="24"/>
      <c r="B25" s="24" t="s">
        <v>37</v>
      </c>
      <c r="C25" s="26">
        <v>0.5</v>
      </c>
      <c r="D25" t="s">
        <v>97</v>
      </c>
      <c r="E25">
        <v>3.9</v>
      </c>
      <c r="F25" s="38">
        <f t="shared" si="0"/>
        <v>1.95</v>
      </c>
      <c r="G25" s="38">
        <f t="shared" si="1"/>
        <v>1.95</v>
      </c>
      <c r="H25" s="38">
        <f t="shared" si="2"/>
        <v>0.975</v>
      </c>
      <c r="I25" t="s">
        <v>97</v>
      </c>
      <c r="J25">
        <v>3.9</v>
      </c>
      <c r="K25" s="29">
        <f t="shared" si="3"/>
        <v>1.95</v>
      </c>
      <c r="L25" s="38">
        <f t="shared" si="7"/>
        <v>1.95</v>
      </c>
      <c r="M25" s="29">
        <f t="shared" si="4"/>
        <v>0.975</v>
      </c>
      <c r="N25" t="s">
        <v>97</v>
      </c>
      <c r="O25">
        <v>6.3</v>
      </c>
      <c r="P25" s="38">
        <f t="shared" si="5"/>
        <v>3.15</v>
      </c>
      <c r="Q25" s="38">
        <f t="shared" si="8"/>
        <v>3.15</v>
      </c>
      <c r="R25" s="38">
        <f t="shared" si="6"/>
        <v>1.575</v>
      </c>
    </row>
    <row r="26" spans="1:18" ht="12.75">
      <c r="A26" s="24"/>
      <c r="B26" s="24" t="s">
        <v>93</v>
      </c>
      <c r="C26" s="26">
        <v>0</v>
      </c>
      <c r="F26" s="38">
        <f t="shared" si="0"/>
      </c>
      <c r="G26" s="38">
        <f>IF(E26=0,"",IF(D26="nd",E26/2,E26))</f>
      </c>
      <c r="H26" s="38">
        <f t="shared" si="2"/>
      </c>
      <c r="I26"/>
      <c r="K26" s="29">
        <f t="shared" si="3"/>
      </c>
      <c r="L26" s="38">
        <f>IF(J26=0,"",IF(I26="nd",J26/2,J26))</f>
      </c>
      <c r="M26" s="29">
        <f t="shared" si="4"/>
      </c>
      <c r="P26" s="38">
        <f t="shared" si="5"/>
      </c>
      <c r="Q26" s="38">
        <f>IF(O26=0,"",IF(N26="nd",O26/2,O26))</f>
      </c>
      <c r="R26" s="38">
        <f t="shared" si="6"/>
      </c>
    </row>
    <row r="27" spans="1:18" ht="12.75">
      <c r="A27" s="24"/>
      <c r="B27" s="24" t="s">
        <v>38</v>
      </c>
      <c r="C27" s="26">
        <v>0.1</v>
      </c>
      <c r="D27" t="s">
        <v>97</v>
      </c>
      <c r="E27">
        <v>2.8</v>
      </c>
      <c r="F27" s="38">
        <f t="shared" si="0"/>
        <v>0.27999999999999997</v>
      </c>
      <c r="G27" s="38">
        <f t="shared" si="1"/>
        <v>1.4</v>
      </c>
      <c r="H27" s="38">
        <f t="shared" si="2"/>
        <v>0.13999999999999999</v>
      </c>
      <c r="I27" t="s">
        <v>97</v>
      </c>
      <c r="J27">
        <v>3.1</v>
      </c>
      <c r="K27" s="29">
        <f t="shared" si="3"/>
        <v>0.31000000000000005</v>
      </c>
      <c r="L27" s="38">
        <f t="shared" si="7"/>
        <v>1.55</v>
      </c>
      <c r="M27" s="29">
        <f t="shared" si="4"/>
        <v>0.15500000000000003</v>
      </c>
      <c r="N27" t="s">
        <v>97</v>
      </c>
      <c r="O27">
        <v>4.8</v>
      </c>
      <c r="P27" s="38">
        <f t="shared" si="5"/>
        <v>0.48</v>
      </c>
      <c r="Q27" s="38">
        <f t="shared" si="8"/>
        <v>2.4</v>
      </c>
      <c r="R27" s="38">
        <f t="shared" si="6"/>
        <v>0.24</v>
      </c>
    </row>
    <row r="28" spans="1:18" ht="12.75">
      <c r="A28" s="24"/>
      <c r="B28" s="24" t="s">
        <v>39</v>
      </c>
      <c r="C28" s="26">
        <v>0.1</v>
      </c>
      <c r="D28" t="s">
        <v>97</v>
      </c>
      <c r="E28">
        <v>2.3</v>
      </c>
      <c r="F28" s="38">
        <f t="shared" si="0"/>
        <v>0.22999999999999998</v>
      </c>
      <c r="G28" s="38">
        <f t="shared" si="1"/>
        <v>1.15</v>
      </c>
      <c r="H28" s="38">
        <f t="shared" si="2"/>
        <v>0.11499999999999999</v>
      </c>
      <c r="I28" t="s">
        <v>97</v>
      </c>
      <c r="J28">
        <v>2.5</v>
      </c>
      <c r="K28" s="29">
        <f t="shared" si="3"/>
        <v>0.25</v>
      </c>
      <c r="L28" s="38">
        <f t="shared" si="7"/>
        <v>1.25</v>
      </c>
      <c r="M28" s="29">
        <f t="shared" si="4"/>
        <v>0.125</v>
      </c>
      <c r="N28" t="s">
        <v>97</v>
      </c>
      <c r="O28">
        <v>3.9</v>
      </c>
      <c r="P28" s="38">
        <f t="shared" si="5"/>
        <v>0.39</v>
      </c>
      <c r="Q28" s="38">
        <f t="shared" si="8"/>
        <v>1.95</v>
      </c>
      <c r="R28" s="38">
        <f t="shared" si="6"/>
        <v>0.195</v>
      </c>
    </row>
    <row r="29" spans="1:18" ht="12.75">
      <c r="A29" s="24"/>
      <c r="B29" s="24" t="s">
        <v>40</v>
      </c>
      <c r="C29" s="26">
        <v>0.1</v>
      </c>
      <c r="D29" t="s">
        <v>97</v>
      </c>
      <c r="E29">
        <v>3.1</v>
      </c>
      <c r="F29" s="38">
        <f t="shared" si="0"/>
        <v>0.31000000000000005</v>
      </c>
      <c r="G29" s="38">
        <f t="shared" si="1"/>
        <v>1.55</v>
      </c>
      <c r="H29" s="38">
        <f t="shared" si="2"/>
        <v>0.15500000000000003</v>
      </c>
      <c r="I29" t="s">
        <v>97</v>
      </c>
      <c r="J29">
        <v>3.4</v>
      </c>
      <c r="K29" s="29">
        <f t="shared" si="3"/>
        <v>0.34</v>
      </c>
      <c r="L29" s="38">
        <f t="shared" si="7"/>
        <v>1.7</v>
      </c>
      <c r="M29" s="29">
        <f t="shared" si="4"/>
        <v>0.17</v>
      </c>
      <c r="N29" t="s">
        <v>97</v>
      </c>
      <c r="O29">
        <v>5.3</v>
      </c>
      <c r="P29" s="38">
        <f t="shared" si="5"/>
        <v>0.53</v>
      </c>
      <c r="Q29" s="38">
        <f t="shared" si="8"/>
        <v>2.65</v>
      </c>
      <c r="R29" s="38">
        <f t="shared" si="6"/>
        <v>0.265</v>
      </c>
    </row>
    <row r="30" spans="1:18" ht="12.75">
      <c r="A30" s="24"/>
      <c r="B30" s="24" t="s">
        <v>41</v>
      </c>
      <c r="C30" s="26">
        <v>0.1</v>
      </c>
      <c r="D30" t="s">
        <v>97</v>
      </c>
      <c r="E30">
        <v>3.1</v>
      </c>
      <c r="F30" s="38">
        <f t="shared" si="0"/>
        <v>0.31000000000000005</v>
      </c>
      <c r="G30" s="38">
        <f t="shared" si="1"/>
        <v>1.55</v>
      </c>
      <c r="H30" s="38">
        <f t="shared" si="2"/>
        <v>0.15500000000000003</v>
      </c>
      <c r="I30" t="s">
        <v>97</v>
      </c>
      <c r="J30">
        <v>3.4</v>
      </c>
      <c r="K30" s="29">
        <f t="shared" si="3"/>
        <v>0.34</v>
      </c>
      <c r="L30" s="38">
        <f t="shared" si="7"/>
        <v>1.7</v>
      </c>
      <c r="M30" s="29">
        <f t="shared" si="4"/>
        <v>0.17</v>
      </c>
      <c r="N30" t="s">
        <v>97</v>
      </c>
      <c r="O30">
        <v>5.3</v>
      </c>
      <c r="P30" s="38">
        <f t="shared" si="5"/>
        <v>0.53</v>
      </c>
      <c r="Q30" s="38">
        <f t="shared" si="8"/>
        <v>2.65</v>
      </c>
      <c r="R30" s="38">
        <f t="shared" si="6"/>
        <v>0.265</v>
      </c>
    </row>
    <row r="31" spans="1:18" ht="12.75">
      <c r="A31" s="24"/>
      <c r="B31" s="24" t="s">
        <v>94</v>
      </c>
      <c r="C31" s="26">
        <v>0</v>
      </c>
      <c r="F31" s="38">
        <f t="shared" si="0"/>
      </c>
      <c r="G31" s="38">
        <f>IF(E31=0,"",IF(D31="nd",E31/2,E31))</f>
      </c>
      <c r="H31" s="38">
        <f t="shared" si="2"/>
      </c>
      <c r="I31"/>
      <c r="K31" s="29">
        <f t="shared" si="3"/>
      </c>
      <c r="L31" s="38">
        <f>IF(J31=0,"",IF(I31="nd",J31/2,J31))</f>
      </c>
      <c r="M31" s="29">
        <f t="shared" si="4"/>
      </c>
      <c r="P31" s="38">
        <f t="shared" si="5"/>
      </c>
      <c r="Q31" s="38">
        <f>IF(O31=0,"",IF(N31="nd",O31/2,O31))</f>
      </c>
      <c r="R31" s="38">
        <f t="shared" si="6"/>
      </c>
    </row>
    <row r="32" spans="1:18" ht="12.75">
      <c r="A32" s="24"/>
      <c r="B32" s="24" t="s">
        <v>42</v>
      </c>
      <c r="C32" s="26">
        <v>0.01</v>
      </c>
      <c r="D32" t="s">
        <v>97</v>
      </c>
      <c r="E32">
        <v>7.7</v>
      </c>
      <c r="F32" s="38">
        <f t="shared" si="0"/>
        <v>0.077</v>
      </c>
      <c r="G32" s="38">
        <f t="shared" si="1"/>
        <v>3.85</v>
      </c>
      <c r="H32" s="38">
        <f t="shared" si="2"/>
        <v>0.0385</v>
      </c>
      <c r="I32" t="s">
        <v>97</v>
      </c>
      <c r="J32">
        <v>12</v>
      </c>
      <c r="K32" s="29">
        <f t="shared" si="3"/>
        <v>0.12</v>
      </c>
      <c r="L32" s="38">
        <f t="shared" si="7"/>
        <v>6</v>
      </c>
      <c r="M32" s="29">
        <f t="shared" si="4"/>
        <v>0.06</v>
      </c>
      <c r="N32" t="s">
        <v>97</v>
      </c>
      <c r="O32">
        <v>8</v>
      </c>
      <c r="P32" s="38">
        <f t="shared" si="5"/>
        <v>0.08</v>
      </c>
      <c r="Q32" s="38">
        <f t="shared" si="8"/>
        <v>4</v>
      </c>
      <c r="R32" s="38">
        <f t="shared" si="6"/>
        <v>0.04</v>
      </c>
    </row>
    <row r="33" spans="1:18" ht="12.75">
      <c r="A33" s="24"/>
      <c r="B33" s="24" t="s">
        <v>43</v>
      </c>
      <c r="C33" s="26">
        <v>0.01</v>
      </c>
      <c r="D33" t="s">
        <v>97</v>
      </c>
      <c r="E33">
        <v>8.9</v>
      </c>
      <c r="F33" s="38">
        <f t="shared" si="0"/>
        <v>0.08900000000000001</v>
      </c>
      <c r="G33" s="38">
        <f t="shared" si="1"/>
        <v>4.45</v>
      </c>
      <c r="H33" s="38">
        <f t="shared" si="2"/>
        <v>0.044500000000000005</v>
      </c>
      <c r="I33" t="s">
        <v>97</v>
      </c>
      <c r="J33">
        <v>14</v>
      </c>
      <c r="K33" s="29">
        <f t="shared" si="3"/>
        <v>0.14</v>
      </c>
      <c r="L33" s="38">
        <f t="shared" si="7"/>
        <v>7</v>
      </c>
      <c r="M33" s="29">
        <f t="shared" si="4"/>
        <v>0.07</v>
      </c>
      <c r="N33" t="s">
        <v>97</v>
      </c>
      <c r="O33">
        <v>9.3</v>
      </c>
      <c r="P33" s="38">
        <f t="shared" si="5"/>
        <v>0.09300000000000001</v>
      </c>
      <c r="Q33" s="38">
        <f t="shared" si="8"/>
        <v>4.65</v>
      </c>
      <c r="R33" s="38">
        <f t="shared" si="6"/>
        <v>0.04650000000000001</v>
      </c>
    </row>
    <row r="34" spans="1:18" ht="12.75">
      <c r="A34" s="24"/>
      <c r="B34" s="24" t="s">
        <v>95</v>
      </c>
      <c r="C34" s="26">
        <v>0</v>
      </c>
      <c r="F34" s="38">
        <f t="shared" si="0"/>
      </c>
      <c r="G34" s="38">
        <f>IF(E34=0,"",IF(D34="nd",E34/2,E34))</f>
      </c>
      <c r="H34" s="38">
        <f t="shared" si="2"/>
      </c>
      <c r="I34"/>
      <c r="K34" s="29">
        <f t="shared" si="3"/>
      </c>
      <c r="L34" s="38">
        <f>IF(J34=0,"",IF(I34="nd",J34/2,J34))</f>
      </c>
      <c r="M34" s="29">
        <f t="shared" si="4"/>
      </c>
      <c r="P34" s="38">
        <f t="shared" si="5"/>
      </c>
      <c r="Q34" s="38">
        <f>IF(O34=0,"",IF(N34="nd",O34/2,O34))</f>
      </c>
      <c r="R34" s="38">
        <f t="shared" si="6"/>
      </c>
    </row>
    <row r="35" spans="1:18" ht="12.75">
      <c r="A35" s="24"/>
      <c r="B35" s="24" t="s">
        <v>44</v>
      </c>
      <c r="C35" s="26">
        <v>0.001</v>
      </c>
      <c r="E35">
        <v>7.4</v>
      </c>
      <c r="F35" s="38">
        <f t="shared" si="0"/>
        <v>0.0074</v>
      </c>
      <c r="G35" s="38">
        <f t="shared" si="1"/>
        <v>7.4</v>
      </c>
      <c r="H35" s="38">
        <f t="shared" si="2"/>
        <v>0.0074</v>
      </c>
      <c r="I35" t="s">
        <v>97</v>
      </c>
      <c r="J35">
        <v>40</v>
      </c>
      <c r="K35" s="29">
        <f t="shared" si="3"/>
        <v>0.04</v>
      </c>
      <c r="L35" s="38">
        <f t="shared" si="7"/>
        <v>20</v>
      </c>
      <c r="M35" s="29">
        <f t="shared" si="4"/>
        <v>0.02</v>
      </c>
      <c r="N35" t="s">
        <v>97</v>
      </c>
      <c r="O35">
        <v>17</v>
      </c>
      <c r="P35" s="38">
        <f t="shared" si="5"/>
        <v>0.017</v>
      </c>
      <c r="Q35" s="38">
        <f t="shared" si="8"/>
        <v>8.5</v>
      </c>
      <c r="R35" s="38">
        <f t="shared" si="6"/>
        <v>0.0085</v>
      </c>
    </row>
    <row r="36" spans="1:18" ht="12.75">
      <c r="A36" s="24"/>
      <c r="B36" s="24"/>
      <c r="C36" s="24"/>
      <c r="D36" s="24"/>
      <c r="E36" s="29"/>
      <c r="F36" s="33"/>
      <c r="G36" s="29"/>
      <c r="H36" s="33"/>
      <c r="I36" s="51"/>
      <c r="J36" s="9"/>
      <c r="K36" s="27"/>
      <c r="L36" s="27"/>
      <c r="M36" s="27"/>
      <c r="N36" s="29"/>
      <c r="O36" s="9"/>
      <c r="P36" s="32"/>
      <c r="Q36" s="29"/>
      <c r="R36" s="32"/>
    </row>
    <row r="37" spans="1:18" ht="12.75">
      <c r="A37" s="24"/>
      <c r="B37" s="24" t="s">
        <v>45</v>
      </c>
      <c r="C37" s="24"/>
      <c r="D37" s="24"/>
      <c r="F37" s="29">
        <v>169.593</v>
      </c>
      <c r="G37" s="29">
        <v>169.593</v>
      </c>
      <c r="H37" s="29">
        <v>169.593</v>
      </c>
      <c r="I37"/>
      <c r="K37">
        <v>171.361</v>
      </c>
      <c r="L37">
        <v>171.361</v>
      </c>
      <c r="M37">
        <v>171.361</v>
      </c>
      <c r="P37">
        <v>171.405</v>
      </c>
      <c r="Q37">
        <v>171.405</v>
      </c>
      <c r="R37">
        <v>171.405</v>
      </c>
    </row>
    <row r="38" spans="1:18" ht="12.75">
      <c r="A38" s="24"/>
      <c r="B38" s="24" t="s">
        <v>56</v>
      </c>
      <c r="C38" s="24"/>
      <c r="D38" s="24"/>
      <c r="F38" s="29">
        <v>9.28</v>
      </c>
      <c r="G38" s="29">
        <v>9.28</v>
      </c>
      <c r="H38" s="29">
        <v>9.28</v>
      </c>
      <c r="I38"/>
      <c r="K38">
        <v>9.08</v>
      </c>
      <c r="L38">
        <v>9.08</v>
      </c>
      <c r="M38">
        <v>9.08</v>
      </c>
      <c r="P38">
        <v>9.28</v>
      </c>
      <c r="Q38">
        <v>9.28</v>
      </c>
      <c r="R38">
        <v>9.28</v>
      </c>
    </row>
    <row r="39" spans="1:18" ht="12.75">
      <c r="A39" s="24"/>
      <c r="B39" s="24"/>
      <c r="C39" s="24"/>
      <c r="D39" s="24"/>
      <c r="E39" s="29"/>
      <c r="F39" s="9"/>
      <c r="G39" s="29"/>
      <c r="H39" s="9"/>
      <c r="I39" s="45"/>
      <c r="J39" s="29"/>
      <c r="K39" s="30"/>
      <c r="L39" s="27"/>
      <c r="M39" s="30"/>
      <c r="N39" s="29"/>
      <c r="O39" s="29"/>
      <c r="P39" s="29"/>
      <c r="Q39" s="29"/>
      <c r="R39" s="29"/>
    </row>
    <row r="40" spans="1:18" ht="12.75">
      <c r="A40" s="24"/>
      <c r="B40" s="24" t="s">
        <v>96</v>
      </c>
      <c r="C40" s="33"/>
      <c r="D40" s="33"/>
      <c r="E40" s="27"/>
      <c r="F40" s="28">
        <f>SUM(F11:F35)/1000</f>
        <v>0.012450400000000002</v>
      </c>
      <c r="G40" s="27"/>
      <c r="H40" s="28">
        <f>SUM(H11:H35)/1000</f>
        <v>0.006309900000000001</v>
      </c>
      <c r="I40" s="35"/>
      <c r="J40" s="27"/>
      <c r="K40" s="28">
        <f>SUM(K11:K35)/1000</f>
        <v>0.025850999999999996</v>
      </c>
      <c r="L40" s="27"/>
      <c r="M40" s="28">
        <f>SUM(M11:M35)/1000</f>
        <v>0.013045999999999997</v>
      </c>
      <c r="N40" s="33"/>
      <c r="O40" s="29"/>
      <c r="P40" s="29">
        <f>SUM(P11:P35)/1000</f>
        <v>0.018225000000000005</v>
      </c>
      <c r="Q40" s="27"/>
      <c r="R40" s="29">
        <f>SUM(R11:R35)/1000</f>
        <v>0.00923</v>
      </c>
    </row>
    <row r="41" spans="1:18" ht="12.75">
      <c r="A41" s="24"/>
      <c r="B41" s="24" t="s">
        <v>46</v>
      </c>
      <c r="C41" s="33"/>
      <c r="D41" s="27">
        <f>(F41-H41)*2/F41*100</f>
        <v>98.63940114373835</v>
      </c>
      <c r="E41" s="29"/>
      <c r="F41" s="33">
        <f>(F40/F37/0.0283*(21-7)/(21-F38))</f>
        <v>0.0030987701959198544</v>
      </c>
      <c r="G41" s="33"/>
      <c r="H41" s="33">
        <f>(H40/H37/0.0283*(21-7)/(21-H38))</f>
        <v>0.0015704660138818585</v>
      </c>
      <c r="I41" s="27">
        <f>(K41-M41)*2/K41*100</f>
        <v>99.06773432362384</v>
      </c>
      <c r="J41" s="33"/>
      <c r="K41" s="33">
        <f>K40/K37/0.0283*(21-7)/(21-K38)</f>
        <v>0.0062608125993262155</v>
      </c>
      <c r="L41" s="33"/>
      <c r="M41" s="33">
        <f>M40/M37/0.0283*(21-7)/(21-M38)</f>
        <v>0.003159590003125984</v>
      </c>
      <c r="N41" s="27">
        <f>(P41-R41)*2/P41*100</f>
        <v>98.71056241426615</v>
      </c>
      <c r="O41" s="33"/>
      <c r="P41" s="33">
        <f>P40/P37/0.0283*(21-7)/(21-P38)</f>
        <v>0.004488053641825034</v>
      </c>
      <c r="Q41" s="33"/>
      <c r="R41" s="33">
        <f>R40/R37/0.0283*(21-7)/(21-R38)</f>
        <v>0.0022729621461753113</v>
      </c>
    </row>
    <row r="42" spans="1:18" ht="12.75">
      <c r="A42" s="24"/>
      <c r="B42" s="24"/>
      <c r="C42" s="24"/>
      <c r="D42" s="24"/>
      <c r="E42" s="28"/>
      <c r="F42" s="33"/>
      <c r="G42" s="28"/>
      <c r="H42" s="33"/>
      <c r="I42" s="52"/>
      <c r="J42" s="28"/>
      <c r="K42" s="28"/>
      <c r="L42" s="28"/>
      <c r="M42" s="28"/>
      <c r="N42" s="28"/>
      <c r="O42" s="28"/>
      <c r="P42" s="32"/>
      <c r="Q42" s="28"/>
      <c r="R42" s="32"/>
    </row>
    <row r="43" spans="1:18" ht="12.75">
      <c r="A43" s="29"/>
      <c r="B43" s="24" t="s">
        <v>57</v>
      </c>
      <c r="C43" s="33">
        <f>AVERAGE(H41,M41,R41)</f>
        <v>0.002334339387727718</v>
      </c>
      <c r="D43" s="29"/>
      <c r="E43" s="29"/>
      <c r="F43" s="33"/>
      <c r="G43" s="29"/>
      <c r="H43" s="33"/>
      <c r="I43" s="51"/>
      <c r="J43" s="29"/>
      <c r="K43" s="29"/>
      <c r="L43" s="29"/>
      <c r="M43" s="29"/>
      <c r="N43" s="29"/>
      <c r="O43" s="29"/>
      <c r="P43" s="32"/>
      <c r="Q43" s="29"/>
      <c r="R43" s="32"/>
    </row>
    <row r="44" spans="1:18" ht="12.75">
      <c r="A44" s="24"/>
      <c r="B44" s="24" t="s">
        <v>58</v>
      </c>
      <c r="C44" s="33"/>
      <c r="D44" s="24"/>
      <c r="E44" s="32"/>
      <c r="F44" s="33"/>
      <c r="G44" s="32"/>
      <c r="H44" s="33"/>
      <c r="I44" s="36"/>
      <c r="J44" s="32"/>
      <c r="K44" s="32"/>
      <c r="L44" s="32"/>
      <c r="M44" s="32"/>
      <c r="N44" s="32"/>
      <c r="O44" s="32"/>
      <c r="P44" s="32"/>
      <c r="Q44" s="32"/>
      <c r="R44" s="32"/>
    </row>
    <row r="46" ht="12.75">
      <c r="B46" s="3" t="s">
        <v>157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2004-02-24T16:44:22Z</cp:lastPrinted>
  <dcterms:created xsi:type="dcterms:W3CDTF">2000-01-10T00:44:42Z</dcterms:created>
  <dcterms:modified xsi:type="dcterms:W3CDTF">2004-02-24T16:46:39Z</dcterms:modified>
  <cp:category/>
  <cp:version/>
  <cp:contentType/>
  <cp:contentStatus/>
</cp:coreProperties>
</file>