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9720" windowHeight="6495" tabRatio="747" activeTab="0"/>
  </bookViews>
  <sheets>
    <sheet name="BART Calculator" sheetId="1" r:id="rId1"/>
  </sheets>
  <definedNames>
    <definedName name="_xlnm.Print_Area" localSheetId="0">'BART Calculator'!$A$1:$L$104</definedName>
    <definedName name="_xlnm.Print_Titles" localSheetId="0">'BART Calculator'!$1:$10</definedName>
  </definedNames>
  <calcPr fullCalcOnLoad="1"/>
</workbook>
</file>

<file path=xl/sharedStrings.xml><?xml version="1.0" encoding="utf-8"?>
<sst xmlns="http://schemas.openxmlformats.org/spreadsheetml/2006/main" count="214" uniqueCount="140">
  <si>
    <t>2018 Emissions (Current Controls)</t>
  </si>
  <si>
    <t>2018 Emissions (Achievable Controls)</t>
  </si>
  <si>
    <t>Emission Reductions due to Achievable Controls</t>
  </si>
  <si>
    <t>Unit</t>
  </si>
  <si>
    <t>2018 Capacity Factor</t>
  </si>
  <si>
    <t>Achievable Control Efficiency</t>
  </si>
  <si>
    <t>AEPCO Apache - Unit 2</t>
  </si>
  <si>
    <t>AEPCO Apache - Unit 3</t>
  </si>
  <si>
    <t>Arizona Public Service, Cholla - Unit 2</t>
  </si>
  <si>
    <t>Arizona Public Service, Cholla - Unit 3</t>
  </si>
  <si>
    <t>Arizona Public Service, Cholla - Unit 4</t>
  </si>
  <si>
    <t>Chemical Lime - Nelson:  Kiln 1</t>
  </si>
  <si>
    <t>Chemical Lime - Nelson:  Kiln 2</t>
  </si>
  <si>
    <t>Chemical Lime - Douglas:  Kiln 4</t>
  </si>
  <si>
    <t>Chemical Lime - Douglas:  Kiln 5</t>
  </si>
  <si>
    <t>Chemical Lime - Douglas:  Kiln 6</t>
  </si>
  <si>
    <t>SRP - Coronado UB1</t>
  </si>
  <si>
    <t>SRP - Coronado UB2</t>
  </si>
  <si>
    <t>Conoco Inc. - Denver; FCC Unit Regenerator</t>
  </si>
  <si>
    <t>Colorado Springs Utilities - Drake #5</t>
  </si>
  <si>
    <t>Colorado Springs Utilities - Drake #6</t>
  </si>
  <si>
    <t>Colorado Springs Utilities - Drake #7</t>
  </si>
  <si>
    <t>Colorado Springs Utilities - Nixon #1</t>
  </si>
  <si>
    <t>Holnam Portland Cement #3</t>
  </si>
  <si>
    <t>Tristate Generation - Craig #1</t>
  </si>
  <si>
    <t>Tristate Generation - Craig #2</t>
  </si>
  <si>
    <t>Public Service CO - Comanche #1</t>
  </si>
  <si>
    <t>Public Service CO - Comanche #2</t>
  </si>
  <si>
    <t>Tri-Gen Energy - #4</t>
  </si>
  <si>
    <t>Tri-Gen Energy - #5</t>
  </si>
  <si>
    <t>1996-98 Average Emissions</t>
  </si>
  <si>
    <t>PNM, San Juan, Boiler #1</t>
  </si>
  <si>
    <t>PNM, San Juan, Boiler #2</t>
  </si>
  <si>
    <t>PNM, San Juan, Boiler #3</t>
  </si>
  <si>
    <t>PNM, San Juan, Boiler #4</t>
  </si>
  <si>
    <t>Phelps Dodge, Hidalgo Smelter</t>
  </si>
  <si>
    <t>Giant Refining, Ciniza Refinery, 4 B&amp;W CO boiler</t>
  </si>
  <si>
    <t>Raton Public Service, Raton Pwr. Plt., 1 Erie</t>
  </si>
  <si>
    <t>El Paso Electric, Rio Grande Gen. Sta., 3</t>
  </si>
  <si>
    <t>PacifiCorp-Huntington Plant Unit#1</t>
  </si>
  <si>
    <t>PacifiCorp-Huntington Unit #2</t>
  </si>
  <si>
    <t xml:space="preserve">PacifiCorp-Hunter Unit #1 </t>
  </si>
  <si>
    <t>PacifiCorp-Hunter Unit #2</t>
  </si>
  <si>
    <t>Pacificorp Wyodak Coal Power Plant (U1)</t>
  </si>
  <si>
    <t>Black Hills Neil Simpson Coal Power Plant (U1)</t>
  </si>
  <si>
    <t>Pacificorp Naughton Coal Power Plant (U1)</t>
  </si>
  <si>
    <t>Pacificorp Naughton Coal Power Plant (U2)</t>
  </si>
  <si>
    <t>Pacificorp Naughton Coal Power Plant (U3)</t>
  </si>
  <si>
    <t>Pacificorp Dave Johnston Coal Power Plant (U3)</t>
  </si>
  <si>
    <t>Pacificorp Dave Johnston Coal Power Plant (U4)</t>
  </si>
  <si>
    <t>Pacificorp Jim Bridger Coal Power Plant (U1)</t>
  </si>
  <si>
    <t>Pacificorp Jim Bridger Coal Power Plant (U2)</t>
  </si>
  <si>
    <t>Pacificorp Jim Bridger Coal Power Plant (U3)</t>
  </si>
  <si>
    <t>Pacificorp Jim Bridger Coal Power Plant (U4)</t>
  </si>
  <si>
    <t>Basin Electric Laramie River Coal Power Plant (U1)</t>
  </si>
  <si>
    <t>Basin Electric Laramie River Coal Power Plant (U2)</t>
  </si>
  <si>
    <t>Basin Electric Laramie River Coal Power Plant (U3)</t>
  </si>
  <si>
    <t>Wyoming Refining TCC Feed Heater (H-03)</t>
  </si>
  <si>
    <t>Wyoming Refining TCC Plume Burner (H-05)</t>
  </si>
  <si>
    <t>Little America Oil Refinery #7 Boiler (BL-1415)</t>
  </si>
  <si>
    <t>FMC Corp. Trona Plant NS-1A Coal Boiler</t>
  </si>
  <si>
    <t>FMC Corp. Trona Plant NS-1B Coal Boiler</t>
  </si>
  <si>
    <t>General Chemical Trona Plant GR-2-L Coal Boiler</t>
  </si>
  <si>
    <t>General Chemical Trona Plant GR-3-W Coal Boiler</t>
  </si>
  <si>
    <t>FMC - Granger (Tg) Trona Plant #1 Coal Boiler (14)</t>
  </si>
  <si>
    <t>FMC - Granger (Tg) Trona Plant #2 Coal Boiler (15)</t>
  </si>
  <si>
    <t>Navajo</t>
  </si>
  <si>
    <t>Abitibi , Snowflake Division; #1 power boiler</t>
  </si>
  <si>
    <t>Abitibi , Snowflake Division; #2 power boiler</t>
  </si>
  <si>
    <t>Abitibi , Snowflake Division; #2 recovery boiler</t>
  </si>
  <si>
    <t>State</t>
  </si>
  <si>
    <t>AZ</t>
  </si>
  <si>
    <t>CO</t>
  </si>
  <si>
    <t>NM</t>
  </si>
  <si>
    <t>Portland General Electric Company - Boardman</t>
  </si>
  <si>
    <t>OR</t>
  </si>
  <si>
    <t>UT</t>
  </si>
  <si>
    <t>WY</t>
  </si>
  <si>
    <t>Giant Industries, Bloomfield Refinery</t>
  </si>
  <si>
    <t>No.</t>
  </si>
  <si>
    <t>1996-98  Capacity Factor</t>
  </si>
  <si>
    <t>Current Control Efficiency</t>
  </si>
  <si>
    <t>AEPCO Apache - Unit 2&amp;3</t>
  </si>
  <si>
    <t>Arizona Public Service, Cholla - Unit 3&amp;4</t>
  </si>
  <si>
    <t>SRP - Coronado Units 1&amp;2</t>
  </si>
  <si>
    <t>Consolidated  Emission Reductions due to Achievable Controls</t>
  </si>
  <si>
    <t>Abitibi , Snowflake Division</t>
  </si>
  <si>
    <t>Conoco Inc. - Denver</t>
  </si>
  <si>
    <t>Colorado Springs Utilities - Drake 5,6,7</t>
  </si>
  <si>
    <t>Tristate Generation - Craig #1&amp;2</t>
  </si>
  <si>
    <t>Public Service CO - Comanche #1&amp;2</t>
  </si>
  <si>
    <t>Tri-Gen Energy - #4&amp;5</t>
  </si>
  <si>
    <t>PNM, San Juan Units 1-4</t>
  </si>
  <si>
    <t>PacifiCorp-Huntington Plant Unit#1&amp;2</t>
  </si>
  <si>
    <t>PacifiCorp-Hunter Unit #1&amp;2</t>
  </si>
  <si>
    <t>Pacificorp Naughton Coal Power Plant Units 1-3</t>
  </si>
  <si>
    <t>Pacificorp Dave Johnston Coal Power Plant Units 3&amp;4</t>
  </si>
  <si>
    <t>Pacificorp Jim Bridger Coal Power Plant Units 1-4</t>
  </si>
  <si>
    <t>Basin Electric Laramie River Coal Power Plant Units 1-3</t>
  </si>
  <si>
    <t>FMC Corp. Trona Plant</t>
  </si>
  <si>
    <t xml:space="preserve">General Chemical Trona Plant </t>
  </si>
  <si>
    <t>Arizona Public Service, 4-Corners, Unit #1-5</t>
  </si>
  <si>
    <t>Source</t>
  </si>
  <si>
    <t>Control Efficiency with New Technology</t>
  </si>
  <si>
    <t>Control Efficiency for Wet Scrubber Upgrade</t>
  </si>
  <si>
    <t>Control Efficiency for Dry Scrubber Upgrade</t>
  </si>
  <si>
    <t>DS</t>
  </si>
  <si>
    <t>Total</t>
  </si>
  <si>
    <t>Southwestern Portland Cement - Raw Material Dryer</t>
  </si>
  <si>
    <t>Southwestern Portland Cement - Kiln</t>
  </si>
  <si>
    <t>Conoco Inc. - Denver; Sulfur Recovery Unit</t>
  </si>
  <si>
    <t>BART Emission Reductions (tons)</t>
  </si>
  <si>
    <t>Arizona Public Service, 4-Corners, Unit #5</t>
  </si>
  <si>
    <t>Arizona Public Service, 4-Corners, Unit #1</t>
  </si>
  <si>
    <t>Arizona Public Service, 4-Corners, Unit #2</t>
  </si>
  <si>
    <t>Arizona Public Service, 4-Corners, Unit #3</t>
  </si>
  <si>
    <t>Arizona Public Service, 4-Corners, Unit #4</t>
  </si>
  <si>
    <t>Notes</t>
  </si>
  <si>
    <t>Tier Above Which No Further Controls</t>
  </si>
  <si>
    <t xml:space="preserve"> Technical assumptions (selected values shown below)</t>
  </si>
  <si>
    <t>Key:  For sources shaded in column A (e.g., rows 6 through 10), we used same assumptions as WRAP calculations.</t>
  </si>
  <si>
    <t>Tier for Assuming a New Scrubber</t>
  </si>
  <si>
    <t>1.  The box in the upper left displays our basic technical assumptions</t>
  </si>
  <si>
    <t>You may test other assumptions by entering different values in Column B,</t>
  </si>
  <si>
    <t xml:space="preserve">and the result will be displayed in the 9th row.  </t>
  </si>
  <si>
    <t>2.  The 1% value for "tier for assuming a new scrubber" means that</t>
  </si>
  <si>
    <t>we assumed new scrubbers only for those sources with no scrubber</t>
  </si>
  <si>
    <t>in place.   If, for example, 70% was entered instead of 1%, all scrubbers</t>
  </si>
  <si>
    <t>achieving less than 70% would be assumed to be replaced with a</t>
  </si>
  <si>
    <t>new scrubber achieving 90%</t>
  </si>
  <si>
    <t>3.  The column labeled "additional criteria" provides two sets of info:</t>
  </si>
  <si>
    <t>(a) whether an existing scrubber is a dry scrubber (there are only 2)</t>
  </si>
  <si>
    <t>(b) the design efficiency in the DOE/EIA data base.  We used this</t>
  </si>
  <si>
    <t>value if greater than the value indicated in the box at the upper left.</t>
  </si>
  <si>
    <t xml:space="preserve"> </t>
  </si>
  <si>
    <t xml:space="preserve"> [For 4 Corners, units 1-3, and Dave Johnston unit 4, which are </t>
  </si>
  <si>
    <t>controlled by Venturi scrubbers, we assumed an achievable efficiency</t>
  </si>
  <si>
    <t>of 85%]</t>
  </si>
  <si>
    <t>Additional criteria</t>
  </si>
  <si>
    <t>Table 4.  Lower End of EPA Range:  Calculation of 170,000 ton SO2 Emission Reduction in 2018.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</si>
</sst>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"/>
    <numFmt numFmtId="167" formatCode="0.00000"/>
    <numFmt numFmtId="168" formatCode="0.000"/>
    <numFmt numFmtId="169" formatCode="#,##0.0"/>
    <numFmt numFmtId="170" formatCode="0.000000"/>
    <numFmt numFmtId="171" formatCode="0.00000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b/>
      <i/>
      <u val="single"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21" applyNumberFormat="1" applyFont="1" applyFill="1" applyBorder="1" applyAlignment="1">
      <alignment horizontal="center"/>
    </xf>
    <xf numFmtId="9" fontId="0" fillId="0" borderId="0" xfId="21" applyNumberFormat="1" applyFill="1" applyBorder="1" applyAlignment="1">
      <alignment horizontal="center"/>
    </xf>
    <xf numFmtId="9" fontId="0" fillId="0" borderId="0" xfId="21" applyNumberFormat="1" applyBorder="1" applyAlignment="1">
      <alignment horizontal="center"/>
    </xf>
    <xf numFmtId="9" fontId="0" fillId="0" borderId="0" xfId="21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21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3" fontId="0" fillId="0" borderId="0" xfId="15" applyNumberFormat="1" applyBorder="1" applyAlignment="1">
      <alignment horizontal="right"/>
    </xf>
    <xf numFmtId="173" fontId="0" fillId="0" borderId="0" xfId="15" applyNumberFormat="1" applyFill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72" fontId="0" fillId="0" borderId="0" xfId="15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0" fillId="0" borderId="0" xfId="21" applyNumberFormat="1" applyFill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3" fillId="0" borderId="1" xfId="2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Alignment="1">
      <alignment vertical="top"/>
    </xf>
    <xf numFmtId="3" fontId="0" fillId="2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/>
    </xf>
    <xf numFmtId="9" fontId="0" fillId="4" borderId="0" xfId="0" applyNumberForma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 horizontal="center"/>
    </xf>
    <xf numFmtId="173" fontId="8" fillId="0" borderId="4" xfId="21" applyNumberFormat="1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9" fontId="0" fillId="0" borderId="6" xfId="0" applyNumberFormat="1" applyFont="1" applyBorder="1" applyAlignment="1">
      <alignment horizontal="left" vertical="top" wrapText="1" shrinkToFit="1"/>
    </xf>
    <xf numFmtId="0" fontId="0" fillId="0" borderId="7" xfId="0" applyFont="1" applyBorder="1" applyAlignment="1">
      <alignment vertical="top" wrapText="1" shrinkToFit="1"/>
    </xf>
    <xf numFmtId="0" fontId="0" fillId="0" borderId="1" xfId="0" applyFont="1" applyBorder="1" applyAlignment="1">
      <alignment vertical="top" wrapText="1" shrinkToFit="1"/>
    </xf>
    <xf numFmtId="0" fontId="0" fillId="0" borderId="2" xfId="0" applyFont="1" applyBorder="1" applyAlignment="1">
      <alignment vertical="top" wrapText="1" shrinkToFi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5"/>
  <sheetViews>
    <sheetView tabSelected="1" zoomScale="75" zoomScaleNormal="75" workbookViewId="0" topLeftCell="A1">
      <pane xSplit="3" ySplit="10" topLeftCell="D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2.75"/>
  <cols>
    <col min="1" max="1" width="5.140625" style="1" bestFit="1" customWidth="1"/>
    <col min="2" max="2" width="12.00390625" style="1" customWidth="1"/>
    <col min="3" max="3" width="46.28125" style="9" bestFit="1" customWidth="1"/>
    <col min="4" max="4" width="11.7109375" style="18" bestFit="1" customWidth="1"/>
    <col min="5" max="5" width="10.7109375" style="7" customWidth="1"/>
    <col min="6" max="6" width="9.421875" style="10" customWidth="1"/>
    <col min="7" max="7" width="10.8515625" style="10" customWidth="1"/>
    <col min="8" max="8" width="12.57421875" style="10" customWidth="1"/>
    <col min="9" max="9" width="11.7109375" style="10" customWidth="1"/>
    <col min="10" max="10" width="12.421875" style="23" hidden="1" customWidth="1"/>
    <col min="11" max="11" width="13.57421875" style="23" hidden="1" customWidth="1"/>
    <col min="12" max="12" width="12.421875" style="23" customWidth="1"/>
    <col min="13" max="13" width="17.00390625" style="1" customWidth="1"/>
    <col min="14" max="14" width="45.28125" style="9" bestFit="1" customWidth="1"/>
    <col min="15" max="16384" width="9.140625" style="9" customWidth="1"/>
  </cols>
  <sheetData>
    <row r="1" spans="2:13" s="14" customFormat="1" ht="23.25">
      <c r="B1" s="70" t="s">
        <v>139</v>
      </c>
      <c r="C1" s="54"/>
      <c r="E1" s="15"/>
      <c r="F1" s="16"/>
      <c r="G1" s="16"/>
      <c r="H1" s="16"/>
      <c r="I1" s="16"/>
      <c r="J1" s="27"/>
      <c r="K1" s="27"/>
      <c r="L1" s="27"/>
      <c r="M1" s="25"/>
    </row>
    <row r="2" spans="1:13" s="14" customFormat="1" ht="23.25">
      <c r="A2" s="25"/>
      <c r="B2" s="32"/>
      <c r="D2" s="17"/>
      <c r="E2" s="15"/>
      <c r="F2" s="16"/>
      <c r="G2" s="16"/>
      <c r="H2" s="16"/>
      <c r="I2" s="16"/>
      <c r="J2" s="27"/>
      <c r="K2" s="27"/>
      <c r="L2" s="27"/>
      <c r="M2" s="25"/>
    </row>
    <row r="3" spans="2:7" ht="12.75">
      <c r="B3" s="62" t="s">
        <v>119</v>
      </c>
      <c r="C3" s="63"/>
      <c r="E3" s="41"/>
      <c r="F3" s="64" t="s">
        <v>120</v>
      </c>
      <c r="G3" s="65"/>
    </row>
    <row r="4" spans="1:7" ht="12.75">
      <c r="A4" s="37"/>
      <c r="B4" s="33">
        <v>0.9</v>
      </c>
      <c r="C4" s="34" t="s">
        <v>103</v>
      </c>
      <c r="F4" s="66"/>
      <c r="G4" s="67"/>
    </row>
    <row r="5" spans="1:7" ht="12.75">
      <c r="A5" s="37"/>
      <c r="B5" s="33">
        <v>0.8</v>
      </c>
      <c r="C5" s="34" t="s">
        <v>104</v>
      </c>
      <c r="F5" s="66"/>
      <c r="G5" s="67"/>
    </row>
    <row r="6" spans="1:7" ht="12.75">
      <c r="A6" s="37"/>
      <c r="B6" s="33">
        <v>0.85</v>
      </c>
      <c r="C6" s="34" t="s">
        <v>105</v>
      </c>
      <c r="F6" s="66"/>
      <c r="G6" s="67"/>
    </row>
    <row r="7" spans="1:7" ht="12.75">
      <c r="A7" s="37"/>
      <c r="B7" s="33">
        <v>0.85</v>
      </c>
      <c r="C7" s="34" t="s">
        <v>118</v>
      </c>
      <c r="F7" s="66"/>
      <c r="G7" s="67"/>
    </row>
    <row r="8" spans="1:7" ht="12.75">
      <c r="A8" s="37"/>
      <c r="B8" s="33">
        <v>0.01</v>
      </c>
      <c r="C8" s="34" t="s">
        <v>121</v>
      </c>
      <c r="F8" s="68"/>
      <c r="G8" s="69"/>
    </row>
    <row r="9" spans="1:7" ht="15">
      <c r="A9" s="44"/>
      <c r="B9" s="45">
        <f>L84</f>
        <v>168065.59875209333</v>
      </c>
      <c r="C9" s="46" t="s">
        <v>111</v>
      </c>
      <c r="F9" s="35"/>
      <c r="G9" s="35"/>
    </row>
    <row r="10" spans="1:14" s="43" customFormat="1" ht="69.75" customHeight="1">
      <c r="A10" s="26" t="s">
        <v>79</v>
      </c>
      <c r="B10" s="26" t="s">
        <v>70</v>
      </c>
      <c r="C10" s="48" t="s">
        <v>3</v>
      </c>
      <c r="D10" s="49" t="s">
        <v>30</v>
      </c>
      <c r="E10" s="50" t="s">
        <v>80</v>
      </c>
      <c r="F10" s="51" t="s">
        <v>4</v>
      </c>
      <c r="G10" s="51" t="s">
        <v>81</v>
      </c>
      <c r="H10" s="51" t="s">
        <v>138</v>
      </c>
      <c r="I10" s="51" t="s">
        <v>5</v>
      </c>
      <c r="J10" s="52" t="s">
        <v>0</v>
      </c>
      <c r="K10" s="52" t="s">
        <v>1</v>
      </c>
      <c r="L10" s="52" t="s">
        <v>2</v>
      </c>
      <c r="M10" s="53" t="s">
        <v>85</v>
      </c>
      <c r="N10" s="42" t="s">
        <v>102</v>
      </c>
    </row>
    <row r="11" spans="1:14" ht="12.75">
      <c r="A11" s="1">
        <v>1</v>
      </c>
      <c r="B11" s="1" t="s">
        <v>71</v>
      </c>
      <c r="C11" s="12" t="s">
        <v>6</v>
      </c>
      <c r="D11" s="19">
        <v>3148</v>
      </c>
      <c r="E11" s="6">
        <v>0.78</v>
      </c>
      <c r="F11" s="6">
        <v>0.85</v>
      </c>
      <c r="G11" s="6">
        <v>0.425</v>
      </c>
      <c r="H11" s="8">
        <v>0.85</v>
      </c>
      <c r="I11" s="8">
        <f>MAX(MAX(G11,H11),IF(H11="DS",$B$6,IF(G11&gt;=$B$7,G11,IF(G11&lt;$B$8,$B$4,$B$5))))</f>
        <v>0.85</v>
      </c>
      <c r="J11" s="28">
        <f aca="true" t="shared" si="0" ref="J11:J25">IF(D11="","",IF(F11="","",IF(E11="","",D11*F11/E11)))</f>
        <v>3430.51282051282</v>
      </c>
      <c r="K11" s="28">
        <f aca="true" t="shared" si="1" ref="K11:K20">IF(D11="","",IF(E11="","",IF(G11="","",IF(I11="","",D11*F11/E11*(1-I11)/(1-G11)))))</f>
        <v>894.9163879598664</v>
      </c>
      <c r="L11" s="28">
        <f aca="true" t="shared" si="2" ref="L11:L25">IF(J11="","",IF(K11="","",J11-K11))</f>
        <v>2535.5964325529535</v>
      </c>
      <c r="M11" s="2">
        <f>L11+L12</f>
        <v>4692.92458990285</v>
      </c>
      <c r="N11" s="12" t="s">
        <v>82</v>
      </c>
    </row>
    <row r="12" spans="1:12" ht="12.75">
      <c r="A12" s="1">
        <f>A11+1</f>
        <v>2</v>
      </c>
      <c r="B12" s="1" t="s">
        <v>71</v>
      </c>
      <c r="C12" s="12" t="s">
        <v>7</v>
      </c>
      <c r="D12" s="19">
        <v>2403.6666666666665</v>
      </c>
      <c r="E12" s="6">
        <v>0.7</v>
      </c>
      <c r="F12" s="6">
        <v>0.85</v>
      </c>
      <c r="G12" s="6">
        <v>0.425</v>
      </c>
      <c r="H12" s="6">
        <v>0.85</v>
      </c>
      <c r="I12" s="8">
        <f>MAX(MAX(G12,H12),IF(H12="DS",$B$6,IF(G12&gt;=$B$7,G12,IF(G12&lt;$B$8,$B$4,$B$5))))</f>
        <v>0.85</v>
      </c>
      <c r="J12" s="28">
        <f t="shared" si="0"/>
        <v>2918.7380952380954</v>
      </c>
      <c r="K12" s="28">
        <f t="shared" si="1"/>
        <v>761.409937888199</v>
      </c>
      <c r="L12" s="28">
        <f t="shared" si="2"/>
        <v>2157.328157349896</v>
      </c>
    </row>
    <row r="13" spans="1:12" ht="12.75">
      <c r="A13" s="1">
        <f aca="true" t="shared" si="3" ref="A13:A76">A12+1</f>
        <v>3</v>
      </c>
      <c r="B13" s="1" t="s">
        <v>71</v>
      </c>
      <c r="C13" s="12" t="s">
        <v>8</v>
      </c>
      <c r="D13" s="19">
        <v>900.3333333333334</v>
      </c>
      <c r="E13" s="5">
        <v>0.722</v>
      </c>
      <c r="F13" s="6">
        <v>0.85</v>
      </c>
      <c r="G13" s="6">
        <v>0.9</v>
      </c>
      <c r="H13" s="6"/>
      <c r="I13" s="8">
        <f>MAX(MAX(G13,H13),IF(H13="DS",$B$6,IF(G13&gt;=$B$7,G13,IF(G13&lt;$B$8,$B$4,$B$5))))</f>
        <v>0.9</v>
      </c>
      <c r="J13" s="28">
        <f t="shared" si="0"/>
        <v>1059.949215143121</v>
      </c>
      <c r="K13" s="28">
        <f t="shared" si="1"/>
        <v>1059.949215143121</v>
      </c>
      <c r="L13" s="28">
        <f t="shared" si="2"/>
        <v>0</v>
      </c>
    </row>
    <row r="14" spans="1:14" ht="12.75">
      <c r="A14" s="1">
        <f t="shared" si="3"/>
        <v>4</v>
      </c>
      <c r="B14" s="1" t="s">
        <v>71</v>
      </c>
      <c r="C14" s="12" t="s">
        <v>9</v>
      </c>
      <c r="D14" s="19">
        <v>7915.333333333333</v>
      </c>
      <c r="E14" s="5">
        <v>0.802</v>
      </c>
      <c r="F14" s="6">
        <v>0.85</v>
      </c>
      <c r="G14" s="6">
        <v>0</v>
      </c>
      <c r="H14" s="6"/>
      <c r="I14" s="8">
        <f>MAX(MAX(G14,H14),IF(H14="DS",$B$6,IF(G14&gt;=$B$7,G14,IF(G14&lt;$B$8,$B$4,$B$5))))</f>
        <v>0.9</v>
      </c>
      <c r="J14" s="28">
        <f t="shared" si="0"/>
        <v>8389.068994181212</v>
      </c>
      <c r="K14" s="28">
        <f t="shared" si="1"/>
        <v>838.906899418121</v>
      </c>
      <c r="L14" s="28">
        <f t="shared" si="2"/>
        <v>7550.162094763092</v>
      </c>
      <c r="M14" s="2">
        <f>+L14+L15</f>
        <v>13792.540811508006</v>
      </c>
      <c r="N14" s="12" t="s">
        <v>83</v>
      </c>
    </row>
    <row r="15" spans="1:12" ht="12.75">
      <c r="A15" s="1">
        <f t="shared" si="3"/>
        <v>5</v>
      </c>
      <c r="B15" s="1" t="s">
        <v>71</v>
      </c>
      <c r="C15" s="12" t="s">
        <v>10</v>
      </c>
      <c r="D15" s="19">
        <v>6145.333333333333</v>
      </c>
      <c r="E15" s="5">
        <v>0.71</v>
      </c>
      <c r="F15" s="6">
        <v>0.85</v>
      </c>
      <c r="G15" s="6">
        <v>0.34</v>
      </c>
      <c r="H15" s="6">
        <v>0.9</v>
      </c>
      <c r="I15" s="8">
        <f>MAX(MAX(G15,H15),IF(H15="DS",$B$6,IF(G15&gt;=$B$7,G15,IF(G15&lt;$B$8,$B$4,$B$5))))</f>
        <v>0.9</v>
      </c>
      <c r="J15" s="28">
        <f t="shared" si="0"/>
        <v>7357.089201877934</v>
      </c>
      <c r="K15" s="28">
        <f t="shared" si="1"/>
        <v>1114.7104851330203</v>
      </c>
      <c r="L15" s="28">
        <f t="shared" si="2"/>
        <v>6242.378716744914</v>
      </c>
    </row>
    <row r="16" spans="1:12" ht="12.75">
      <c r="A16" s="38">
        <f t="shared" si="3"/>
        <v>6</v>
      </c>
      <c r="B16" s="1" t="s">
        <v>71</v>
      </c>
      <c r="C16" s="39" t="s">
        <v>11</v>
      </c>
      <c r="D16" s="19">
        <v>181.26333333333332</v>
      </c>
      <c r="E16" s="5">
        <v>0.64</v>
      </c>
      <c r="F16" s="6">
        <v>0.64</v>
      </c>
      <c r="G16" s="6">
        <v>0.8</v>
      </c>
      <c r="H16" s="6"/>
      <c r="I16" s="6">
        <v>0.8</v>
      </c>
      <c r="J16" s="28">
        <f t="shared" si="0"/>
        <v>181.26333333333332</v>
      </c>
      <c r="K16" s="28">
        <f t="shared" si="1"/>
        <v>181.26333333333332</v>
      </c>
      <c r="L16" s="28">
        <f t="shared" si="2"/>
        <v>0</v>
      </c>
    </row>
    <row r="17" spans="1:12" ht="12.75">
      <c r="A17" s="38">
        <f t="shared" si="3"/>
        <v>7</v>
      </c>
      <c r="B17" s="1" t="s">
        <v>71</v>
      </c>
      <c r="C17" s="39" t="s">
        <v>12</v>
      </c>
      <c r="D17" s="19">
        <v>274.91</v>
      </c>
      <c r="E17" s="5">
        <v>0.58</v>
      </c>
      <c r="F17" s="6">
        <v>0.58</v>
      </c>
      <c r="G17" s="6">
        <v>0.8</v>
      </c>
      <c r="H17" s="6"/>
      <c r="I17" s="6">
        <v>0.8</v>
      </c>
      <c r="J17" s="28">
        <f t="shared" si="0"/>
        <v>274.91</v>
      </c>
      <c r="K17" s="28">
        <f t="shared" si="1"/>
        <v>274.91</v>
      </c>
      <c r="L17" s="28">
        <f t="shared" si="2"/>
        <v>0</v>
      </c>
    </row>
    <row r="18" spans="1:12" ht="12.75">
      <c r="A18" s="38">
        <f t="shared" si="3"/>
        <v>8</v>
      </c>
      <c r="B18" s="1" t="s">
        <v>71</v>
      </c>
      <c r="C18" s="39" t="s">
        <v>13</v>
      </c>
      <c r="D18" s="19">
        <v>36.716</v>
      </c>
      <c r="E18" s="5">
        <v>0.24</v>
      </c>
      <c r="F18" s="6">
        <v>0.24</v>
      </c>
      <c r="G18" s="6">
        <v>0.8</v>
      </c>
      <c r="H18" s="6"/>
      <c r="I18" s="6">
        <v>0.8</v>
      </c>
      <c r="J18" s="28">
        <f t="shared" si="0"/>
        <v>36.716</v>
      </c>
      <c r="K18" s="28">
        <f t="shared" si="1"/>
        <v>36.716</v>
      </c>
      <c r="L18" s="28">
        <f t="shared" si="2"/>
        <v>0</v>
      </c>
    </row>
    <row r="19" spans="1:12" ht="12.75">
      <c r="A19" s="38">
        <f t="shared" si="3"/>
        <v>9</v>
      </c>
      <c r="B19" s="1" t="s">
        <v>71</v>
      </c>
      <c r="C19" s="39" t="s">
        <v>14</v>
      </c>
      <c r="D19" s="19">
        <v>633.6326666666668</v>
      </c>
      <c r="E19" s="5">
        <v>0.86</v>
      </c>
      <c r="F19" s="6">
        <v>0.86</v>
      </c>
      <c r="G19" s="6">
        <v>0.61</v>
      </c>
      <c r="H19" s="6"/>
      <c r="I19" s="6">
        <v>0.61</v>
      </c>
      <c r="J19" s="28">
        <f t="shared" si="0"/>
        <v>633.6326666666668</v>
      </c>
      <c r="K19" s="28">
        <f t="shared" si="1"/>
        <v>633.6326666666668</v>
      </c>
      <c r="L19" s="28">
        <f t="shared" si="2"/>
        <v>0</v>
      </c>
    </row>
    <row r="20" spans="1:12" ht="12.75">
      <c r="A20" s="38">
        <f t="shared" si="3"/>
        <v>10</v>
      </c>
      <c r="B20" s="1" t="s">
        <v>71</v>
      </c>
      <c r="C20" s="39" t="s">
        <v>15</v>
      </c>
      <c r="D20" s="19">
        <v>0.09833333333333333</v>
      </c>
      <c r="E20" s="5">
        <v>0.77</v>
      </c>
      <c r="F20" s="6">
        <v>0.77</v>
      </c>
      <c r="G20" s="6">
        <v>0</v>
      </c>
      <c r="H20" s="6"/>
      <c r="I20" s="6">
        <v>0</v>
      </c>
      <c r="J20" s="28">
        <f t="shared" si="0"/>
        <v>0.09833333333333333</v>
      </c>
      <c r="K20" s="28">
        <f t="shared" si="1"/>
        <v>0.09833333333333333</v>
      </c>
      <c r="L20" s="28">
        <f t="shared" si="2"/>
        <v>0</v>
      </c>
    </row>
    <row r="21" spans="1:14" ht="12.75">
      <c r="A21" s="1">
        <f t="shared" si="3"/>
        <v>11</v>
      </c>
      <c r="B21" s="1" t="s">
        <v>71</v>
      </c>
      <c r="C21" s="39" t="s">
        <v>16</v>
      </c>
      <c r="D21" s="19">
        <v>8309.333333333334</v>
      </c>
      <c r="E21" s="5">
        <v>0.67</v>
      </c>
      <c r="F21" s="6">
        <v>0.85</v>
      </c>
      <c r="G21" s="6">
        <v>0.66</v>
      </c>
      <c r="H21" s="6">
        <v>0.825</v>
      </c>
      <c r="I21" s="8">
        <f>MAX(MAX(G21,H21),IF(H21="DS",$B$6,IF(G21&gt;=$B$7,G21,IF(G21&lt;$B$8,$B$4,$B$5))))</f>
        <v>0.825</v>
      </c>
      <c r="J21" s="28">
        <f t="shared" si="0"/>
        <v>10541.691542288556</v>
      </c>
      <c r="K21" s="28">
        <f>IF(D21="","",IF(E21="","",IF(G21="","",IF(I21="","",J21*(1-I21)/(1-G21)))))</f>
        <v>5425.8706467661705</v>
      </c>
      <c r="L21" s="28">
        <f t="shared" si="2"/>
        <v>5115.820895522385</v>
      </c>
      <c r="M21" s="2">
        <f>L21+L22</f>
        <v>10322.48756218905</v>
      </c>
      <c r="N21" s="12" t="s">
        <v>84</v>
      </c>
    </row>
    <row r="22" spans="1:12" ht="12.75">
      <c r="A22" s="1">
        <f t="shared" si="3"/>
        <v>12</v>
      </c>
      <c r="B22" s="1" t="s">
        <v>71</v>
      </c>
      <c r="C22" s="39" t="s">
        <v>17</v>
      </c>
      <c r="D22" s="19">
        <v>8709.333333333334</v>
      </c>
      <c r="E22" s="5">
        <v>0.69</v>
      </c>
      <c r="F22" s="6">
        <v>0.85</v>
      </c>
      <c r="G22" s="6">
        <v>0.66</v>
      </c>
      <c r="H22" s="6">
        <v>0.825</v>
      </c>
      <c r="I22" s="8">
        <f>MAX(MAX(G22,H22),IF(H22="DS",$B$6,IF(G22&gt;=$B$7,G22,IF(G22&lt;$B$8,$B$4,$B$5))))</f>
        <v>0.825</v>
      </c>
      <c r="J22" s="28">
        <f t="shared" si="0"/>
        <v>10728.88888888889</v>
      </c>
      <c r="K22" s="28">
        <f aca="true" t="shared" si="4" ref="K22:K27">IF(D22="","",IF(E22="","",IF(G22="","",IF(I22="","",D22*F22/E22*(1-I22)/(1-G22)))))</f>
        <v>5522.222222222225</v>
      </c>
      <c r="L22" s="28">
        <f t="shared" si="2"/>
        <v>5206.666666666665</v>
      </c>
    </row>
    <row r="23" spans="1:12" ht="12.75">
      <c r="A23" s="38">
        <f t="shared" si="3"/>
        <v>13</v>
      </c>
      <c r="B23" s="1" t="s">
        <v>71</v>
      </c>
      <c r="C23" s="39" t="s">
        <v>67</v>
      </c>
      <c r="D23" s="19">
        <v>0.021166666666666667</v>
      </c>
      <c r="E23" s="5">
        <v>0.01</v>
      </c>
      <c r="F23" s="6">
        <v>0.01</v>
      </c>
      <c r="G23" s="6">
        <v>0</v>
      </c>
      <c r="H23" s="6"/>
      <c r="I23" s="8">
        <f>IF(G23&gt;=$B$7,G23,$B$4)</f>
        <v>0.9</v>
      </c>
      <c r="J23" s="28">
        <f t="shared" si="0"/>
        <v>0.021166666666666667</v>
      </c>
      <c r="K23" s="28">
        <f t="shared" si="4"/>
        <v>0.0021166666666666664</v>
      </c>
      <c r="L23" s="28">
        <f t="shared" si="2"/>
        <v>0.01905</v>
      </c>
    </row>
    <row r="24" spans="1:14" ht="12.75">
      <c r="A24" s="38">
        <f t="shared" si="3"/>
        <v>14</v>
      </c>
      <c r="B24" s="1" t="s">
        <v>71</v>
      </c>
      <c r="C24" s="39" t="s">
        <v>68</v>
      </c>
      <c r="D24" s="19">
        <v>1958.6666666666667</v>
      </c>
      <c r="E24" s="5">
        <v>0.83</v>
      </c>
      <c r="F24" s="6">
        <v>0.83</v>
      </c>
      <c r="G24" s="6">
        <v>0.55</v>
      </c>
      <c r="H24" s="6"/>
      <c r="I24" s="8">
        <f>IF(G24&gt;=$B$7,G24,$B$4)</f>
        <v>0.9</v>
      </c>
      <c r="J24" s="28">
        <f t="shared" si="0"/>
        <v>1958.6666666666667</v>
      </c>
      <c r="K24" s="28">
        <f t="shared" si="4"/>
        <v>435.2592592592592</v>
      </c>
      <c r="L24" s="28">
        <f t="shared" si="2"/>
        <v>1523.4074074074076</v>
      </c>
      <c r="M24" s="2">
        <f>L24+L25</f>
        <v>1846.2074074074076</v>
      </c>
      <c r="N24" s="12" t="s">
        <v>86</v>
      </c>
    </row>
    <row r="25" spans="1:12" ht="12.75">
      <c r="A25" s="38">
        <f t="shared" si="3"/>
        <v>15</v>
      </c>
      <c r="B25" s="1" t="s">
        <v>71</v>
      </c>
      <c r="C25" s="39" t="s">
        <v>69</v>
      </c>
      <c r="D25" s="19">
        <v>358.6666666666667</v>
      </c>
      <c r="E25" s="5">
        <v>1</v>
      </c>
      <c r="F25" s="6">
        <v>1</v>
      </c>
      <c r="G25" s="6">
        <v>0</v>
      </c>
      <c r="H25" s="6"/>
      <c r="I25" s="8">
        <f>IF(G25&gt;=$B$7,G25,$B$4)</f>
        <v>0.9</v>
      </c>
      <c r="J25" s="28">
        <f t="shared" si="0"/>
        <v>358.6666666666667</v>
      </c>
      <c r="K25" s="28">
        <f t="shared" si="4"/>
        <v>35.86666666666666</v>
      </c>
      <c r="L25" s="28">
        <f t="shared" si="2"/>
        <v>322.8</v>
      </c>
    </row>
    <row r="26" spans="1:14" ht="12.75">
      <c r="A26" s="38">
        <f t="shared" si="3"/>
        <v>16</v>
      </c>
      <c r="B26" s="1" t="s">
        <v>72</v>
      </c>
      <c r="C26" s="13" t="s">
        <v>18</v>
      </c>
      <c r="D26" s="19">
        <v>912</v>
      </c>
      <c r="E26" s="5">
        <v>1</v>
      </c>
      <c r="F26" s="6">
        <v>1</v>
      </c>
      <c r="G26" s="6">
        <v>0</v>
      </c>
      <c r="H26" s="6"/>
      <c r="I26" s="6">
        <v>0.9</v>
      </c>
      <c r="J26" s="28">
        <f>IF(D26="","",IF(F26="","",IF(E26="","",D26*F26/E26)))</f>
        <v>912</v>
      </c>
      <c r="K26" s="28">
        <f t="shared" si="4"/>
        <v>91.19999999999997</v>
      </c>
      <c r="L26" s="28">
        <f>IF(J26="","",IF(K26="","",J26-K26))</f>
        <v>820.8000000000001</v>
      </c>
      <c r="M26" s="2">
        <f>L26+L27</f>
        <v>1650.1333333333332</v>
      </c>
      <c r="N26" s="9" t="s">
        <v>87</v>
      </c>
    </row>
    <row r="27" spans="1:12" ht="12.75">
      <c r="A27" s="38">
        <f t="shared" si="3"/>
        <v>17</v>
      </c>
      <c r="B27" s="1" t="s">
        <v>72</v>
      </c>
      <c r="C27" s="13" t="s">
        <v>110</v>
      </c>
      <c r="D27" s="19">
        <v>1036.6666666666667</v>
      </c>
      <c r="E27" s="6">
        <v>1</v>
      </c>
      <c r="F27" s="6">
        <v>1</v>
      </c>
      <c r="G27" s="6">
        <v>0.9</v>
      </c>
      <c r="H27" s="6"/>
      <c r="I27" s="6">
        <v>0.98</v>
      </c>
      <c r="J27" s="28">
        <f>IF(D27="","",IF(F27="","",IF(E27="","",D27*F27/E27)))</f>
        <v>1036.6666666666667</v>
      </c>
      <c r="K27" s="28">
        <f t="shared" si="4"/>
        <v>207.33333333333357</v>
      </c>
      <c r="L27" s="28">
        <f>IF(J27="","",IF(K27="","",J27-K27))</f>
        <v>829.3333333333331</v>
      </c>
    </row>
    <row r="28" spans="1:12" ht="12.75">
      <c r="A28" s="38">
        <f t="shared" si="3"/>
        <v>18</v>
      </c>
      <c r="B28" s="1" t="s">
        <v>72</v>
      </c>
      <c r="C28" s="13" t="s">
        <v>108</v>
      </c>
      <c r="D28" s="19">
        <v>32</v>
      </c>
      <c r="E28" s="6">
        <v>1</v>
      </c>
      <c r="F28" s="6">
        <v>1</v>
      </c>
      <c r="G28" s="6">
        <v>0</v>
      </c>
      <c r="H28" s="6"/>
      <c r="I28" s="6">
        <v>0</v>
      </c>
      <c r="J28" s="28">
        <f aca="true" t="shared" si="5" ref="J28:J38">IF(D28="","",IF(F28="","",IF(E28="","",D28*F28/E28)))</f>
        <v>32</v>
      </c>
      <c r="K28" s="28">
        <f aca="true" t="shared" si="6" ref="K28:K38">IF(D28="","",IF(E28="","",IF(G28="","",IF(I28="","",D28*F28/E28*(1-I28)/(1-G28)))))</f>
        <v>32</v>
      </c>
      <c r="L28" s="28">
        <f aca="true" t="shared" si="7" ref="L28:L38">IF(J28="","",IF(K28="","",J28-K28))</f>
        <v>0</v>
      </c>
    </row>
    <row r="29" spans="1:12" ht="12.75">
      <c r="A29" s="38">
        <f t="shared" si="3"/>
        <v>19</v>
      </c>
      <c r="B29" s="1" t="s">
        <v>72</v>
      </c>
      <c r="C29" s="13" t="s">
        <v>109</v>
      </c>
      <c r="D29" s="19">
        <v>128</v>
      </c>
      <c r="E29" s="6">
        <v>1</v>
      </c>
      <c r="F29" s="6">
        <v>1</v>
      </c>
      <c r="G29" s="6">
        <v>0</v>
      </c>
      <c r="H29" s="6"/>
      <c r="I29" s="6">
        <v>0</v>
      </c>
      <c r="J29" s="28">
        <f t="shared" si="5"/>
        <v>128</v>
      </c>
      <c r="K29" s="28">
        <f t="shared" si="6"/>
        <v>128</v>
      </c>
      <c r="L29" s="28">
        <f t="shared" si="7"/>
        <v>0</v>
      </c>
    </row>
    <row r="30" spans="1:14" ht="12.75">
      <c r="A30" s="1">
        <f t="shared" si="3"/>
        <v>20</v>
      </c>
      <c r="B30" s="1" t="s">
        <v>72</v>
      </c>
      <c r="C30" s="13" t="s">
        <v>19</v>
      </c>
      <c r="D30" s="19">
        <v>606.3333333333334</v>
      </c>
      <c r="E30" s="6">
        <v>0.3</v>
      </c>
      <c r="F30" s="6">
        <v>0.85</v>
      </c>
      <c r="G30" s="6">
        <v>0</v>
      </c>
      <c r="H30" s="6"/>
      <c r="I30" s="8">
        <f>MAX(MAX(G30,H30),IF(H30="DS",$B$6,IF(G30&gt;=$B$7,G30,IF(G30&lt;$B$8,$B$4,$B$5))))</f>
        <v>0.9</v>
      </c>
      <c r="J30" s="28">
        <f t="shared" si="5"/>
        <v>1717.9444444444446</v>
      </c>
      <c r="K30" s="28">
        <f t="shared" si="6"/>
        <v>171.79444444444442</v>
      </c>
      <c r="L30" s="28">
        <f t="shared" si="7"/>
        <v>1546.15</v>
      </c>
      <c r="M30" s="2">
        <f>SUM(L30:L32)</f>
        <v>7438.2794466403175</v>
      </c>
      <c r="N30" s="9" t="s">
        <v>88</v>
      </c>
    </row>
    <row r="31" spans="1:12" ht="12.75">
      <c r="A31" s="1">
        <f t="shared" si="3"/>
        <v>21</v>
      </c>
      <c r="B31" s="1" t="s">
        <v>72</v>
      </c>
      <c r="C31" s="13" t="s">
        <v>20</v>
      </c>
      <c r="D31" s="19">
        <v>1939</v>
      </c>
      <c r="E31" s="6">
        <v>0.66</v>
      </c>
      <c r="F31" s="6">
        <v>0.85</v>
      </c>
      <c r="G31" s="6">
        <v>0</v>
      </c>
      <c r="H31" s="6"/>
      <c r="I31" s="8">
        <f>MAX(MAX(G31,H31),IF(H31="DS",$B$6,IF(G31&gt;=$B$7,G31,IF(G31&lt;$B$8,$B$4,$B$5))))</f>
        <v>0.9</v>
      </c>
      <c r="J31" s="28">
        <f t="shared" si="5"/>
        <v>2497.1969696969695</v>
      </c>
      <c r="K31" s="28">
        <f t="shared" si="6"/>
        <v>249.71969696969688</v>
      </c>
      <c r="L31" s="28">
        <f t="shared" si="7"/>
        <v>2247.4772727272725</v>
      </c>
    </row>
    <row r="32" spans="1:12" ht="12.75">
      <c r="A32" s="1">
        <f t="shared" si="3"/>
        <v>22</v>
      </c>
      <c r="B32" s="1" t="s">
        <v>72</v>
      </c>
      <c r="C32" s="13" t="s">
        <v>21</v>
      </c>
      <c r="D32" s="19">
        <v>3287.3333333333335</v>
      </c>
      <c r="E32" s="6">
        <v>0.69</v>
      </c>
      <c r="F32" s="6">
        <v>0.85</v>
      </c>
      <c r="G32" s="6">
        <v>0</v>
      </c>
      <c r="H32" s="6"/>
      <c r="I32" s="8">
        <f>MAX(MAX(G32,H32),IF(H32="DS",$B$6,IF(G32&gt;=$B$7,G32,IF(G32&lt;$B$8,$B$4,$B$5))))</f>
        <v>0.9</v>
      </c>
      <c r="J32" s="28">
        <f t="shared" si="5"/>
        <v>4049.613526570049</v>
      </c>
      <c r="K32" s="28">
        <f t="shared" si="6"/>
        <v>404.9613526570048</v>
      </c>
      <c r="L32" s="28">
        <f t="shared" si="7"/>
        <v>3644.6521739130444</v>
      </c>
    </row>
    <row r="33" spans="1:14" ht="12.75">
      <c r="A33" s="1">
        <f t="shared" si="3"/>
        <v>23</v>
      </c>
      <c r="B33" s="1" t="s">
        <v>72</v>
      </c>
      <c r="C33" s="13" t="s">
        <v>22</v>
      </c>
      <c r="D33" s="19">
        <v>6618.666666666667</v>
      </c>
      <c r="E33" s="6">
        <v>0.82</v>
      </c>
      <c r="F33" s="6">
        <v>0.85</v>
      </c>
      <c r="G33" s="6">
        <v>0</v>
      </c>
      <c r="H33" s="6"/>
      <c r="I33" s="8">
        <f>MAX(MAX(G33,H33),IF(H33="DS",$B$6,IF(G33&gt;=$B$7,G33,IF(G33&lt;$B$8,$B$4,$B$5))))</f>
        <v>0.9</v>
      </c>
      <c r="J33" s="28">
        <f t="shared" si="5"/>
        <v>6860.8130081300815</v>
      </c>
      <c r="K33" s="28">
        <f t="shared" si="6"/>
        <v>686.0813008130079</v>
      </c>
      <c r="L33" s="28">
        <f t="shared" si="7"/>
        <v>6174.731707317073</v>
      </c>
      <c r="M33" s="2">
        <f>L33</f>
        <v>6174.731707317073</v>
      </c>
      <c r="N33" s="9" t="s">
        <v>22</v>
      </c>
    </row>
    <row r="34" spans="1:12" ht="12.75">
      <c r="A34" s="38">
        <f t="shared" si="3"/>
        <v>24</v>
      </c>
      <c r="B34" s="1" t="s">
        <v>72</v>
      </c>
      <c r="C34" s="13" t="s">
        <v>23</v>
      </c>
      <c r="D34" s="19">
        <v>1692.6666666666667</v>
      </c>
      <c r="E34" s="6">
        <v>1</v>
      </c>
      <c r="F34" s="6">
        <v>1</v>
      </c>
      <c r="G34" s="6">
        <v>0</v>
      </c>
      <c r="H34" s="6"/>
      <c r="I34" s="6">
        <v>0</v>
      </c>
      <c r="J34" s="28">
        <f t="shared" si="5"/>
        <v>1692.6666666666667</v>
      </c>
      <c r="K34" s="28">
        <f t="shared" si="6"/>
        <v>1692.6666666666667</v>
      </c>
      <c r="L34" s="28">
        <f t="shared" si="7"/>
        <v>0</v>
      </c>
    </row>
    <row r="35" spans="1:14" ht="12.75">
      <c r="A35" s="1">
        <f t="shared" si="3"/>
        <v>25</v>
      </c>
      <c r="B35" s="1" t="s">
        <v>72</v>
      </c>
      <c r="C35" s="13" t="s">
        <v>24</v>
      </c>
      <c r="D35" s="19">
        <v>4488.666666666667</v>
      </c>
      <c r="E35" s="6">
        <v>0.8</v>
      </c>
      <c r="F35" s="6">
        <v>0.85</v>
      </c>
      <c r="G35" s="6">
        <v>0.66</v>
      </c>
      <c r="H35" s="6">
        <v>0.85</v>
      </c>
      <c r="I35" s="8">
        <f aca="true" t="shared" si="8" ref="I35:I44">MAX(MAX(G35,H35),IF(H35="DS",$B$6,IF(G35&gt;=$B$7,G35,IF(G35&lt;$B$8,$B$4,$B$5))))</f>
        <v>0.85</v>
      </c>
      <c r="J35" s="28">
        <f t="shared" si="5"/>
        <v>4769.208333333333</v>
      </c>
      <c r="K35" s="28">
        <f t="shared" si="6"/>
        <v>2104.0625000000005</v>
      </c>
      <c r="L35" s="28">
        <f t="shared" si="7"/>
        <v>2665.1458333333326</v>
      </c>
      <c r="M35" s="2">
        <f>L35+L36</f>
        <v>5323.318910256408</v>
      </c>
      <c r="N35" s="9" t="s">
        <v>89</v>
      </c>
    </row>
    <row r="36" spans="1:12" ht="12.75">
      <c r="A36" s="1">
        <f t="shared" si="3"/>
        <v>26</v>
      </c>
      <c r="B36" s="1" t="s">
        <v>72</v>
      </c>
      <c r="C36" s="13" t="s">
        <v>25</v>
      </c>
      <c r="D36" s="19">
        <v>4365</v>
      </c>
      <c r="E36" s="6">
        <v>0.78</v>
      </c>
      <c r="F36" s="6">
        <v>0.85</v>
      </c>
      <c r="G36" s="6">
        <v>0.66</v>
      </c>
      <c r="H36" s="6">
        <v>0.85</v>
      </c>
      <c r="I36" s="8">
        <f t="shared" si="8"/>
        <v>0.85</v>
      </c>
      <c r="J36" s="28">
        <f t="shared" si="5"/>
        <v>4756.7307692307695</v>
      </c>
      <c r="K36" s="28">
        <f t="shared" si="6"/>
        <v>2098.5576923076933</v>
      </c>
      <c r="L36" s="28">
        <f t="shared" si="7"/>
        <v>2658.173076923076</v>
      </c>
    </row>
    <row r="37" spans="1:14" ht="12.75">
      <c r="A37" s="1">
        <f t="shared" si="3"/>
        <v>27</v>
      </c>
      <c r="B37" s="1" t="s">
        <v>72</v>
      </c>
      <c r="C37" s="13" t="s">
        <v>26</v>
      </c>
      <c r="D37" s="19">
        <v>5680.333333333333</v>
      </c>
      <c r="E37" s="6">
        <v>0.69</v>
      </c>
      <c r="F37" s="6">
        <v>0.85</v>
      </c>
      <c r="G37" s="6">
        <v>0</v>
      </c>
      <c r="H37" s="6"/>
      <c r="I37" s="8">
        <f t="shared" si="8"/>
        <v>0.9</v>
      </c>
      <c r="J37" s="28">
        <f t="shared" si="5"/>
        <v>6997.512077294686</v>
      </c>
      <c r="K37" s="28">
        <f t="shared" si="6"/>
        <v>699.7512077294684</v>
      </c>
      <c r="L37" s="28">
        <f t="shared" si="7"/>
        <v>6297.760869565217</v>
      </c>
      <c r="M37" s="2">
        <f>L37+L38</f>
        <v>14061.13249118684</v>
      </c>
      <c r="N37" s="9" t="s">
        <v>90</v>
      </c>
    </row>
    <row r="38" spans="1:12" ht="12.75">
      <c r="A38" s="1">
        <f t="shared" si="3"/>
        <v>28</v>
      </c>
      <c r="B38" s="1" t="s">
        <v>72</v>
      </c>
      <c r="C38" s="13" t="s">
        <v>27</v>
      </c>
      <c r="D38" s="19">
        <v>7509.666666666667</v>
      </c>
      <c r="E38" s="6">
        <v>0.74</v>
      </c>
      <c r="F38" s="6">
        <v>0.85</v>
      </c>
      <c r="G38" s="6">
        <v>0</v>
      </c>
      <c r="H38" s="6"/>
      <c r="I38" s="8">
        <f t="shared" si="8"/>
        <v>0.9</v>
      </c>
      <c r="J38" s="28">
        <f t="shared" si="5"/>
        <v>8625.968468468469</v>
      </c>
      <c r="K38" s="28">
        <f t="shared" si="6"/>
        <v>862.5968468468467</v>
      </c>
      <c r="L38" s="28">
        <f t="shared" si="7"/>
        <v>7763.371621621623</v>
      </c>
    </row>
    <row r="39" spans="1:14" ht="12.75">
      <c r="A39" s="1">
        <f t="shared" si="3"/>
        <v>29</v>
      </c>
      <c r="B39" s="1" t="s">
        <v>72</v>
      </c>
      <c r="C39" s="13" t="s">
        <v>28</v>
      </c>
      <c r="D39" s="19">
        <v>877</v>
      </c>
      <c r="E39" s="6">
        <v>1</v>
      </c>
      <c r="F39" s="6">
        <v>1</v>
      </c>
      <c r="G39" s="6">
        <v>0</v>
      </c>
      <c r="H39" s="6"/>
      <c r="I39" s="8">
        <f t="shared" si="8"/>
        <v>0.9</v>
      </c>
      <c r="J39" s="28">
        <f>IF(D39="","",IF(F39="","",IF(E39="","",D39*F39/E39)))</f>
        <v>877</v>
      </c>
      <c r="K39" s="28">
        <f>IF(D39="","",IF(E39="","",IF(G39="","",IF(I39="","",D39*F39/E39*(1-I39)/(1-G39)))))</f>
        <v>87.69999999999997</v>
      </c>
      <c r="L39" s="28">
        <f>IF(J39="","",IF(K39="","",J39-K39))</f>
        <v>789.3000000000001</v>
      </c>
      <c r="M39" s="2">
        <f>L39+L40</f>
        <v>3204.3</v>
      </c>
      <c r="N39" s="9" t="s">
        <v>91</v>
      </c>
    </row>
    <row r="40" spans="1:12" ht="12.75">
      <c r="A40" s="1">
        <f t="shared" si="3"/>
        <v>30</v>
      </c>
      <c r="B40" s="1" t="s">
        <v>72</v>
      </c>
      <c r="C40" s="13" t="s">
        <v>29</v>
      </c>
      <c r="D40" s="19">
        <v>2683.3333333333335</v>
      </c>
      <c r="E40" s="6">
        <v>1</v>
      </c>
      <c r="F40" s="6">
        <v>1</v>
      </c>
      <c r="G40" s="6">
        <v>0</v>
      </c>
      <c r="H40" s="6"/>
      <c r="I40" s="8">
        <f t="shared" si="8"/>
        <v>0.9</v>
      </c>
      <c r="J40" s="28">
        <f>IF(D40="","",IF(F40="","",IF(E40="","",D40*F40/E40)))</f>
        <v>2683.3333333333335</v>
      </c>
      <c r="K40" s="28">
        <f>IF(D40="","",IF(E40="","",IF(G40="","",IF(I40="","",D40*F40/E40*(1-I40)/(1-G40)))))</f>
        <v>268.3333333333333</v>
      </c>
      <c r="L40" s="28">
        <f>IF(J40="","",IF(K40="","",J40-K40))</f>
        <v>2415</v>
      </c>
    </row>
    <row r="41" spans="1:14" ht="12.75">
      <c r="A41" s="1">
        <f t="shared" si="3"/>
        <v>31</v>
      </c>
      <c r="B41" s="1" t="s">
        <v>73</v>
      </c>
      <c r="C41" s="13" t="s">
        <v>31</v>
      </c>
      <c r="D41" s="19">
        <v>8216.466666666667</v>
      </c>
      <c r="E41" s="7">
        <v>0.852054794520548</v>
      </c>
      <c r="F41" s="6">
        <v>0.8521</v>
      </c>
      <c r="G41" s="6">
        <v>0.75</v>
      </c>
      <c r="H41" s="8" t="s">
        <v>134</v>
      </c>
      <c r="I41" s="8">
        <f t="shared" si="8"/>
        <v>0.8</v>
      </c>
      <c r="J41" s="28">
        <f aca="true" t="shared" si="9" ref="J41:J50">IF(D41="","",IF(F41="","",IF(E41="","",D41*F41/E41)))</f>
        <v>8216.902588531619</v>
      </c>
      <c r="K41" s="28">
        <f aca="true" t="shared" si="10" ref="K41:K49">IF(I41="","",IF(E41="","",IF(G41="","",D41*F41/E41*(1-I41)/(1-G41))))</f>
        <v>6573.522070825294</v>
      </c>
      <c r="L41" s="28">
        <f aca="true" t="shared" si="11" ref="L41:L50">IF(J41="","",IF(K41="","",J41-K41))</f>
        <v>1643.380517706325</v>
      </c>
      <c r="M41" s="2">
        <f>SUM(L41:L44)</f>
        <v>8057.270623798449</v>
      </c>
      <c r="N41" s="9" t="s">
        <v>92</v>
      </c>
    </row>
    <row r="42" spans="1:12" ht="12.75">
      <c r="A42" s="1">
        <f t="shared" si="3"/>
        <v>32</v>
      </c>
      <c r="B42" s="1" t="s">
        <v>73</v>
      </c>
      <c r="C42" s="13" t="s">
        <v>32</v>
      </c>
      <c r="D42" s="19">
        <v>6004.333333333333</v>
      </c>
      <c r="E42" s="7">
        <v>0.8596575342465754</v>
      </c>
      <c r="F42" s="6">
        <v>0.8597</v>
      </c>
      <c r="G42" s="6">
        <v>0.75</v>
      </c>
      <c r="H42" s="8" t="s">
        <v>134</v>
      </c>
      <c r="I42" s="8">
        <f t="shared" si="8"/>
        <v>0.8</v>
      </c>
      <c r="J42" s="28">
        <f t="shared" si="9"/>
        <v>6004.629938119139</v>
      </c>
      <c r="K42" s="28">
        <f t="shared" si="10"/>
        <v>4803.70395049531</v>
      </c>
      <c r="L42" s="28">
        <f t="shared" si="11"/>
        <v>1200.9259876238293</v>
      </c>
    </row>
    <row r="43" spans="1:12" ht="12.75">
      <c r="A43" s="1">
        <f t="shared" si="3"/>
        <v>33</v>
      </c>
      <c r="B43" s="1" t="s">
        <v>73</v>
      </c>
      <c r="C43" s="13" t="s">
        <v>33</v>
      </c>
      <c r="D43" s="19">
        <v>13873.266666666668</v>
      </c>
      <c r="E43" s="7">
        <v>0.9613984018264841</v>
      </c>
      <c r="F43" s="6">
        <v>0.9614</v>
      </c>
      <c r="G43" s="6">
        <v>0.75</v>
      </c>
      <c r="H43" s="8" t="s">
        <v>134</v>
      </c>
      <c r="I43" s="8">
        <f t="shared" si="8"/>
        <v>0.8</v>
      </c>
      <c r="J43" s="28">
        <f t="shared" si="9"/>
        <v>13873.289728788806</v>
      </c>
      <c r="K43" s="28">
        <f t="shared" si="10"/>
        <v>11098.631783031042</v>
      </c>
      <c r="L43" s="28">
        <f t="shared" si="11"/>
        <v>2774.6579457577645</v>
      </c>
    </row>
    <row r="44" spans="1:12" ht="12.75">
      <c r="A44" s="1">
        <f t="shared" si="3"/>
        <v>34</v>
      </c>
      <c r="B44" s="1" t="s">
        <v>73</v>
      </c>
      <c r="C44" s="13" t="s">
        <v>34</v>
      </c>
      <c r="D44" s="19">
        <v>12191.8</v>
      </c>
      <c r="E44" s="7">
        <v>0.8584189497716895</v>
      </c>
      <c r="F44" s="6">
        <v>0.8584</v>
      </c>
      <c r="G44" s="6">
        <v>0.75</v>
      </c>
      <c r="H44" s="8" t="s">
        <v>134</v>
      </c>
      <c r="I44" s="8">
        <f t="shared" si="8"/>
        <v>0.8</v>
      </c>
      <c r="J44" s="28">
        <f t="shared" si="9"/>
        <v>12191.530863552643</v>
      </c>
      <c r="K44" s="28">
        <f t="shared" si="10"/>
        <v>9753.224690842113</v>
      </c>
      <c r="L44" s="28">
        <f t="shared" si="11"/>
        <v>2438.3061727105305</v>
      </c>
    </row>
    <row r="45" spans="1:14" ht="12.75">
      <c r="A45" s="38">
        <f t="shared" si="3"/>
        <v>35</v>
      </c>
      <c r="B45" s="1" t="s">
        <v>73</v>
      </c>
      <c r="C45" s="13" t="s">
        <v>35</v>
      </c>
      <c r="D45" s="20">
        <v>31832.5</v>
      </c>
      <c r="E45" s="7">
        <v>0.8785958904109589</v>
      </c>
      <c r="F45" s="6">
        <v>0.8786</v>
      </c>
      <c r="G45" s="6">
        <v>0.96</v>
      </c>
      <c r="H45" s="6"/>
      <c r="I45" s="6">
        <v>0.96</v>
      </c>
      <c r="J45" s="28">
        <f t="shared" si="9"/>
        <v>31832.648894952254</v>
      </c>
      <c r="K45" s="28">
        <f t="shared" si="10"/>
        <v>31832.64889495225</v>
      </c>
      <c r="L45" s="28">
        <f t="shared" si="11"/>
        <v>3.637978807091713E-12</v>
      </c>
      <c r="M45" s="2">
        <f>L45</f>
        <v>3.637978807091713E-12</v>
      </c>
      <c r="N45" s="13" t="s">
        <v>35</v>
      </c>
    </row>
    <row r="46" spans="1:12" ht="12.75">
      <c r="A46" s="38">
        <f t="shared" si="3"/>
        <v>36</v>
      </c>
      <c r="B46" s="1" t="s">
        <v>73</v>
      </c>
      <c r="C46" s="13" t="s">
        <v>78</v>
      </c>
      <c r="D46" s="19">
        <v>322.54266666666666</v>
      </c>
      <c r="E46" s="7">
        <v>0.9512557077625571</v>
      </c>
      <c r="F46" s="6">
        <v>0.9513</v>
      </c>
      <c r="G46" s="6">
        <v>0</v>
      </c>
      <c r="H46" s="6"/>
      <c r="I46" s="6">
        <v>0.9</v>
      </c>
      <c r="J46" s="28">
        <f t="shared" si="9"/>
        <v>322.5576848539542</v>
      </c>
      <c r="K46" s="28">
        <f t="shared" si="10"/>
        <v>32.255768485395414</v>
      </c>
      <c r="L46" s="28">
        <f t="shared" si="11"/>
        <v>290.30191636855875</v>
      </c>
    </row>
    <row r="47" spans="1:12" ht="12.75">
      <c r="A47" s="38">
        <f t="shared" si="3"/>
        <v>37</v>
      </c>
      <c r="B47" s="1" t="s">
        <v>73</v>
      </c>
      <c r="C47" s="13" t="s">
        <v>36</v>
      </c>
      <c r="D47" s="19">
        <v>1028.5333333333333</v>
      </c>
      <c r="E47" s="7">
        <v>0.9726027397260274</v>
      </c>
      <c r="F47" s="6">
        <v>0.9726</v>
      </c>
      <c r="G47" s="6">
        <v>0</v>
      </c>
      <c r="H47" s="6"/>
      <c r="I47" s="6">
        <v>0</v>
      </c>
      <c r="J47" s="28">
        <f t="shared" si="9"/>
        <v>1028.530436056338</v>
      </c>
      <c r="K47" s="28">
        <f t="shared" si="10"/>
        <v>1028.530436056338</v>
      </c>
      <c r="L47" s="28">
        <f t="shared" si="11"/>
        <v>0</v>
      </c>
    </row>
    <row r="48" spans="1:12" ht="12.75">
      <c r="A48" s="1">
        <f t="shared" si="3"/>
        <v>38</v>
      </c>
      <c r="B48" s="1" t="s">
        <v>73</v>
      </c>
      <c r="C48" s="13" t="s">
        <v>37</v>
      </c>
      <c r="D48" s="19">
        <v>313.24</v>
      </c>
      <c r="E48" s="7">
        <v>0.8476027397260274</v>
      </c>
      <c r="F48" s="6">
        <v>0.85</v>
      </c>
      <c r="G48" s="6">
        <v>0</v>
      </c>
      <c r="H48" s="6"/>
      <c r="I48" s="8">
        <f aca="true" t="shared" si="12" ref="I48:I68">MAX(MAX(G48,H48),IF(H48="DS",$B$6,IF(G48&gt;=$B$7,G48,IF(G48&lt;$B$8,$B$4,$B$5))))</f>
        <v>0.9</v>
      </c>
      <c r="J48" s="28">
        <f t="shared" si="9"/>
        <v>314.12593131313133</v>
      </c>
      <c r="K48" s="28">
        <f t="shared" si="10"/>
        <v>31.412593131313127</v>
      </c>
      <c r="L48" s="28">
        <f t="shared" si="11"/>
        <v>282.7133381818182</v>
      </c>
    </row>
    <row r="49" spans="1:12" ht="12.75">
      <c r="A49" s="1">
        <f t="shared" si="3"/>
        <v>39</v>
      </c>
      <c r="B49" s="1" t="s">
        <v>73</v>
      </c>
      <c r="C49" s="13" t="s">
        <v>38</v>
      </c>
      <c r="D49" s="21">
        <v>7.2</v>
      </c>
      <c r="E49" s="7">
        <v>1</v>
      </c>
      <c r="F49" s="6">
        <v>1</v>
      </c>
      <c r="G49" s="6">
        <v>0</v>
      </c>
      <c r="H49" s="6"/>
      <c r="I49" s="8">
        <f t="shared" si="12"/>
        <v>0.9</v>
      </c>
      <c r="J49" s="28">
        <f t="shared" si="9"/>
        <v>7.2</v>
      </c>
      <c r="K49" s="28">
        <f t="shared" si="10"/>
        <v>0.7199999999999999</v>
      </c>
      <c r="L49" s="28">
        <f t="shared" si="11"/>
        <v>6.48</v>
      </c>
    </row>
    <row r="50" spans="1:14" ht="12.75">
      <c r="A50" s="1">
        <f t="shared" si="3"/>
        <v>40</v>
      </c>
      <c r="B50" s="1" t="s">
        <v>75</v>
      </c>
      <c r="C50" s="39" t="s">
        <v>74</v>
      </c>
      <c r="D50" s="22">
        <v>8013</v>
      </c>
      <c r="E50" s="6">
        <v>0.45</v>
      </c>
      <c r="F50" s="6">
        <v>0.85</v>
      </c>
      <c r="G50" s="6">
        <v>0</v>
      </c>
      <c r="H50" s="6"/>
      <c r="I50" s="8">
        <f t="shared" si="12"/>
        <v>0.9</v>
      </c>
      <c r="J50" s="28">
        <f t="shared" si="9"/>
        <v>15135.666666666666</v>
      </c>
      <c r="K50" s="28">
        <f>IF(D50="","",IF(E50="","",IF(G50="","",IF(I50="","",D50*F50/E50*(1-I50)/(1-G50)))))</f>
        <v>1513.5666666666664</v>
      </c>
      <c r="L50" s="28">
        <f t="shared" si="11"/>
        <v>13622.1</v>
      </c>
      <c r="M50" s="2">
        <f>L50</f>
        <v>13622.1</v>
      </c>
      <c r="N50" s="12" t="s">
        <v>74</v>
      </c>
    </row>
    <row r="51" spans="1:14" ht="12.75">
      <c r="A51" s="1">
        <f t="shared" si="3"/>
        <v>41</v>
      </c>
      <c r="B51" s="1" t="s">
        <v>76</v>
      </c>
      <c r="C51" s="13" t="s">
        <v>39</v>
      </c>
      <c r="D51" s="23">
        <v>2131</v>
      </c>
      <c r="E51" s="5">
        <v>0.822</v>
      </c>
      <c r="F51" s="6">
        <v>0.85</v>
      </c>
      <c r="G51" s="6">
        <v>0.835</v>
      </c>
      <c r="H51" s="6"/>
      <c r="I51" s="8">
        <f t="shared" si="12"/>
        <v>0.835</v>
      </c>
      <c r="J51" s="28">
        <f>IF(D51="","",IF(F51="","",IF(E51="","",D51*F51/E51)))</f>
        <v>2203.588807785888</v>
      </c>
      <c r="K51" s="28">
        <f>IF(D51="","",IF(E51="","",IF(G51="","",IF(I51="","",D51*F51/E51*(1-I51)/(1-G51)))))</f>
        <v>2203.588807785888</v>
      </c>
      <c r="L51" s="28">
        <f>IF(J51="","",IF(K51="","",J51-K51))</f>
        <v>0</v>
      </c>
      <c r="M51" s="2">
        <f>L51+L52</f>
        <v>10434.746093749998</v>
      </c>
      <c r="N51" s="9" t="s">
        <v>93</v>
      </c>
    </row>
    <row r="52" spans="1:12" ht="12.75">
      <c r="A52" s="1">
        <f t="shared" si="3"/>
        <v>42</v>
      </c>
      <c r="B52" s="1" t="s">
        <v>76</v>
      </c>
      <c r="C52" s="13" t="s">
        <v>40</v>
      </c>
      <c r="D52" s="23">
        <v>10475.666666666666</v>
      </c>
      <c r="E52" s="5">
        <v>0.768</v>
      </c>
      <c r="F52" s="6">
        <v>0.85</v>
      </c>
      <c r="G52" s="6">
        <v>0</v>
      </c>
      <c r="H52" s="6"/>
      <c r="I52" s="8">
        <f t="shared" si="12"/>
        <v>0.9</v>
      </c>
      <c r="J52" s="28">
        <f>IF(D52="","",IF(F52="","",IF(E52="","",D52*F52/E52)))</f>
        <v>11594.162326388887</v>
      </c>
      <c r="K52" s="28">
        <f>IF(D52="","",IF(E52="","",IF(G52="","",IF(I52="","",D52*F52/E52*(1-I52)/(1-G52)))))</f>
        <v>1159.4162326388885</v>
      </c>
      <c r="L52" s="28">
        <f>IF(J52="","",IF(K52="","",J52-K52))</f>
        <v>10434.746093749998</v>
      </c>
    </row>
    <row r="53" spans="1:14" ht="12.75">
      <c r="A53" s="1">
        <f t="shared" si="3"/>
        <v>43</v>
      </c>
      <c r="B53" s="1" t="s">
        <v>76</v>
      </c>
      <c r="C53" s="13" t="s">
        <v>41</v>
      </c>
      <c r="D53" s="23">
        <v>2445.3333333333335</v>
      </c>
      <c r="E53" s="5">
        <v>0.845</v>
      </c>
      <c r="F53" s="6">
        <v>0.85</v>
      </c>
      <c r="G53" s="6">
        <v>0.8</v>
      </c>
      <c r="H53" s="6"/>
      <c r="I53" s="8">
        <f t="shared" si="12"/>
        <v>0.8</v>
      </c>
      <c r="J53" s="28">
        <f>IF(D53="","",IF(F53="","",IF(E53="","",D53*F53/E53)))</f>
        <v>2459.802761341223</v>
      </c>
      <c r="K53" s="28">
        <f>IF(D53="","",IF(E53="","",IF(G53="","",IF(I53="","",D53*F53/E53*(1-I53)/(1-G53)))))</f>
        <v>2459.802761341223</v>
      </c>
      <c r="L53" s="28">
        <f>IF(J53="","",IF(K53="","",J53-K53))</f>
        <v>0</v>
      </c>
      <c r="M53" s="2">
        <f>L53+L54</f>
        <v>0</v>
      </c>
      <c r="N53" s="9" t="s">
        <v>94</v>
      </c>
    </row>
    <row r="54" spans="1:12" ht="12.75">
      <c r="A54" s="1">
        <f t="shared" si="3"/>
        <v>44</v>
      </c>
      <c r="B54" s="1" t="s">
        <v>76</v>
      </c>
      <c r="C54" s="13" t="s">
        <v>42</v>
      </c>
      <c r="D54" s="23">
        <v>2430.3333333333335</v>
      </c>
      <c r="E54" s="5">
        <v>0.803</v>
      </c>
      <c r="F54" s="6">
        <v>0.85</v>
      </c>
      <c r="G54" s="6">
        <v>0.9</v>
      </c>
      <c r="H54" s="6"/>
      <c r="I54" s="8">
        <f t="shared" si="12"/>
        <v>0.9</v>
      </c>
      <c r="J54" s="28">
        <f>IF(D54="","",IF(F54="","",IF(E54="","",D54*F54/E54)))</f>
        <v>2572.5819842258197</v>
      </c>
      <c r="K54" s="28">
        <f>IF(D54="","",IF(E54="","",IF(G54="","",IF(I54="","",D54*F54/E54*(1-I54)/(1-G54)))))</f>
        <v>2572.5819842258197</v>
      </c>
      <c r="L54" s="28">
        <f>IF(J54="","",IF(K54="","",J54-K54))</f>
        <v>0</v>
      </c>
    </row>
    <row r="55" spans="1:14" ht="12.75">
      <c r="A55" s="1">
        <f t="shared" si="3"/>
        <v>45</v>
      </c>
      <c r="B55" s="1" t="s">
        <v>77</v>
      </c>
      <c r="C55" s="13" t="s">
        <v>43</v>
      </c>
      <c r="D55" s="24">
        <v>8173.333333333333</v>
      </c>
      <c r="E55" s="3">
        <v>0.973</v>
      </c>
      <c r="F55" s="6">
        <v>0.973</v>
      </c>
      <c r="G55" s="3">
        <v>0.65</v>
      </c>
      <c r="H55" s="3" t="s">
        <v>106</v>
      </c>
      <c r="I55" s="8">
        <f t="shared" si="12"/>
        <v>0.85</v>
      </c>
      <c r="J55" s="28">
        <f>IF(D55="","",IF(F55="","",IF(E55="","",D55*F55/E55)))</f>
        <v>8173.333333333333</v>
      </c>
      <c r="K55" s="28">
        <f aca="true" t="shared" si="13" ref="K55:K77">IF(I55="","",IF(E55="","",IF(G55="","",IF(F55="","",D55*F55/E55*(1-I55)/(1-G55)))))</f>
        <v>3502.8571428571436</v>
      </c>
      <c r="L55" s="28">
        <f>IF(J55="","",IF(K55="","",J55-K55))</f>
        <v>4670.476190476189</v>
      </c>
      <c r="M55" s="2">
        <f>L55</f>
        <v>4670.476190476189</v>
      </c>
      <c r="N55" s="9" t="s">
        <v>43</v>
      </c>
    </row>
    <row r="56" spans="1:14" ht="12.75">
      <c r="A56" s="1">
        <f t="shared" si="3"/>
        <v>46</v>
      </c>
      <c r="B56" s="1" t="s">
        <v>77</v>
      </c>
      <c r="C56" s="13" t="s">
        <v>44</v>
      </c>
      <c r="D56" s="24">
        <v>963.3333333333334</v>
      </c>
      <c r="E56" s="4">
        <v>0.6487012987012987</v>
      </c>
      <c r="F56" s="6">
        <v>0.85</v>
      </c>
      <c r="G56" s="4">
        <v>0</v>
      </c>
      <c r="H56" s="4"/>
      <c r="I56" s="8">
        <f t="shared" si="12"/>
        <v>0.9</v>
      </c>
      <c r="J56" s="28">
        <f aca="true" t="shared" si="14" ref="J56:J75">IF(D56="","",IF(F56="","",IF(E56="","",D56*F56/E56)))</f>
        <v>1262.2655989322657</v>
      </c>
      <c r="K56" s="28">
        <f t="shared" si="13"/>
        <v>126.22655989322654</v>
      </c>
      <c r="L56" s="28">
        <f aca="true" t="shared" si="15" ref="L56:L75">IF(J56="","",IF(K56="","",J56-K56))</f>
        <v>1136.0390390390392</v>
      </c>
      <c r="M56" s="2">
        <f>L56</f>
        <v>1136.0390390390392</v>
      </c>
      <c r="N56" s="9" t="s">
        <v>44</v>
      </c>
    </row>
    <row r="57" spans="1:14" ht="12.75">
      <c r="A57" s="1">
        <f t="shared" si="3"/>
        <v>47</v>
      </c>
      <c r="B57" s="1" t="s">
        <v>77</v>
      </c>
      <c r="C57" s="13" t="s">
        <v>45</v>
      </c>
      <c r="D57" s="24">
        <v>6097.666666666667</v>
      </c>
      <c r="E57" s="3">
        <v>0.878</v>
      </c>
      <c r="F57" s="6">
        <v>0.878</v>
      </c>
      <c r="G57" s="4">
        <v>0</v>
      </c>
      <c r="H57" s="4"/>
      <c r="I57" s="8">
        <f t="shared" si="12"/>
        <v>0.9</v>
      </c>
      <c r="J57" s="28">
        <f t="shared" si="14"/>
        <v>6097.666666666667</v>
      </c>
      <c r="K57" s="28">
        <f t="shared" si="13"/>
        <v>609.7666666666665</v>
      </c>
      <c r="L57" s="28">
        <f t="shared" si="15"/>
        <v>5487.900000000001</v>
      </c>
      <c r="M57" s="2">
        <f>SUM(L57:L59)</f>
        <v>13537.138497468135</v>
      </c>
      <c r="N57" s="9" t="s">
        <v>95</v>
      </c>
    </row>
    <row r="58" spans="1:12" ht="12.75">
      <c r="A58" s="1">
        <f t="shared" si="3"/>
        <v>48</v>
      </c>
      <c r="B58" s="1" t="s">
        <v>77</v>
      </c>
      <c r="C58" s="13" t="s">
        <v>46</v>
      </c>
      <c r="D58" s="24">
        <v>7987</v>
      </c>
      <c r="E58" s="3">
        <v>0.83</v>
      </c>
      <c r="F58" s="6">
        <v>0.85</v>
      </c>
      <c r="G58" s="4">
        <v>0</v>
      </c>
      <c r="H58" s="4"/>
      <c r="I58" s="8">
        <f t="shared" si="12"/>
        <v>0.9</v>
      </c>
      <c r="J58" s="28">
        <f t="shared" si="14"/>
        <v>8179.457831325301</v>
      </c>
      <c r="K58" s="28">
        <f t="shared" si="13"/>
        <v>817.94578313253</v>
      </c>
      <c r="L58" s="28">
        <f t="shared" si="15"/>
        <v>7361.5120481927715</v>
      </c>
    </row>
    <row r="59" spans="1:12" ht="12.75">
      <c r="A59" s="1">
        <f t="shared" si="3"/>
        <v>49</v>
      </c>
      <c r="B59" s="1" t="s">
        <v>77</v>
      </c>
      <c r="C59" s="13" t="s">
        <v>47</v>
      </c>
      <c r="D59" s="24">
        <v>5061.666666666667</v>
      </c>
      <c r="E59" s="3">
        <v>0.816</v>
      </c>
      <c r="F59" s="6">
        <v>0.85</v>
      </c>
      <c r="G59" s="3">
        <v>0.77</v>
      </c>
      <c r="H59" s="3"/>
      <c r="I59" s="8">
        <f t="shared" si="12"/>
        <v>0.8</v>
      </c>
      <c r="J59" s="28">
        <f t="shared" si="14"/>
        <v>5272.569444444445</v>
      </c>
      <c r="K59" s="28">
        <f t="shared" si="13"/>
        <v>4584.842995169082</v>
      </c>
      <c r="L59" s="28">
        <f t="shared" si="15"/>
        <v>687.7264492753629</v>
      </c>
    </row>
    <row r="60" spans="1:14" ht="12.75">
      <c r="A60" s="1">
        <f t="shared" si="3"/>
        <v>50</v>
      </c>
      <c r="B60" s="1" t="s">
        <v>77</v>
      </c>
      <c r="C60" s="13" t="s">
        <v>48</v>
      </c>
      <c r="D60" s="24">
        <v>8667.666666666666</v>
      </c>
      <c r="E60" s="3">
        <v>0.833</v>
      </c>
      <c r="F60" s="6">
        <v>0.85</v>
      </c>
      <c r="G60" s="3">
        <v>0</v>
      </c>
      <c r="H60" s="3"/>
      <c r="I60" s="8">
        <f t="shared" si="12"/>
        <v>0.9</v>
      </c>
      <c r="J60" s="28">
        <f t="shared" si="14"/>
        <v>8844.557823129251</v>
      </c>
      <c r="K60" s="28">
        <f t="shared" si="13"/>
        <v>884.455782312925</v>
      </c>
      <c r="L60" s="28">
        <f t="shared" si="15"/>
        <v>7960.102040816326</v>
      </c>
      <c r="M60" s="2">
        <f>L60+L61</f>
        <v>12471.725229222124</v>
      </c>
      <c r="N60" s="9" t="s">
        <v>96</v>
      </c>
    </row>
    <row r="61" spans="1:12" ht="12.75">
      <c r="A61" s="1">
        <f t="shared" si="3"/>
        <v>51</v>
      </c>
      <c r="B61" s="1" t="s">
        <v>77</v>
      </c>
      <c r="C61" s="13" t="s">
        <v>49</v>
      </c>
      <c r="D61" s="24">
        <v>6694.666666666667</v>
      </c>
      <c r="E61" s="3">
        <v>0.889</v>
      </c>
      <c r="F61" s="6">
        <v>0.889</v>
      </c>
      <c r="G61" s="3">
        <v>0.54</v>
      </c>
      <c r="H61" s="3">
        <v>0.85</v>
      </c>
      <c r="I61" s="8">
        <f t="shared" si="12"/>
        <v>0.85</v>
      </c>
      <c r="J61" s="28">
        <f t="shared" si="14"/>
        <v>6694.666666666667</v>
      </c>
      <c r="K61" s="28">
        <f t="shared" si="13"/>
        <v>2183.04347826087</v>
      </c>
      <c r="L61" s="28">
        <f t="shared" si="15"/>
        <v>4511.623188405797</v>
      </c>
    </row>
    <row r="62" spans="1:14" ht="12.75">
      <c r="A62" s="1">
        <f t="shared" si="3"/>
        <v>52</v>
      </c>
      <c r="B62" s="1" t="s">
        <v>77</v>
      </c>
      <c r="C62" s="13" t="s">
        <v>50</v>
      </c>
      <c r="D62" s="24">
        <v>5264.666666666667</v>
      </c>
      <c r="E62" s="3">
        <v>0.762</v>
      </c>
      <c r="F62" s="6">
        <v>0.85</v>
      </c>
      <c r="G62" s="3">
        <v>0.77</v>
      </c>
      <c r="H62" s="3">
        <v>0.864</v>
      </c>
      <c r="I62" s="8">
        <f t="shared" si="12"/>
        <v>0.864</v>
      </c>
      <c r="J62" s="28">
        <f t="shared" si="14"/>
        <v>5872.659667541558</v>
      </c>
      <c r="K62" s="28">
        <f t="shared" si="13"/>
        <v>3472.529194720226</v>
      </c>
      <c r="L62" s="28">
        <f t="shared" si="15"/>
        <v>2400.1304728213318</v>
      </c>
      <c r="M62" s="2">
        <f>SUM(L62:L65)</f>
        <v>7195.297604076871</v>
      </c>
      <c r="N62" s="9" t="s">
        <v>97</v>
      </c>
    </row>
    <row r="63" spans="1:12" ht="12.75">
      <c r="A63" s="1">
        <f t="shared" si="3"/>
        <v>53</v>
      </c>
      <c r="B63" s="1" t="s">
        <v>77</v>
      </c>
      <c r="C63" s="13" t="s">
        <v>51</v>
      </c>
      <c r="D63" s="24">
        <v>5681.666666666667</v>
      </c>
      <c r="E63" s="3">
        <v>0.824</v>
      </c>
      <c r="F63" s="6">
        <v>0.85</v>
      </c>
      <c r="G63" s="3">
        <v>0.77</v>
      </c>
      <c r="H63" s="3">
        <v>0.864</v>
      </c>
      <c r="I63" s="8">
        <f t="shared" si="12"/>
        <v>0.864</v>
      </c>
      <c r="J63" s="28">
        <f t="shared" si="14"/>
        <v>5860.942556634305</v>
      </c>
      <c r="K63" s="28">
        <f t="shared" si="13"/>
        <v>3465.600816096807</v>
      </c>
      <c r="L63" s="28">
        <f t="shared" si="15"/>
        <v>2395.341740537498</v>
      </c>
    </row>
    <row r="64" spans="1:12" ht="12.75">
      <c r="A64" s="1">
        <f t="shared" si="3"/>
        <v>54</v>
      </c>
      <c r="B64" s="1" t="s">
        <v>77</v>
      </c>
      <c r="C64" s="13" t="s">
        <v>52</v>
      </c>
      <c r="D64" s="24">
        <v>5464.333333333333</v>
      </c>
      <c r="E64" s="3">
        <v>0.791</v>
      </c>
      <c r="F64" s="6">
        <v>0.85</v>
      </c>
      <c r="G64" s="3">
        <v>0.77</v>
      </c>
      <c r="H64" s="3">
        <v>0.864</v>
      </c>
      <c r="I64" s="8">
        <f t="shared" si="12"/>
        <v>0.864</v>
      </c>
      <c r="J64" s="28">
        <f t="shared" si="14"/>
        <v>5871.913190054783</v>
      </c>
      <c r="K64" s="28">
        <f t="shared" si="13"/>
        <v>3472.087799336741</v>
      </c>
      <c r="L64" s="28">
        <f t="shared" si="15"/>
        <v>2399.8253907180415</v>
      </c>
    </row>
    <row r="65" spans="1:12" ht="12.75">
      <c r="A65" s="1">
        <f t="shared" si="3"/>
        <v>55</v>
      </c>
      <c r="B65" s="1" t="s">
        <v>77</v>
      </c>
      <c r="C65" s="13" t="s">
        <v>53</v>
      </c>
      <c r="D65" s="24">
        <v>3202.3333333333335</v>
      </c>
      <c r="E65" s="3">
        <v>0.768</v>
      </c>
      <c r="F65" s="6">
        <v>0.85</v>
      </c>
      <c r="G65" s="3">
        <v>0.82</v>
      </c>
      <c r="H65" s="3">
        <v>0.82</v>
      </c>
      <c r="I65" s="8">
        <f t="shared" si="12"/>
        <v>0.82</v>
      </c>
      <c r="J65" s="28">
        <f t="shared" si="14"/>
        <v>3544.249131944445</v>
      </c>
      <c r="K65" s="28">
        <f t="shared" si="13"/>
        <v>3544.249131944445</v>
      </c>
      <c r="L65" s="28">
        <f t="shared" si="15"/>
        <v>0</v>
      </c>
    </row>
    <row r="66" spans="1:14" ht="12.75">
      <c r="A66" s="1">
        <f t="shared" si="3"/>
        <v>56</v>
      </c>
      <c r="B66" s="1" t="s">
        <v>77</v>
      </c>
      <c r="C66" s="13" t="s">
        <v>54</v>
      </c>
      <c r="D66" s="23">
        <v>3421.3333333333335</v>
      </c>
      <c r="E66" s="5">
        <v>0.7363843445848002</v>
      </c>
      <c r="F66" s="6">
        <v>0.85</v>
      </c>
      <c r="G66" s="6">
        <v>0.805</v>
      </c>
      <c r="H66" s="6">
        <v>0.85</v>
      </c>
      <c r="I66" s="8">
        <f t="shared" si="12"/>
        <v>0.85</v>
      </c>
      <c r="J66" s="28">
        <f t="shared" si="14"/>
        <v>3949.2058117735282</v>
      </c>
      <c r="K66" s="28">
        <f t="shared" si="13"/>
        <v>3037.850624441177</v>
      </c>
      <c r="L66" s="28">
        <f t="shared" si="15"/>
        <v>911.3551873323513</v>
      </c>
      <c r="M66" s="2">
        <f>SUM(L66:L68)</f>
        <v>2717.3451616314487</v>
      </c>
      <c r="N66" s="9" t="s">
        <v>98</v>
      </c>
    </row>
    <row r="67" spans="1:12" ht="12.75">
      <c r="A67" s="1">
        <f t="shared" si="3"/>
        <v>57</v>
      </c>
      <c r="B67" s="1" t="s">
        <v>77</v>
      </c>
      <c r="C67" s="13" t="s">
        <v>55</v>
      </c>
      <c r="D67" s="23">
        <v>3014.3333333333335</v>
      </c>
      <c r="E67" s="5">
        <v>0.7185752743839304</v>
      </c>
      <c r="F67" s="6">
        <v>0.85</v>
      </c>
      <c r="G67" s="6">
        <v>0.805</v>
      </c>
      <c r="H67" s="6">
        <v>0.85</v>
      </c>
      <c r="I67" s="8">
        <f t="shared" si="12"/>
        <v>0.85</v>
      </c>
      <c r="J67" s="28">
        <f t="shared" si="14"/>
        <v>3565.6436071085495</v>
      </c>
      <c r="K67" s="28">
        <f t="shared" si="13"/>
        <v>2742.8027746988855</v>
      </c>
      <c r="L67" s="28">
        <f t="shared" si="15"/>
        <v>822.840832409664</v>
      </c>
    </row>
    <row r="68" spans="1:12" ht="12.75">
      <c r="A68" s="1">
        <f t="shared" si="3"/>
        <v>58</v>
      </c>
      <c r="B68" s="1" t="s">
        <v>77</v>
      </c>
      <c r="C68" s="13" t="s">
        <v>56</v>
      </c>
      <c r="D68" s="23">
        <v>3512.3333333333335</v>
      </c>
      <c r="E68" s="5">
        <v>0.7007662041830607</v>
      </c>
      <c r="F68" s="6">
        <v>0.85</v>
      </c>
      <c r="G68" s="6">
        <v>0.805</v>
      </c>
      <c r="H68" s="8" t="s">
        <v>106</v>
      </c>
      <c r="I68" s="8">
        <f t="shared" si="12"/>
        <v>0.85</v>
      </c>
      <c r="J68" s="28">
        <f t="shared" si="14"/>
        <v>4260.312948187549</v>
      </c>
      <c r="K68" s="28">
        <f t="shared" si="13"/>
        <v>3277.163806298116</v>
      </c>
      <c r="L68" s="28">
        <f t="shared" si="15"/>
        <v>983.1491418894334</v>
      </c>
    </row>
    <row r="69" spans="1:12" ht="12.75">
      <c r="A69" s="38">
        <f t="shared" si="3"/>
        <v>59</v>
      </c>
      <c r="B69" s="1" t="s">
        <v>77</v>
      </c>
      <c r="C69" s="13" t="s">
        <v>57</v>
      </c>
      <c r="D69" s="23">
        <v>181.66666666666666</v>
      </c>
      <c r="E69" s="5">
        <v>0.36470588235294116</v>
      </c>
      <c r="F69" s="6">
        <v>0.36</v>
      </c>
      <c r="G69" s="6">
        <v>0</v>
      </c>
      <c r="H69" s="6"/>
      <c r="I69" s="6">
        <v>0.98</v>
      </c>
      <c r="J69" s="28">
        <f t="shared" si="14"/>
        <v>179.32258064516128</v>
      </c>
      <c r="K69" s="28">
        <f t="shared" si="13"/>
        <v>3.586451612903229</v>
      </c>
      <c r="L69" s="28">
        <f t="shared" si="15"/>
        <v>175.73612903225805</v>
      </c>
    </row>
    <row r="70" spans="1:12" ht="12.75">
      <c r="A70" s="38">
        <f t="shared" si="3"/>
        <v>60</v>
      </c>
      <c r="B70" s="1" t="s">
        <v>77</v>
      </c>
      <c r="C70" s="13" t="s">
        <v>58</v>
      </c>
      <c r="D70" s="23">
        <v>58.333333333333336</v>
      </c>
      <c r="E70" s="5">
        <v>0.21705426356589147</v>
      </c>
      <c r="F70" s="6">
        <v>0.22</v>
      </c>
      <c r="G70" s="6">
        <v>0</v>
      </c>
      <c r="H70" s="6"/>
      <c r="I70" s="6">
        <v>0.98</v>
      </c>
      <c r="J70" s="28">
        <f t="shared" si="14"/>
        <v>59.125</v>
      </c>
      <c r="K70" s="28">
        <f t="shared" si="13"/>
        <v>1.182500000000001</v>
      </c>
      <c r="L70" s="28">
        <f t="shared" si="15"/>
        <v>57.942499999999995</v>
      </c>
    </row>
    <row r="71" spans="1:12" ht="12.75">
      <c r="A71" s="38">
        <f t="shared" si="3"/>
        <v>61</v>
      </c>
      <c r="B71" s="1" t="s">
        <v>77</v>
      </c>
      <c r="C71" s="13" t="s">
        <v>59</v>
      </c>
      <c r="D71" s="23">
        <v>0.27</v>
      </c>
      <c r="E71" s="5">
        <v>0.00044186046511627907</v>
      </c>
      <c r="F71" s="6">
        <v>0.01</v>
      </c>
      <c r="G71" s="6">
        <v>0</v>
      </c>
      <c r="H71" s="6"/>
      <c r="I71" s="6">
        <v>0.98</v>
      </c>
      <c r="J71" s="28">
        <f t="shared" si="14"/>
        <v>6.110526315789474</v>
      </c>
      <c r="K71" s="28">
        <f t="shared" si="13"/>
        <v>0.12221052631578959</v>
      </c>
      <c r="L71" s="28">
        <f t="shared" si="15"/>
        <v>5.988315789473684</v>
      </c>
    </row>
    <row r="72" spans="1:14" ht="12.75">
      <c r="A72" s="1">
        <f t="shared" si="3"/>
        <v>62</v>
      </c>
      <c r="B72" s="1" t="s">
        <v>77</v>
      </c>
      <c r="C72" s="13" t="s">
        <v>60</v>
      </c>
      <c r="D72" s="23">
        <v>2379</v>
      </c>
      <c r="E72" s="5">
        <v>0.5165165165165165</v>
      </c>
      <c r="F72" s="6">
        <v>0.52</v>
      </c>
      <c r="G72" s="6">
        <v>0</v>
      </c>
      <c r="H72" s="6"/>
      <c r="I72" s="8">
        <f aca="true" t="shared" si="16" ref="I72:I82">MAX(MAX(G72,H72),IF(H72="DS",$B$6,IF(G72&gt;=$B$7,G72,IF(G72&lt;$B$8,$B$4,$B$5))))</f>
        <v>0.9</v>
      </c>
      <c r="J72" s="28">
        <f t="shared" si="14"/>
        <v>2395.0444186046516</v>
      </c>
      <c r="K72" s="28">
        <f t="shared" si="13"/>
        <v>239.5044418604651</v>
      </c>
      <c r="L72" s="28">
        <f t="shared" si="15"/>
        <v>2155.5399767441863</v>
      </c>
      <c r="M72" s="2">
        <f>L72+L73</f>
        <v>4734.945030739867</v>
      </c>
      <c r="N72" s="9" t="s">
        <v>99</v>
      </c>
    </row>
    <row r="73" spans="1:12" ht="12.75">
      <c r="A73" s="1">
        <f t="shared" si="3"/>
        <v>63</v>
      </c>
      <c r="B73" s="1" t="s">
        <v>77</v>
      </c>
      <c r="C73" s="13" t="s">
        <v>61</v>
      </c>
      <c r="D73" s="23">
        <v>2846.3333333333335</v>
      </c>
      <c r="E73" s="5">
        <v>0.5958815958815958</v>
      </c>
      <c r="F73" s="6">
        <v>0.6</v>
      </c>
      <c r="G73" s="6">
        <v>0</v>
      </c>
      <c r="H73" s="6"/>
      <c r="I73" s="8">
        <f t="shared" si="16"/>
        <v>0.9</v>
      </c>
      <c r="J73" s="28">
        <f t="shared" si="14"/>
        <v>2866.005615550756</v>
      </c>
      <c r="K73" s="28">
        <f t="shared" si="13"/>
        <v>286.6005615550755</v>
      </c>
      <c r="L73" s="28">
        <f t="shared" si="15"/>
        <v>2579.4050539956806</v>
      </c>
    </row>
    <row r="74" spans="1:14" ht="12.75">
      <c r="A74" s="1">
        <f t="shared" si="3"/>
        <v>64</v>
      </c>
      <c r="B74" s="1" t="s">
        <v>77</v>
      </c>
      <c r="C74" s="13" t="s">
        <v>62</v>
      </c>
      <c r="D74" s="23">
        <v>1813.6666666666667</v>
      </c>
      <c r="E74" s="5">
        <v>0.6074100463127895</v>
      </c>
      <c r="F74" s="6">
        <v>0.61</v>
      </c>
      <c r="G74" s="6">
        <v>0</v>
      </c>
      <c r="H74" s="6"/>
      <c r="I74" s="8">
        <f t="shared" si="16"/>
        <v>0.9</v>
      </c>
      <c r="J74" s="28">
        <f t="shared" si="14"/>
        <v>1821.4000136852392</v>
      </c>
      <c r="K74" s="28">
        <f t="shared" si="13"/>
        <v>182.14000136852388</v>
      </c>
      <c r="L74" s="28">
        <f t="shared" si="15"/>
        <v>1639.2600123167153</v>
      </c>
      <c r="M74" s="2">
        <f>L74+L75</f>
        <v>4318.888171161481</v>
      </c>
      <c r="N74" s="9" t="s">
        <v>100</v>
      </c>
    </row>
    <row r="75" spans="1:12" ht="12.75">
      <c r="A75" s="1">
        <f t="shared" si="3"/>
        <v>65</v>
      </c>
      <c r="B75" s="1" t="s">
        <v>77</v>
      </c>
      <c r="C75" s="13" t="s">
        <v>63</v>
      </c>
      <c r="D75" s="23">
        <v>2972</v>
      </c>
      <c r="E75" s="5">
        <v>0.5989189189189189</v>
      </c>
      <c r="F75" s="6">
        <v>0.6</v>
      </c>
      <c r="G75" s="6">
        <v>0</v>
      </c>
      <c r="H75" s="6"/>
      <c r="I75" s="8">
        <f t="shared" si="16"/>
        <v>0.9</v>
      </c>
      <c r="J75" s="28">
        <f t="shared" si="14"/>
        <v>2977.3646209386284</v>
      </c>
      <c r="K75" s="28">
        <f t="shared" si="13"/>
        <v>297.73646209386277</v>
      </c>
      <c r="L75" s="28">
        <f t="shared" si="15"/>
        <v>2679.6281588447655</v>
      </c>
    </row>
    <row r="76" spans="1:13" ht="12.75">
      <c r="A76" s="1">
        <f t="shared" si="3"/>
        <v>66</v>
      </c>
      <c r="B76" s="1" t="s">
        <v>77</v>
      </c>
      <c r="C76" s="13" t="s">
        <v>64</v>
      </c>
      <c r="D76" s="23">
        <v>94</v>
      </c>
      <c r="E76" s="5">
        <v>0.22929936305732485</v>
      </c>
      <c r="F76" s="6">
        <v>0.23</v>
      </c>
      <c r="G76" s="6">
        <v>0.85</v>
      </c>
      <c r="H76" s="6"/>
      <c r="I76" s="8">
        <f t="shared" si="16"/>
        <v>0.85</v>
      </c>
      <c r="J76" s="28">
        <f aca="true" t="shared" si="17" ref="J76:J82">IF(D76="","",IF(F76="","",IF(E76="","",D76*F76/E76)))</f>
        <v>94.28722222222223</v>
      </c>
      <c r="K76" s="28">
        <f t="shared" si="13"/>
        <v>94.28722222222223</v>
      </c>
      <c r="L76" s="28">
        <f aca="true" t="shared" si="18" ref="L76:L82">IF(J76="","",IF(K76="","",J76-K76))</f>
        <v>0</v>
      </c>
      <c r="M76" s="2"/>
    </row>
    <row r="77" spans="1:12" ht="12.75">
      <c r="A77" s="1">
        <f aca="true" t="shared" si="19" ref="A77:A82">A76+1</f>
        <v>67</v>
      </c>
      <c r="B77" s="1" t="s">
        <v>77</v>
      </c>
      <c r="C77" s="13" t="s">
        <v>65</v>
      </c>
      <c r="D77" s="23">
        <v>103.33333333333333</v>
      </c>
      <c r="E77" s="5">
        <v>0.24522292993630573</v>
      </c>
      <c r="F77" s="6">
        <v>0.25</v>
      </c>
      <c r="G77" s="6">
        <v>0.85</v>
      </c>
      <c r="H77" s="6"/>
      <c r="I77" s="8">
        <f t="shared" si="16"/>
        <v>0.85</v>
      </c>
      <c r="J77" s="28">
        <f t="shared" si="17"/>
        <v>105.34632034632034</v>
      </c>
      <c r="K77" s="28">
        <f t="shared" si="13"/>
        <v>105.34632034632034</v>
      </c>
      <c r="L77" s="28">
        <f t="shared" si="18"/>
        <v>0</v>
      </c>
    </row>
    <row r="78" spans="1:14" ht="12.75">
      <c r="A78" s="1">
        <f t="shared" si="19"/>
        <v>68</v>
      </c>
      <c r="B78" s="1" t="s">
        <v>66</v>
      </c>
      <c r="C78" s="13" t="s">
        <v>113</v>
      </c>
      <c r="D78" s="19">
        <v>4032.3333333333335</v>
      </c>
      <c r="E78" s="6">
        <v>0.752</v>
      </c>
      <c r="F78" s="6">
        <v>0.85</v>
      </c>
      <c r="G78" s="6">
        <v>0.72</v>
      </c>
      <c r="H78" s="6">
        <v>0.85</v>
      </c>
      <c r="I78" s="8">
        <f t="shared" si="16"/>
        <v>0.85</v>
      </c>
      <c r="J78" s="28">
        <f t="shared" si="17"/>
        <v>4557.823581560284</v>
      </c>
      <c r="K78" s="28">
        <f>IF(D78="","",IF(E78="","",IF(G78="","",IF(I78="","",D78*F78/E78*(1-I78)/(1-G78)))))</f>
        <v>2441.691204407295</v>
      </c>
      <c r="L78" s="28">
        <f t="shared" si="18"/>
        <v>2116.1323771529887</v>
      </c>
      <c r="M78" s="2">
        <f>SUM(L78:L82)</f>
        <v>15844.389601616362</v>
      </c>
      <c r="N78" s="9" t="s">
        <v>101</v>
      </c>
    </row>
    <row r="79" spans="1:12" ht="12.75">
      <c r="A79" s="1">
        <f t="shared" si="19"/>
        <v>69</v>
      </c>
      <c r="B79" s="1" t="s">
        <v>66</v>
      </c>
      <c r="C79" s="13" t="s">
        <v>114</v>
      </c>
      <c r="D79" s="19">
        <v>3207.3333333333335</v>
      </c>
      <c r="E79" s="6">
        <v>0.639</v>
      </c>
      <c r="F79" s="6">
        <v>0.85</v>
      </c>
      <c r="G79" s="6">
        <v>0.72</v>
      </c>
      <c r="H79" s="6">
        <v>0.85</v>
      </c>
      <c r="I79" s="8">
        <f t="shared" si="16"/>
        <v>0.85</v>
      </c>
      <c r="J79" s="28">
        <f t="shared" si="17"/>
        <v>4266.405842462181</v>
      </c>
      <c r="K79" s="28">
        <f>IF(D79="","",IF(E79="","",IF(G79="","",IF(I79="","",D79*F79/E79*(1-I79)/(1-G79)))))</f>
        <v>2285.574558461883</v>
      </c>
      <c r="L79" s="28">
        <f t="shared" si="18"/>
        <v>1980.8312840002977</v>
      </c>
    </row>
    <row r="80" spans="1:12" ht="12.75">
      <c r="A80" s="1">
        <f t="shared" si="19"/>
        <v>70</v>
      </c>
      <c r="B80" s="1" t="s">
        <v>66</v>
      </c>
      <c r="C80" s="13" t="s">
        <v>115</v>
      </c>
      <c r="D80" s="19">
        <v>4313.666666666667</v>
      </c>
      <c r="E80" s="6">
        <v>0.67</v>
      </c>
      <c r="F80" s="6">
        <v>0.85</v>
      </c>
      <c r="G80" s="6">
        <v>0.72</v>
      </c>
      <c r="H80" s="6">
        <v>0.85</v>
      </c>
      <c r="I80" s="8">
        <f t="shared" si="16"/>
        <v>0.85</v>
      </c>
      <c r="J80" s="28">
        <f t="shared" si="17"/>
        <v>5472.562189054726</v>
      </c>
      <c r="K80" s="28">
        <f>IF(D80="","",IF(E80="","",IF(G80="","",IF(I80="","",D80*F80/E80*(1-I80)/(1-G80)))))</f>
        <v>2931.7297441364603</v>
      </c>
      <c r="L80" s="28">
        <f t="shared" si="18"/>
        <v>2540.832444918266</v>
      </c>
    </row>
    <row r="81" spans="1:12" ht="12.75">
      <c r="A81" s="1">
        <f t="shared" si="19"/>
        <v>71</v>
      </c>
      <c r="B81" s="1" t="s">
        <v>66</v>
      </c>
      <c r="C81" s="13" t="s">
        <v>116</v>
      </c>
      <c r="D81" s="19">
        <v>13692</v>
      </c>
      <c r="E81" s="6">
        <v>0.751</v>
      </c>
      <c r="F81" s="6">
        <v>0.85</v>
      </c>
      <c r="G81" s="6">
        <v>0.72</v>
      </c>
      <c r="H81" s="6"/>
      <c r="I81" s="8">
        <f t="shared" si="16"/>
        <v>0.8</v>
      </c>
      <c r="J81" s="28">
        <f t="shared" si="17"/>
        <v>15496.937416777628</v>
      </c>
      <c r="K81" s="28">
        <f>IF(D81="","",IF(E81="","",IF(G81="","",IF(I81="","",D81*F81/E81*(1-I81)/(1-G81)))))</f>
        <v>11069.241011984015</v>
      </c>
      <c r="L81" s="28">
        <f t="shared" si="18"/>
        <v>4427.696404793613</v>
      </c>
    </row>
    <row r="82" spans="1:12" ht="12.75">
      <c r="A82" s="1">
        <f t="shared" si="19"/>
        <v>72</v>
      </c>
      <c r="B82" s="1" t="s">
        <v>66</v>
      </c>
      <c r="C82" s="13" t="s">
        <v>112</v>
      </c>
      <c r="D82" s="19">
        <v>12948</v>
      </c>
      <c r="E82" s="6">
        <v>0.658</v>
      </c>
      <c r="F82" s="6">
        <v>0.85</v>
      </c>
      <c r="G82" s="6">
        <v>0.72</v>
      </c>
      <c r="H82" s="6"/>
      <c r="I82" s="8">
        <f t="shared" si="16"/>
        <v>0.8</v>
      </c>
      <c r="J82" s="28">
        <f t="shared" si="17"/>
        <v>16726.139817629177</v>
      </c>
      <c r="K82" s="28">
        <f>IF(D82="","",IF(E82="","",IF(G82="","",IF(I82="","",D82*F82/E82*(1-I82)/(1-G82)))))</f>
        <v>11947.24272687798</v>
      </c>
      <c r="L82" s="28">
        <f t="shared" si="18"/>
        <v>4778.8970907511975</v>
      </c>
    </row>
    <row r="83" spans="3:13" ht="12.75">
      <c r="C83" s="13"/>
      <c r="M83" s="47"/>
    </row>
    <row r="84" spans="1:13" s="11" customFormat="1" ht="12.75">
      <c r="A84" s="26"/>
      <c r="B84" s="26"/>
      <c r="C84" s="40" t="s">
        <v>107</v>
      </c>
      <c r="D84" s="29">
        <f>SUM(D11:D83)</f>
        <v>303965.4608333333</v>
      </c>
      <c r="E84" s="30"/>
      <c r="F84" s="30"/>
      <c r="G84" s="30"/>
      <c r="H84" s="30"/>
      <c r="I84" s="30"/>
      <c r="J84" s="29">
        <f>SUM(J11:J82)</f>
        <v>337737.1059114112</v>
      </c>
      <c r="K84" s="29">
        <f>SUM(K11:K83)</f>
        <v>169671.50715931776</v>
      </c>
      <c r="L84" s="29">
        <f>SUM(L11:L83)</f>
        <v>168065.59875209333</v>
      </c>
      <c r="M84" s="31"/>
    </row>
    <row r="85" spans="3:12" ht="12.75">
      <c r="C85" s="13"/>
      <c r="K85" s="24"/>
      <c r="L85" s="36"/>
    </row>
    <row r="86" spans="2:4" ht="12.75">
      <c r="B86" s="59"/>
      <c r="C86" s="59"/>
      <c r="D86" s="57"/>
    </row>
    <row r="87" spans="2:9" ht="12.75">
      <c r="B87" s="1" t="s">
        <v>117</v>
      </c>
      <c r="D87" s="10"/>
      <c r="E87" s="10"/>
      <c r="H87" s="23"/>
      <c r="I87" s="23"/>
    </row>
    <row r="88" spans="2:9" ht="12.75">
      <c r="B88" s="58" t="s">
        <v>122</v>
      </c>
      <c r="C88" s="7"/>
      <c r="D88" s="10"/>
      <c r="E88" s="10"/>
      <c r="H88" s="23"/>
      <c r="I88" s="23"/>
    </row>
    <row r="89" spans="2:9" ht="12.75">
      <c r="B89" s="58" t="s">
        <v>123</v>
      </c>
      <c r="C89" s="7"/>
      <c r="D89" s="10"/>
      <c r="E89" s="10"/>
      <c r="H89" s="23"/>
      <c r="I89" s="23"/>
    </row>
    <row r="90" spans="2:9" ht="12.75">
      <c r="B90" s="58" t="s">
        <v>124</v>
      </c>
      <c r="C90" s="7"/>
      <c r="D90" s="10"/>
      <c r="E90" s="10"/>
      <c r="H90" s="23"/>
      <c r="I90" s="23"/>
    </row>
    <row r="91" spans="2:9" ht="12.75">
      <c r="B91" s="58"/>
      <c r="C91" s="7"/>
      <c r="D91" s="10"/>
      <c r="E91" s="10"/>
      <c r="H91" s="23"/>
      <c r="I91" s="23"/>
    </row>
    <row r="92" spans="2:9" ht="12.75">
      <c r="B92" s="58" t="s">
        <v>125</v>
      </c>
      <c r="C92" s="7"/>
      <c r="D92" s="10"/>
      <c r="E92" s="10"/>
      <c r="H92" s="23"/>
      <c r="I92" s="23"/>
    </row>
    <row r="93" spans="2:9" ht="12.75">
      <c r="B93" s="58" t="s">
        <v>126</v>
      </c>
      <c r="C93" s="7"/>
      <c r="D93" s="10"/>
      <c r="E93" s="10"/>
      <c r="H93" s="23"/>
      <c r="I93" s="23"/>
    </row>
    <row r="94" spans="2:9" ht="12.75">
      <c r="B94" s="58" t="s">
        <v>127</v>
      </c>
      <c r="C94" s="7"/>
      <c r="D94" s="10"/>
      <c r="E94" s="10"/>
      <c r="H94" s="23"/>
      <c r="I94" s="23"/>
    </row>
    <row r="95" spans="2:9" ht="12.75">
      <c r="B95" s="56" t="s">
        <v>128</v>
      </c>
      <c r="C95" s="7"/>
      <c r="D95" s="10"/>
      <c r="E95" s="10"/>
      <c r="H95" s="23"/>
      <c r="I95" s="23"/>
    </row>
    <row r="96" spans="2:9" ht="12.75">
      <c r="B96" s="55" t="s">
        <v>129</v>
      </c>
      <c r="C96" s="7"/>
      <c r="D96" s="10"/>
      <c r="E96" s="10"/>
      <c r="H96" s="23"/>
      <c r="I96" s="23"/>
    </row>
    <row r="97" spans="2:9" ht="12.75">
      <c r="B97" s="56"/>
      <c r="C97" s="7"/>
      <c r="D97" s="10"/>
      <c r="E97" s="10"/>
      <c r="H97" s="23"/>
      <c r="I97" s="23"/>
    </row>
    <row r="98" spans="2:10" ht="12.75">
      <c r="B98" s="61" t="s">
        <v>130</v>
      </c>
      <c r="C98" s="60"/>
      <c r="D98" s="10"/>
      <c r="E98" s="10"/>
      <c r="G98" s="23"/>
      <c r="H98" s="23"/>
      <c r="I98" s="23"/>
      <c r="J98" s="1"/>
    </row>
    <row r="99" spans="2:10" ht="12.75">
      <c r="B99" s="61" t="s">
        <v>131</v>
      </c>
      <c r="C99" s="61"/>
      <c r="D99" s="10"/>
      <c r="E99" s="10"/>
      <c r="G99" s="23"/>
      <c r="H99" s="23"/>
      <c r="I99" s="23"/>
      <c r="J99" s="1"/>
    </row>
    <row r="100" spans="2:3" ht="12.75">
      <c r="B100" s="56" t="s">
        <v>132</v>
      </c>
      <c r="C100" s="61"/>
    </row>
    <row r="101" spans="2:3" ht="12.75">
      <c r="B101" s="56" t="s">
        <v>133</v>
      </c>
      <c r="C101" s="61"/>
    </row>
    <row r="102" spans="2:3" ht="12.75">
      <c r="B102" s="56" t="s">
        <v>135</v>
      </c>
      <c r="C102" s="61"/>
    </row>
    <row r="103" spans="2:3" ht="12.75">
      <c r="B103" s="56" t="s">
        <v>136</v>
      </c>
      <c r="C103" s="61"/>
    </row>
    <row r="104" spans="2:3" ht="12.75">
      <c r="B104" s="56" t="s">
        <v>137</v>
      </c>
      <c r="C104" s="61"/>
    </row>
    <row r="105" spans="2:3" ht="12.75">
      <c r="B105" s="59"/>
      <c r="C105" s="61"/>
    </row>
    <row r="106" spans="2:3" ht="12.75">
      <c r="B106" s="59"/>
      <c r="C106" s="61"/>
    </row>
    <row r="107" spans="2:3" ht="12.75">
      <c r="B107" s="59"/>
      <c r="C107" s="61"/>
    </row>
    <row r="108" spans="2:3" ht="12.75">
      <c r="B108" s="59"/>
      <c r="C108" s="61"/>
    </row>
    <row r="109" spans="2:3" ht="12.75">
      <c r="B109" s="59"/>
      <c r="C109" s="61"/>
    </row>
    <row r="110" spans="2:3" ht="12.75">
      <c r="B110" s="59"/>
      <c r="C110" s="61"/>
    </row>
    <row r="111" spans="2:3" ht="12.75">
      <c r="B111" s="59"/>
      <c r="C111" s="61"/>
    </row>
    <row r="112" spans="2:3" ht="12.75">
      <c r="B112" s="59"/>
      <c r="C112" s="61"/>
    </row>
    <row r="113" spans="2:3" ht="12.75">
      <c r="B113" s="59"/>
      <c r="C113" s="61"/>
    </row>
    <row r="114" spans="2:3" ht="12.75">
      <c r="B114" s="59"/>
      <c r="C114" s="61"/>
    </row>
    <row r="115" spans="2:3" ht="12.75">
      <c r="B115" s="59"/>
      <c r="C115" s="61"/>
    </row>
    <row r="116" spans="2:3" ht="12.75">
      <c r="B116" s="59"/>
      <c r="C116" s="61"/>
    </row>
    <row r="117" spans="2:3" ht="12.75">
      <c r="B117" s="59"/>
      <c r="C117" s="61"/>
    </row>
    <row r="118" spans="2:3" ht="12.75">
      <c r="B118" s="59"/>
      <c r="C118" s="61"/>
    </row>
    <row r="119" spans="2:3" ht="12.75">
      <c r="B119" s="59"/>
      <c r="C119" s="61"/>
    </row>
    <row r="120" spans="2:3" ht="12.75">
      <c r="B120" s="59"/>
      <c r="C120" s="61"/>
    </row>
    <row r="121" spans="2:3" ht="12.75">
      <c r="B121" s="59"/>
      <c r="C121" s="61"/>
    </row>
    <row r="122" spans="2:3" ht="12.75">
      <c r="B122" s="59"/>
      <c r="C122" s="61"/>
    </row>
    <row r="123" spans="2:3" ht="12.75">
      <c r="B123" s="59"/>
      <c r="C123" s="61"/>
    </row>
    <row r="124" spans="2:3" ht="12.75">
      <c r="B124" s="59"/>
      <c r="C124" s="61"/>
    </row>
    <row r="125" spans="2:3" ht="12.75">
      <c r="B125" s="59"/>
      <c r="C125" s="61"/>
    </row>
    <row r="126" spans="2:3" ht="12.75">
      <c r="B126" s="59"/>
      <c r="C126" s="61"/>
    </row>
    <row r="127" spans="2:3" ht="12.75">
      <c r="B127" s="59"/>
      <c r="C127" s="61"/>
    </row>
    <row r="128" spans="2:3" ht="12.75">
      <c r="B128" s="59"/>
      <c r="C128" s="61"/>
    </row>
    <row r="129" spans="2:3" ht="12.75">
      <c r="B129" s="59"/>
      <c r="C129" s="61"/>
    </row>
    <row r="130" spans="2:3" ht="12.75">
      <c r="B130" s="59"/>
      <c r="C130" s="61"/>
    </row>
    <row r="131" spans="2:3" ht="12.75">
      <c r="B131" s="59"/>
      <c r="C131" s="61"/>
    </row>
    <row r="132" spans="2:3" ht="12.75">
      <c r="B132" s="59"/>
      <c r="C132" s="61"/>
    </row>
    <row r="133" spans="2:3" ht="12.75">
      <c r="B133" s="59"/>
      <c r="C133" s="61"/>
    </row>
    <row r="134" spans="2:3" ht="12.75">
      <c r="B134" s="59"/>
      <c r="C134" s="61"/>
    </row>
    <row r="135" spans="2:3" ht="12.75">
      <c r="B135" s="59"/>
      <c r="C135" s="61"/>
    </row>
    <row r="136" spans="2:3" ht="12.75">
      <c r="B136" s="59"/>
      <c r="C136" s="61"/>
    </row>
    <row r="137" spans="2:3" ht="12.75">
      <c r="B137" s="59"/>
      <c r="C137" s="61"/>
    </row>
    <row r="138" spans="2:3" ht="12.75">
      <c r="B138" s="59"/>
      <c r="C138" s="61"/>
    </row>
    <row r="139" spans="2:3" ht="12.75">
      <c r="B139" s="59"/>
      <c r="C139" s="61"/>
    </row>
    <row r="140" spans="2:3" ht="12.75">
      <c r="B140" s="59"/>
      <c r="C140" s="61"/>
    </row>
    <row r="141" spans="2:3" ht="12.75">
      <c r="B141" s="59"/>
      <c r="C141" s="61"/>
    </row>
    <row r="142" spans="2:3" ht="12.75">
      <c r="B142" s="59"/>
      <c r="C142" s="61"/>
    </row>
    <row r="143" spans="2:3" ht="12.75">
      <c r="B143" s="59"/>
      <c r="C143" s="61"/>
    </row>
    <row r="144" spans="2:3" ht="12.75">
      <c r="B144" s="59"/>
      <c r="C144" s="61"/>
    </row>
    <row r="145" spans="2:3" ht="12.75">
      <c r="B145" s="59"/>
      <c r="C145" s="61"/>
    </row>
    <row r="146" spans="2:3" ht="12.75">
      <c r="B146" s="59"/>
      <c r="C146" s="61"/>
    </row>
    <row r="147" spans="2:3" ht="12.75">
      <c r="B147" s="59"/>
      <c r="C147" s="61"/>
    </row>
    <row r="148" spans="2:3" ht="12.75">
      <c r="B148" s="59"/>
      <c r="C148" s="61"/>
    </row>
    <row r="149" spans="2:3" ht="12.75">
      <c r="B149" s="59"/>
      <c r="C149" s="61"/>
    </row>
    <row r="150" spans="2:3" ht="12.75">
      <c r="B150" s="59"/>
      <c r="C150" s="61"/>
    </row>
    <row r="151" spans="2:3" ht="12.75">
      <c r="B151" s="59"/>
      <c r="C151" s="61"/>
    </row>
    <row r="152" spans="2:3" ht="12.75">
      <c r="B152" s="59"/>
      <c r="C152" s="61"/>
    </row>
    <row r="153" spans="2:3" ht="12.75">
      <c r="B153" s="59"/>
      <c r="C153" s="61"/>
    </row>
    <row r="154" spans="2:3" ht="12.75">
      <c r="B154" s="59"/>
      <c r="C154" s="61"/>
    </row>
    <row r="155" spans="2:3" ht="12.75">
      <c r="B155" s="59"/>
      <c r="C155" s="61"/>
    </row>
    <row r="156" spans="2:3" ht="12.75">
      <c r="B156" s="59"/>
      <c r="C156" s="61"/>
    </row>
    <row r="157" spans="2:3" ht="12.75">
      <c r="B157" s="59"/>
      <c r="C157" s="61"/>
    </row>
    <row r="158" spans="2:3" ht="12.75">
      <c r="B158" s="59"/>
      <c r="C158" s="61"/>
    </row>
    <row r="159" spans="2:3" ht="12.75">
      <c r="B159" s="59"/>
      <c r="C159" s="61"/>
    </row>
    <row r="160" spans="2:3" ht="12.75">
      <c r="B160" s="59"/>
      <c r="C160" s="61"/>
    </row>
    <row r="161" spans="2:3" ht="12.75">
      <c r="B161" s="59"/>
      <c r="C161" s="61"/>
    </row>
    <row r="162" spans="2:3" ht="12.75">
      <c r="B162" s="59"/>
      <c r="C162" s="61"/>
    </row>
    <row r="163" spans="2:3" ht="12.75">
      <c r="B163" s="59"/>
      <c r="C163" s="61"/>
    </row>
    <row r="164" spans="2:3" ht="12.75">
      <c r="B164" s="59"/>
      <c r="C164" s="61"/>
    </row>
    <row r="165" spans="2:3" ht="12.75">
      <c r="B165" s="59"/>
      <c r="C165" s="61"/>
    </row>
    <row r="166" spans="2:3" ht="12.75">
      <c r="B166" s="59"/>
      <c r="C166" s="61"/>
    </row>
    <row r="167" spans="2:3" ht="12.75">
      <c r="B167" s="59"/>
      <c r="C167" s="61"/>
    </row>
    <row r="168" spans="2:3" ht="12.75">
      <c r="B168" s="59"/>
      <c r="C168" s="61"/>
    </row>
    <row r="169" spans="2:3" ht="12.75">
      <c r="B169" s="59"/>
      <c r="C169" s="61"/>
    </row>
    <row r="170" spans="2:3" ht="12.75">
      <c r="B170" s="59"/>
      <c r="C170" s="61"/>
    </row>
    <row r="171" spans="2:3" ht="12.75">
      <c r="B171" s="59"/>
      <c r="C171" s="61"/>
    </row>
    <row r="172" spans="2:3" ht="12.75">
      <c r="B172" s="59"/>
      <c r="C172" s="61"/>
    </row>
    <row r="173" spans="2:3" ht="12.75">
      <c r="B173" s="59"/>
      <c r="C173" s="61"/>
    </row>
    <row r="174" spans="2:3" ht="12.75">
      <c r="B174" s="59"/>
      <c r="C174" s="61"/>
    </row>
    <row r="175" spans="2:3" ht="12.75">
      <c r="B175" s="59"/>
      <c r="C175" s="61"/>
    </row>
    <row r="176" spans="2:3" ht="12.75">
      <c r="B176" s="59"/>
      <c r="C176" s="61"/>
    </row>
    <row r="177" spans="2:3" ht="12.75">
      <c r="B177" s="59"/>
      <c r="C177" s="61"/>
    </row>
    <row r="178" spans="2:3" ht="12.75">
      <c r="B178" s="59"/>
      <c r="C178" s="61"/>
    </row>
    <row r="179" spans="2:3" ht="12.75">
      <c r="B179" s="59"/>
      <c r="C179" s="61"/>
    </row>
    <row r="180" spans="2:3" ht="12.75">
      <c r="B180" s="59"/>
      <c r="C180" s="61"/>
    </row>
    <row r="181" spans="2:3" ht="12.75">
      <c r="B181" s="59"/>
      <c r="C181" s="61"/>
    </row>
    <row r="182" spans="2:3" ht="12.75">
      <c r="B182" s="59"/>
      <c r="C182" s="61"/>
    </row>
    <row r="183" spans="2:3" ht="12.75">
      <c r="B183" s="59"/>
      <c r="C183" s="61"/>
    </row>
    <row r="184" spans="2:3" ht="12.75">
      <c r="B184" s="59"/>
      <c r="C184" s="61"/>
    </row>
    <row r="185" spans="2:3" ht="12.75">
      <c r="B185" s="59"/>
      <c r="C185" s="61"/>
    </row>
    <row r="186" spans="2:3" ht="12.75">
      <c r="B186" s="59"/>
      <c r="C186" s="61"/>
    </row>
    <row r="187" spans="2:3" ht="12.75">
      <c r="B187" s="59"/>
      <c r="C187" s="61"/>
    </row>
    <row r="188" spans="2:3" ht="12.75">
      <c r="B188" s="59"/>
      <c r="C188" s="61"/>
    </row>
    <row r="189" spans="2:3" ht="12.75">
      <c r="B189" s="59"/>
      <c r="C189" s="61"/>
    </row>
    <row r="190" spans="2:3" ht="12.75">
      <c r="B190" s="59"/>
      <c r="C190" s="61"/>
    </row>
    <row r="191" spans="2:3" ht="12.75">
      <c r="B191" s="59"/>
      <c r="C191" s="61"/>
    </row>
    <row r="192" spans="2:3" ht="12.75">
      <c r="B192" s="59"/>
      <c r="C192" s="61"/>
    </row>
    <row r="193" spans="2:3" ht="12.75">
      <c r="B193" s="59"/>
      <c r="C193" s="61"/>
    </row>
    <row r="194" spans="2:3" ht="12.75">
      <c r="B194" s="59"/>
      <c r="C194" s="61"/>
    </row>
    <row r="195" spans="2:3" ht="12.75">
      <c r="B195" s="59"/>
      <c r="C195" s="61"/>
    </row>
    <row r="196" spans="2:3" ht="12.75">
      <c r="B196" s="59"/>
      <c r="C196" s="61"/>
    </row>
    <row r="197" spans="2:3" ht="12.75">
      <c r="B197" s="59"/>
      <c r="C197" s="61"/>
    </row>
    <row r="198" spans="2:3" ht="12.75">
      <c r="B198" s="59"/>
      <c r="C198" s="61"/>
    </row>
    <row r="199" spans="2:3" ht="12.75">
      <c r="B199" s="59"/>
      <c r="C199" s="61"/>
    </row>
    <row r="200" spans="2:3" ht="12.75">
      <c r="B200" s="59"/>
      <c r="C200" s="61"/>
    </row>
    <row r="201" spans="2:3" ht="12.75">
      <c r="B201" s="59"/>
      <c r="C201" s="61"/>
    </row>
    <row r="202" spans="2:3" ht="12.75">
      <c r="B202" s="59"/>
      <c r="C202" s="61"/>
    </row>
    <row r="203" spans="2:3" ht="12.75">
      <c r="B203" s="59"/>
      <c r="C203" s="61"/>
    </row>
    <row r="204" spans="2:3" ht="12.75">
      <c r="B204" s="59"/>
      <c r="C204" s="61"/>
    </row>
    <row r="205" spans="2:3" ht="12.75">
      <c r="B205" s="59"/>
      <c r="C205" s="61"/>
    </row>
    <row r="206" spans="2:3" ht="12.75">
      <c r="B206" s="59"/>
      <c r="C206" s="61"/>
    </row>
    <row r="207" spans="2:3" ht="12.75">
      <c r="B207" s="59"/>
      <c r="C207" s="61"/>
    </row>
    <row r="208" spans="2:3" ht="12.75">
      <c r="B208" s="59"/>
      <c r="C208" s="61"/>
    </row>
    <row r="209" spans="2:3" ht="12.75">
      <c r="B209" s="59"/>
      <c r="C209" s="61"/>
    </row>
    <row r="210" spans="2:3" ht="12.75">
      <c r="B210" s="59"/>
      <c r="C210" s="61"/>
    </row>
    <row r="211" spans="2:3" ht="12.75">
      <c r="B211" s="59"/>
      <c r="C211" s="61"/>
    </row>
    <row r="212" spans="2:3" ht="12.75">
      <c r="B212" s="59"/>
      <c r="C212" s="61"/>
    </row>
    <row r="213" spans="2:3" ht="12.75">
      <c r="B213" s="59"/>
      <c r="C213" s="61"/>
    </row>
    <row r="214" spans="2:3" ht="12.75">
      <c r="B214" s="59"/>
      <c r="C214" s="61"/>
    </row>
    <row r="215" spans="2:3" ht="12.75">
      <c r="B215" s="59"/>
      <c r="C215" s="61"/>
    </row>
    <row r="216" spans="2:3" ht="12.75">
      <c r="B216" s="59"/>
      <c r="C216" s="61"/>
    </row>
    <row r="217" spans="2:3" ht="12.75">
      <c r="B217" s="59"/>
      <c r="C217" s="61"/>
    </row>
    <row r="218" spans="2:3" ht="12.75">
      <c r="B218" s="59"/>
      <c r="C218" s="61"/>
    </row>
    <row r="219" spans="2:3" ht="12.75">
      <c r="B219" s="59"/>
      <c r="C219" s="61"/>
    </row>
    <row r="220" spans="2:3" ht="12.75">
      <c r="B220" s="59"/>
      <c r="C220" s="61"/>
    </row>
    <row r="221" spans="2:3" ht="12.75">
      <c r="B221" s="59"/>
      <c r="C221" s="61"/>
    </row>
    <row r="222" spans="2:3" ht="12.75">
      <c r="B222" s="59"/>
      <c r="C222" s="61"/>
    </row>
    <row r="223" spans="2:3" ht="12.75">
      <c r="B223" s="59"/>
      <c r="C223" s="61"/>
    </row>
    <row r="224" spans="2:3" ht="12.75">
      <c r="B224" s="59"/>
      <c r="C224" s="61"/>
    </row>
    <row r="225" spans="2:3" ht="12.75">
      <c r="B225" s="59"/>
      <c r="C225" s="61"/>
    </row>
    <row r="226" ht="12.75">
      <c r="C226" s="13"/>
    </row>
    <row r="227" ht="12.75">
      <c r="C227" s="13"/>
    </row>
    <row r="228" ht="12.75">
      <c r="C228" s="13"/>
    </row>
    <row r="229" ht="12.75">
      <c r="C229" s="13"/>
    </row>
    <row r="230" ht="12.75">
      <c r="C230" s="13"/>
    </row>
    <row r="231" ht="12.75">
      <c r="C231" s="13"/>
    </row>
    <row r="232" ht="12.75">
      <c r="C232" s="13"/>
    </row>
    <row r="233" ht="12.75">
      <c r="C233" s="13"/>
    </row>
    <row r="234" ht="12.75">
      <c r="C234" s="13"/>
    </row>
    <row r="235" ht="12.75">
      <c r="C235" s="13"/>
    </row>
    <row r="236" ht="12.75">
      <c r="C236" s="13"/>
    </row>
    <row r="237" ht="12.75">
      <c r="C237" s="13"/>
    </row>
    <row r="238" ht="12.75">
      <c r="C238" s="13"/>
    </row>
    <row r="239" ht="12.75">
      <c r="C239" s="13"/>
    </row>
    <row r="240" ht="12.75">
      <c r="C240" s="13"/>
    </row>
    <row r="241" ht="12.75">
      <c r="C241" s="13"/>
    </row>
    <row r="242" ht="12.75">
      <c r="C242" s="13"/>
    </row>
    <row r="243" ht="12.75">
      <c r="C243" s="13"/>
    </row>
    <row r="244" ht="12.75">
      <c r="C244" s="13"/>
    </row>
    <row r="245" ht="12.75">
      <c r="C245" s="13"/>
    </row>
    <row r="246" ht="12.75">
      <c r="C246" s="13"/>
    </row>
    <row r="247" ht="12.75">
      <c r="C247" s="13"/>
    </row>
    <row r="248" ht="12.75">
      <c r="C248" s="13"/>
    </row>
    <row r="249" ht="12.75">
      <c r="C249" s="13"/>
    </row>
    <row r="250" ht="12.75">
      <c r="C250" s="13"/>
    </row>
    <row r="251" ht="12.75">
      <c r="C251" s="13"/>
    </row>
    <row r="252" ht="12.75">
      <c r="C252" s="13"/>
    </row>
    <row r="253" ht="12.75">
      <c r="C253" s="13"/>
    </row>
    <row r="254" ht="12.75">
      <c r="C254" s="13"/>
    </row>
    <row r="255" ht="12.75">
      <c r="C255" s="13"/>
    </row>
    <row r="256" ht="12.75">
      <c r="C256" s="13"/>
    </row>
    <row r="257" ht="12.75">
      <c r="C257" s="13"/>
    </row>
    <row r="258" ht="12.75">
      <c r="C258" s="13"/>
    </row>
    <row r="259" ht="12.75">
      <c r="C259" s="13"/>
    </row>
    <row r="260" ht="12.75">
      <c r="C260" s="13"/>
    </row>
    <row r="261" ht="12.75">
      <c r="C261" s="13"/>
    </row>
    <row r="262" ht="12.75">
      <c r="C262" s="13"/>
    </row>
    <row r="263" ht="12.75">
      <c r="C263" s="13"/>
    </row>
    <row r="264" ht="12.75">
      <c r="C264" s="13"/>
    </row>
    <row r="265" ht="12.75">
      <c r="C265" s="13"/>
    </row>
    <row r="266" ht="12.75">
      <c r="C266" s="13"/>
    </row>
    <row r="267" ht="12.75">
      <c r="C267" s="13"/>
    </row>
    <row r="268" ht="12.75">
      <c r="C268" s="13"/>
    </row>
    <row r="269" ht="12.75">
      <c r="C269" s="13"/>
    </row>
    <row r="270" ht="12.75">
      <c r="C270" s="13"/>
    </row>
    <row r="271" ht="12.75">
      <c r="C271" s="13"/>
    </row>
    <row r="272" ht="12.75">
      <c r="C272" s="13"/>
    </row>
    <row r="273" ht="12.75">
      <c r="C273" s="13"/>
    </row>
    <row r="274" ht="12.75">
      <c r="C274" s="13"/>
    </row>
    <row r="275" ht="12.75">
      <c r="C275" s="13"/>
    </row>
    <row r="276" ht="12.75">
      <c r="C276" s="13"/>
    </row>
    <row r="277" ht="12.75">
      <c r="C277" s="13"/>
    </row>
    <row r="278" ht="12.75">
      <c r="C278" s="13"/>
    </row>
    <row r="279" ht="12.75">
      <c r="C279" s="13"/>
    </row>
    <row r="280" ht="12.75">
      <c r="C280" s="13"/>
    </row>
    <row r="281" ht="12.75">
      <c r="C281" s="13"/>
    </row>
    <row r="282" ht="12.75">
      <c r="C282" s="13"/>
    </row>
    <row r="283" ht="12.75">
      <c r="C283" s="13"/>
    </row>
    <row r="284" ht="12.75">
      <c r="C284" s="13"/>
    </row>
    <row r="285" ht="12.75">
      <c r="C285" s="13"/>
    </row>
    <row r="286" ht="12.75">
      <c r="C286" s="13"/>
    </row>
    <row r="287" ht="12.75">
      <c r="C287" s="13"/>
    </row>
    <row r="288" ht="12.75">
      <c r="C288" s="13"/>
    </row>
    <row r="289" ht="12.75">
      <c r="C289" s="13"/>
    </row>
    <row r="290" ht="12.75">
      <c r="C290" s="13"/>
    </row>
    <row r="291" ht="12.75">
      <c r="C291" s="13"/>
    </row>
    <row r="292" ht="12.75">
      <c r="C292" s="13"/>
    </row>
    <row r="293" ht="12.75">
      <c r="C293" s="13"/>
    </row>
    <row r="294" ht="12.75">
      <c r="C294" s="13"/>
    </row>
    <row r="295" ht="12.75">
      <c r="C295" s="13"/>
    </row>
    <row r="296" ht="12.75">
      <c r="C296" s="13"/>
    </row>
    <row r="297" ht="12.75">
      <c r="C297" s="13"/>
    </row>
    <row r="298" ht="12.75">
      <c r="C298" s="13"/>
    </row>
    <row r="299" ht="12.75">
      <c r="C299" s="13"/>
    </row>
    <row r="300" ht="12.75">
      <c r="C300" s="13"/>
    </row>
    <row r="301" ht="12.75">
      <c r="C301" s="13"/>
    </row>
    <row r="302" ht="12.75">
      <c r="C302" s="13"/>
    </row>
    <row r="303" ht="12.75">
      <c r="C303" s="13"/>
    </row>
    <row r="304" ht="12.75">
      <c r="C304" s="13"/>
    </row>
    <row r="305" ht="12.75">
      <c r="C305" s="13"/>
    </row>
  </sheetData>
  <mergeCells count="2">
    <mergeCell ref="B3:C3"/>
    <mergeCell ref="F3:G8"/>
  </mergeCells>
  <printOptions horizontalCentered="1" verticalCentered="1"/>
  <pageMargins left="0.5" right="0.5" top="0.75" bottom="0.75" header="0.5" footer="0.5"/>
  <pageSetup fitToHeight="3" fitToWidth="1" horizontalDpi="300" verticalDpi="300" orientation="landscape" scale="75" r:id="rId1"/>
  <headerFooter alignWithMargins="0">
    <oddHeader>&amp;CDocumentation of EPA Calculations.  May 2000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MTF State Caucus</dc:creator>
  <cp:keywords/>
  <dc:description/>
  <cp:lastModifiedBy>TK</cp:lastModifiedBy>
  <cp:lastPrinted>2000-08-22T13:45:22Z</cp:lastPrinted>
  <dcterms:created xsi:type="dcterms:W3CDTF">2000-03-10T14:46:35Z</dcterms:created>
  <dcterms:modified xsi:type="dcterms:W3CDTF">2000-05-17T20:53:55Z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