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4" activeTab="10"/>
  </bookViews>
  <sheets>
    <sheet name="Scen A" sheetId="1" r:id="rId1"/>
    <sheet name="Scen B" sheetId="2" r:id="rId2"/>
    <sheet name="A vs. B" sheetId="3" r:id="rId3"/>
    <sheet name="Health Risk" sheetId="4" r:id="rId4"/>
    <sheet name="Outpatient" sheetId="5" r:id="rId5"/>
    <sheet name="Sheet1" sheetId="6" r:id="rId6"/>
    <sheet name="Sheet2" sheetId="7" r:id="rId7"/>
    <sheet name="Sheet3" sheetId="8" r:id="rId8"/>
    <sheet name="Sheet4" sheetId="9" r:id="rId9"/>
    <sheet name="Orig" sheetId="10" r:id="rId10"/>
    <sheet name="Summ" sheetId="11" r:id="rId11"/>
  </sheets>
  <definedNames>
    <definedName name="_xlnm.Print_Area" localSheetId="2">'A vs. B'!$A:$IV</definedName>
  </definedNames>
  <calcPr fullCalcOnLoad="1"/>
</workbook>
</file>

<file path=xl/sharedStrings.xml><?xml version="1.0" encoding="utf-8"?>
<sst xmlns="http://schemas.openxmlformats.org/spreadsheetml/2006/main" count="145" uniqueCount="88">
  <si>
    <t>PIPDCG</t>
  </si>
  <si>
    <t>None</t>
  </si>
  <si>
    <t>Yr. 2 Pts (A)</t>
  </si>
  <si>
    <t>Age 73 Avg M/F Base Pmt (B)</t>
  </si>
  <si>
    <t>PIPDCG Pmt (C)</t>
  </si>
  <si>
    <t>Total Pmt/Pt (B+C)</t>
  </si>
  <si>
    <t>Total Category Pmt (A*(B+C))</t>
  </si>
  <si>
    <t xml:space="preserve"> * Assumes incremental pts with Yr. 2 CHF admission all came from "None" category (i.e., no change in volume of other PIPDCGs) </t>
  </si>
  <si>
    <t>% with Yr. 2 CHF Admit (i.e., in PIPDCG 16):</t>
  </si>
  <si>
    <t>SCENARIO A -- DM PROGRAM:</t>
  </si>
  <si>
    <t xml:space="preserve">SCENARIO B -- NO DM PROGRAM:  </t>
  </si>
  <si>
    <t>% with any PIPDCG-Qualifying Yr. 2 Admit:</t>
  </si>
  <si>
    <t>PIPDCG ANALYSIS -- POST CHF DISEASE MANAGEMENT IMPLEMENTATION</t>
  </si>
  <si>
    <t>Total Yr. 3 PIPDCG Pmt w/ DM Program:</t>
  </si>
  <si>
    <t>Total Yr. 3 PIPDCG Pmt w/out DM Program:*</t>
  </si>
  <si>
    <t>DM Program</t>
  </si>
  <si>
    <t>No DM Program</t>
  </si>
  <si>
    <t>CHF Patients</t>
  </si>
  <si>
    <t>Baseline Cost/Pt/Yr</t>
  </si>
  <si>
    <t>DM Savings %</t>
  </si>
  <si>
    <t>DM Program Cost/Pt/Yr</t>
  </si>
  <si>
    <t>Total Baseline Cost/Yr (A)</t>
  </si>
  <si>
    <t>Gross DM Savings (B)</t>
  </si>
  <si>
    <t>Gross DM Program Cost (C)</t>
  </si>
  <si>
    <t>Total Cost (A-B+C)</t>
  </si>
  <si>
    <t>Total PIPDCG Reimb.</t>
  </si>
  <si>
    <t>Gain/(Loss) on CHF Pts.</t>
  </si>
  <si>
    <t>RELATIVE COST ANALYSIS WITH AND WITHOUT CHF DM PROGRAM (ILLUSTRATIVE)</t>
  </si>
  <si>
    <t>Methodology/Assumptions:</t>
  </si>
  <si>
    <t xml:space="preserve"> -  Commissioned study via Integrated Healthcare Information Services, who used DxCG software for grouping</t>
  </si>
  <si>
    <t xml:space="preserve"> -  Analyzed 1,015 CHF DM program patients who had a CHF admission in Year 1, and for whom claims data spanned at least through Year 2</t>
  </si>
  <si>
    <t xml:space="preserve"> -  CHF admissions had a length of stay &gt;= 2 days (minimum for PIP qualifying)</t>
  </si>
  <si>
    <t xml:space="preserve"> -  PIPDCG assignments based on current Medicare methodology; PIPDCG reimbursement based on 9/8/98 Federal Register document</t>
  </si>
  <si>
    <t xml:space="preserve"> -  Scenario B is hypothetical, not based on the dataset mentioned above</t>
  </si>
  <si>
    <t>PIP-DCG</t>
  </si>
  <si>
    <t>(A)</t>
  </si>
  <si>
    <t>(B)</t>
  </si>
  <si>
    <t>(C)</t>
  </si>
  <si>
    <t>(B+C)</t>
  </si>
  <si>
    <t>A*(B+C)</t>
  </si>
  <si>
    <t># of Pts (2nd Yr)</t>
  </si>
  <si>
    <t xml:space="preserve">Avg. Age/Sex Base Pmt </t>
  </si>
  <si>
    <t>PIP-DCG Pmt</t>
  </si>
  <si>
    <t>Total Pmt/Pt</t>
  </si>
  <si>
    <t>Total Category Pmt</t>
  </si>
  <si>
    <t>Cumulative %</t>
  </si>
  <si>
    <t>Expected CHF Cost/Pt/Yr:</t>
  </si>
  <si>
    <t>CHF Patients:</t>
  </si>
  <si>
    <t>DM Program % Savings:</t>
  </si>
  <si>
    <t>Total PIP-DCG Reimbursement:</t>
  </si>
  <si>
    <t>Total Expected CHF Cost (D):</t>
  </si>
  <si>
    <t>Gross DM Savings (E):</t>
  </si>
  <si>
    <t>DM Program Cost/Pt/Yr:</t>
  </si>
  <si>
    <t>Gross DM Program Cost (F):</t>
  </si>
  <si>
    <t>Total Cost (D-E+F):</t>
  </si>
  <si>
    <t>Gain/(Loss) on CHF Pts.:</t>
  </si>
  <si>
    <t>PIP-DCG Reimb (see above):</t>
  </si>
  <si>
    <t xml:space="preserve"> -  Analyzed 1,015 CHF DM program patients who had a PIP-DCG-qualifying CHF admission in a one year and for whom claims data</t>
  </si>
  <si>
    <t xml:space="preserve"> spanned through the next year.</t>
  </si>
  <si>
    <t>SCENARIO A SUMMARY:</t>
  </si>
  <si>
    <t>(No DM Program)</t>
  </si>
  <si>
    <t>SCENARIO B SUMMARY:</t>
  </si>
  <si>
    <t xml:space="preserve"> -  DM program % savings reflects Ralin's actual experience based on over 130,000 months of program experience since 1995.</t>
  </si>
  <si>
    <t xml:space="preserve"> -  Commissioned study via Integrated Healthcare Information Services, who used DxCG software for grouping.</t>
  </si>
  <si>
    <t xml:space="preserve"> -  PIP-DCG assignments based on current Medicare methodology; PIP-DCG reimbursement based on 9/8/98 Federal Register document.</t>
  </si>
  <si>
    <t xml:space="preserve"> -  To determine average base payments, used male and female base payment categories with average age of population (73 years old).</t>
  </si>
  <si>
    <t xml:space="preserve"> -  Used Integrated Healthcare Information Services study (see Scenario A) as a starting point.</t>
  </si>
  <si>
    <t xml:space="preserve"> -  Searched available literature (see Appendix) to estimate number of PIP-DCG 16/CHF admisssions; assumed all other PIP-DCG </t>
  </si>
  <si>
    <t>admissions remained constant.</t>
  </si>
  <si>
    <t>SCENARIO A -- HEALTH PROMOTION PROGRAM (ACTUAL RESULTS)</t>
  </si>
  <si>
    <t>SCENARIO B -- NO HEALTH PROMOTION PROGRAM</t>
  </si>
  <si>
    <t>(No Program)</t>
  </si>
  <si>
    <t>(With Program)</t>
  </si>
  <si>
    <t>SCENARIO A</t>
  </si>
  <si>
    <t>SCENARIO B</t>
  </si>
  <si>
    <t>FINANCIAL COMPARISON OF SCENARIO A VERSUS SCENARIO B</t>
  </si>
  <si>
    <t>HEALTH RISK ASSESSMENT IMPACT OF HEALTH PROMOTION PROGRAM</t>
  </si>
  <si>
    <t>Initial Year</t>
  </si>
  <si>
    <t>Estimates of Health Risk with Health Promotion Program Using Different Models:</t>
  </si>
  <si>
    <t>PIP-DCG Risk</t>
  </si>
  <si>
    <t>HCC-DCG Risk</t>
  </si>
  <si>
    <t>Age-Sex Risk</t>
  </si>
  <si>
    <t>SCENARIO C</t>
  </si>
  <si>
    <t>IMPACT OF OUTPATIENT METHODOLOGY ON FINANCIAL ANALYSIS</t>
  </si>
  <si>
    <t xml:space="preserve">Following Year (with Health Promotion Program) </t>
  </si>
  <si>
    <t>SCENARIO D</t>
  </si>
  <si>
    <t>(W/ Prog. -- HCC-DCG Reimb.)</t>
  </si>
  <si>
    <t>(W/ Prog. -- All at PIP-DCG 16)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</si>
</sst>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000000000000%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Alignment="1">
      <alignment/>
    </xf>
    <xf numFmtId="8" fontId="0" fillId="0" borderId="4" xfId="0" applyNumberForma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D1">
      <selection activeCell="A1" sqref="A1"/>
    </sheetView>
  </sheetViews>
  <sheetFormatPr defaultColWidth="9.140625" defaultRowHeight="12.75"/>
  <cols>
    <col min="1" max="1" width="9.7109375" style="0" customWidth="1"/>
    <col min="2" max="2" width="17.00390625" style="0" customWidth="1"/>
    <col min="3" max="3" width="16.00390625" style="0" customWidth="1"/>
    <col min="4" max="4" width="24.28125" style="0" customWidth="1"/>
    <col min="5" max="6" width="14.57421875" style="0" customWidth="1"/>
    <col min="7" max="7" width="19.00390625" style="0" customWidth="1"/>
  </cols>
  <sheetData>
    <row r="1" ht="18">
      <c r="A1" s="41" t="s">
        <v>69</v>
      </c>
    </row>
    <row r="3" spans="1:7" s="24" customFormat="1" ht="12.75">
      <c r="A3" s="27"/>
      <c r="B3" s="27" t="s">
        <v>35</v>
      </c>
      <c r="C3" s="27"/>
      <c r="D3" s="27" t="s">
        <v>36</v>
      </c>
      <c r="E3" s="27" t="s">
        <v>37</v>
      </c>
      <c r="F3" s="27" t="s">
        <v>38</v>
      </c>
      <c r="G3" s="27" t="s">
        <v>39</v>
      </c>
    </row>
    <row r="4" spans="1:7" ht="13.5" thickBot="1">
      <c r="A4" s="27" t="s">
        <v>34</v>
      </c>
      <c r="B4" s="27" t="s">
        <v>40</v>
      </c>
      <c r="C4" s="27" t="s">
        <v>45</v>
      </c>
      <c r="D4" s="27" t="s">
        <v>41</v>
      </c>
      <c r="E4" s="27" t="s">
        <v>42</v>
      </c>
      <c r="F4" s="27" t="s">
        <v>43</v>
      </c>
      <c r="G4" s="27" t="s">
        <v>44</v>
      </c>
    </row>
    <row r="5" spans="1:7" ht="13.5" thickBot="1">
      <c r="A5" s="24" t="s">
        <v>1</v>
      </c>
      <c r="B5" s="24">
        <v>725</v>
      </c>
      <c r="C5" s="31">
        <f>B5/B$16</f>
        <v>0.7142857142857143</v>
      </c>
      <c r="D5" s="25">
        <v>3410</v>
      </c>
      <c r="E5" s="25">
        <v>0</v>
      </c>
      <c r="F5" s="25">
        <f>D5+E5</f>
        <v>3410</v>
      </c>
      <c r="G5" s="25">
        <f>B5*(D5+E5)</f>
        <v>2472250</v>
      </c>
    </row>
    <row r="6" spans="1:7" ht="12.75">
      <c r="A6" s="24">
        <v>8</v>
      </c>
      <c r="B6" s="24">
        <v>39</v>
      </c>
      <c r="C6" s="28">
        <f>(B6/B$16)+C5</f>
        <v>0.7527093596059113</v>
      </c>
      <c r="D6" s="25">
        <v>3410</v>
      </c>
      <c r="E6" s="25">
        <v>4406</v>
      </c>
      <c r="F6" s="25">
        <f aca="true" t="shared" si="0" ref="F6:F15">D6+E6</f>
        <v>7816</v>
      </c>
      <c r="G6" s="25">
        <f aca="true" t="shared" si="1" ref="G6:G15">B6*(D6+E6)</f>
        <v>304824</v>
      </c>
    </row>
    <row r="7" spans="1:7" ht="12.75">
      <c r="A7" s="24">
        <v>9</v>
      </c>
      <c r="B7" s="24">
        <v>27</v>
      </c>
      <c r="C7" s="28">
        <f aca="true" t="shared" si="2" ref="C7:C15">(B7/B$16)+C6</f>
        <v>0.7793103448275862</v>
      </c>
      <c r="D7" s="25">
        <v>3410</v>
      </c>
      <c r="E7" s="25">
        <f>(E6+E8)/2</f>
        <v>5117.5</v>
      </c>
      <c r="F7" s="25">
        <f t="shared" si="0"/>
        <v>8527.5</v>
      </c>
      <c r="G7" s="25">
        <f t="shared" si="1"/>
        <v>230242.5</v>
      </c>
    </row>
    <row r="8" spans="1:7" ht="12.75">
      <c r="A8" s="24">
        <v>10</v>
      </c>
      <c r="B8" s="24">
        <v>7</v>
      </c>
      <c r="C8" s="28">
        <f t="shared" si="2"/>
        <v>0.7862068965517242</v>
      </c>
      <c r="D8" s="25">
        <v>3410</v>
      </c>
      <c r="E8" s="25">
        <v>5829</v>
      </c>
      <c r="F8" s="25">
        <f t="shared" si="0"/>
        <v>9239</v>
      </c>
      <c r="G8" s="25">
        <f t="shared" si="1"/>
        <v>64673</v>
      </c>
    </row>
    <row r="9" spans="1:7" ht="12.75">
      <c r="A9" s="24">
        <v>11</v>
      </c>
      <c r="B9" s="24">
        <v>31</v>
      </c>
      <c r="C9" s="28">
        <f t="shared" si="2"/>
        <v>0.8167487684729065</v>
      </c>
      <c r="D9" s="25">
        <v>3410</v>
      </c>
      <c r="E9" s="25">
        <f>(E8+E10)/2</f>
        <v>6889.5</v>
      </c>
      <c r="F9" s="25">
        <f t="shared" si="0"/>
        <v>10299.5</v>
      </c>
      <c r="G9" s="25">
        <f t="shared" si="1"/>
        <v>319284.5</v>
      </c>
    </row>
    <row r="10" spans="1:9" ht="13.5" thickBot="1">
      <c r="A10" s="24">
        <v>12</v>
      </c>
      <c r="B10" s="24">
        <v>15</v>
      </c>
      <c r="C10" s="28">
        <f t="shared" si="2"/>
        <v>0.8315270935960591</v>
      </c>
      <c r="D10" s="25">
        <v>3410</v>
      </c>
      <c r="E10" s="25">
        <v>7950</v>
      </c>
      <c r="F10" s="25">
        <f t="shared" si="0"/>
        <v>11360</v>
      </c>
      <c r="G10" s="25">
        <f t="shared" si="1"/>
        <v>170400</v>
      </c>
      <c r="I10" s="24"/>
    </row>
    <row r="11" spans="1:7" ht="13.5" thickBot="1">
      <c r="A11" s="24">
        <v>14</v>
      </c>
      <c r="B11" s="24">
        <v>5</v>
      </c>
      <c r="C11" s="31">
        <f t="shared" si="2"/>
        <v>0.8364532019704434</v>
      </c>
      <c r="D11" s="25">
        <v>3410</v>
      </c>
      <c r="E11" s="25">
        <v>9946</v>
      </c>
      <c r="F11" s="25">
        <f t="shared" si="0"/>
        <v>13356</v>
      </c>
      <c r="G11" s="25">
        <f t="shared" si="1"/>
        <v>66780</v>
      </c>
    </row>
    <row r="12" spans="1:7" ht="12.75">
      <c r="A12" s="24">
        <v>16</v>
      </c>
      <c r="B12" s="24">
        <v>137</v>
      </c>
      <c r="C12" s="28">
        <f t="shared" si="2"/>
        <v>0.9714285714285714</v>
      </c>
      <c r="D12" s="25">
        <v>3410</v>
      </c>
      <c r="E12" s="25">
        <f>(E11+E13)/2</f>
        <v>11014.5</v>
      </c>
      <c r="F12" s="25">
        <f t="shared" si="0"/>
        <v>14424.5</v>
      </c>
      <c r="G12" s="25">
        <f t="shared" si="1"/>
        <v>1976156.5</v>
      </c>
    </row>
    <row r="13" spans="1:7" ht="12.75">
      <c r="A13" s="24">
        <v>18</v>
      </c>
      <c r="B13" s="24">
        <v>4</v>
      </c>
      <c r="C13" s="28">
        <f t="shared" si="2"/>
        <v>0.9753694581280788</v>
      </c>
      <c r="D13" s="25">
        <v>3410</v>
      </c>
      <c r="E13" s="25">
        <v>12083</v>
      </c>
      <c r="F13" s="25">
        <f t="shared" si="0"/>
        <v>15493</v>
      </c>
      <c r="G13" s="25">
        <f t="shared" si="1"/>
        <v>61972</v>
      </c>
    </row>
    <row r="14" spans="1:7" ht="12.75">
      <c r="A14" s="24">
        <v>20</v>
      </c>
      <c r="B14" s="24">
        <v>14</v>
      </c>
      <c r="C14" s="28">
        <f t="shared" si="2"/>
        <v>0.9891625615763547</v>
      </c>
      <c r="D14" s="25">
        <v>3410</v>
      </c>
      <c r="E14" s="25">
        <v>16346</v>
      </c>
      <c r="F14" s="25">
        <f t="shared" si="0"/>
        <v>19756</v>
      </c>
      <c r="G14" s="25">
        <f t="shared" si="1"/>
        <v>276584</v>
      </c>
    </row>
    <row r="15" spans="1:7" ht="13.5" thickBot="1">
      <c r="A15" s="24">
        <v>23</v>
      </c>
      <c r="B15" s="30">
        <v>11</v>
      </c>
      <c r="C15" s="28">
        <f t="shared" si="2"/>
        <v>1</v>
      </c>
      <c r="D15" s="25">
        <v>3410</v>
      </c>
      <c r="E15" s="25">
        <v>18950</v>
      </c>
      <c r="F15" s="25">
        <f t="shared" si="0"/>
        <v>22360</v>
      </c>
      <c r="G15" s="29">
        <f t="shared" si="1"/>
        <v>245960</v>
      </c>
    </row>
    <row r="16" spans="1:7" ht="13.5" thickBot="1">
      <c r="A16" s="24"/>
      <c r="B16" s="24">
        <f>SUM(B5:B15)</f>
        <v>1015</v>
      </c>
      <c r="C16" s="24"/>
      <c r="D16" s="1"/>
      <c r="E16" s="33" t="s">
        <v>49</v>
      </c>
      <c r="F16" s="1"/>
      <c r="G16" s="32">
        <f>SUM(G5:G15)</f>
        <v>6189126.5</v>
      </c>
    </row>
    <row r="17" ht="12.75">
      <c r="A17" s="7"/>
    </row>
    <row r="18" ht="12.75">
      <c r="A18" s="7" t="s">
        <v>59</v>
      </c>
    </row>
    <row r="20" spans="2:4" ht="12.75">
      <c r="B20" s="2" t="s">
        <v>47</v>
      </c>
      <c r="C20" s="2"/>
      <c r="D20" s="34">
        <f>B16</f>
        <v>1015</v>
      </c>
    </row>
    <row r="21" spans="2:4" ht="12.75">
      <c r="B21" s="2" t="s">
        <v>46</v>
      </c>
      <c r="C21" s="2"/>
      <c r="D21" s="35">
        <v>18000</v>
      </c>
    </row>
    <row r="22" spans="2:4" ht="12.75">
      <c r="B22" s="2" t="s">
        <v>50</v>
      </c>
      <c r="C22" s="2"/>
      <c r="D22" s="36">
        <f>D21*B16</f>
        <v>18270000</v>
      </c>
    </row>
    <row r="23" ht="12.75">
      <c r="D23" s="24"/>
    </row>
    <row r="24" spans="2:4" ht="12.75">
      <c r="B24" s="7" t="s">
        <v>48</v>
      </c>
      <c r="D24" s="39">
        <v>0.4</v>
      </c>
    </row>
    <row r="25" spans="2:4" ht="12.75">
      <c r="B25" s="2" t="s">
        <v>51</v>
      </c>
      <c r="D25" s="36">
        <f>D24*D22</f>
        <v>7308000</v>
      </c>
    </row>
    <row r="26" spans="2:4" ht="12.75">
      <c r="B26" s="2"/>
      <c r="D26" s="24"/>
    </row>
    <row r="27" spans="2:4" ht="12.75">
      <c r="B27" s="2" t="s">
        <v>52</v>
      </c>
      <c r="D27" s="36">
        <v>3500</v>
      </c>
    </row>
    <row r="28" spans="2:4" ht="12.75">
      <c r="B28" s="2" t="s">
        <v>53</v>
      </c>
      <c r="D28" s="36">
        <f>D27*D20</f>
        <v>3552500</v>
      </c>
    </row>
    <row r="29" spans="2:4" ht="12.75">
      <c r="B29" s="2"/>
      <c r="D29" s="24"/>
    </row>
    <row r="30" spans="2:4" ht="12.75">
      <c r="B30" s="2" t="s">
        <v>54</v>
      </c>
      <c r="D30" s="36">
        <f>D22-D25+D28</f>
        <v>14514500</v>
      </c>
    </row>
    <row r="31" spans="2:4" ht="13.5" thickBot="1">
      <c r="B31" s="2" t="s">
        <v>56</v>
      </c>
      <c r="D31" s="37">
        <f>G16</f>
        <v>6189126.5</v>
      </c>
    </row>
    <row r="32" spans="2:4" ht="13.5" thickBot="1">
      <c r="B32" s="2" t="s">
        <v>55</v>
      </c>
      <c r="D32" s="38">
        <f>D31-D30</f>
        <v>-8325373.5</v>
      </c>
    </row>
    <row r="34" spans="1:7" ht="12.75">
      <c r="A34" s="17" t="s">
        <v>28</v>
      </c>
      <c r="B34" s="18"/>
      <c r="C34" s="18"/>
      <c r="D34" s="18"/>
      <c r="E34" s="18"/>
      <c r="F34" s="18"/>
      <c r="G34" s="19"/>
    </row>
    <row r="35" spans="1:7" ht="12.75">
      <c r="A35" s="20" t="s">
        <v>63</v>
      </c>
      <c r="B35" s="11"/>
      <c r="C35" s="11"/>
      <c r="D35" s="11"/>
      <c r="E35" s="11"/>
      <c r="F35" s="11"/>
      <c r="G35" s="21"/>
    </row>
    <row r="36" spans="1:7" ht="12.75">
      <c r="A36" s="20" t="s">
        <v>57</v>
      </c>
      <c r="B36" s="11"/>
      <c r="C36" s="11"/>
      <c r="D36" s="11"/>
      <c r="E36" s="11"/>
      <c r="F36" s="11"/>
      <c r="G36" s="21"/>
    </row>
    <row r="37" spans="1:7" ht="12.75">
      <c r="A37" s="20"/>
      <c r="B37" s="11" t="s">
        <v>58</v>
      </c>
      <c r="C37" s="11"/>
      <c r="D37" s="11"/>
      <c r="E37" s="11"/>
      <c r="F37" s="11"/>
      <c r="G37" s="21"/>
    </row>
    <row r="38" spans="1:7" ht="12.75">
      <c r="A38" s="20" t="s">
        <v>64</v>
      </c>
      <c r="B38" s="11"/>
      <c r="C38" s="11"/>
      <c r="D38" s="11"/>
      <c r="E38" s="11"/>
      <c r="F38" s="11"/>
      <c r="G38" s="21"/>
    </row>
    <row r="39" spans="1:7" ht="12.75">
      <c r="A39" s="20" t="s">
        <v>65</v>
      </c>
      <c r="B39" s="11"/>
      <c r="C39" s="11"/>
      <c r="D39" s="11"/>
      <c r="E39" s="11"/>
      <c r="F39" s="11"/>
      <c r="G39" s="21"/>
    </row>
    <row r="40" spans="1:7" ht="12.75">
      <c r="A40" s="22" t="s">
        <v>62</v>
      </c>
      <c r="B40" s="4"/>
      <c r="C40" s="4"/>
      <c r="D40" s="4"/>
      <c r="E40" s="4"/>
      <c r="F40" s="4"/>
      <c r="G40" s="23"/>
    </row>
    <row r="41" spans="1:7" ht="12.75">
      <c r="A41" s="11"/>
      <c r="B41" s="11"/>
      <c r="C41" s="11"/>
      <c r="D41" s="11"/>
      <c r="E41" s="11"/>
      <c r="F41" s="11"/>
      <c r="G41" s="11"/>
    </row>
    <row r="42" ht="12.75">
      <c r="I42" s="40">
        <v>11</v>
      </c>
    </row>
  </sheetData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C4">
      <selection activeCell="C15" sqref="C15"/>
    </sheetView>
  </sheetViews>
  <sheetFormatPr defaultColWidth="9.140625" defaultRowHeight="12.75"/>
  <cols>
    <col min="1" max="1" width="8.140625" style="0" customWidth="1"/>
    <col min="2" max="2" width="11.8515625" style="0" customWidth="1"/>
    <col min="3" max="3" width="31.421875" style="0" customWidth="1"/>
    <col min="4" max="4" width="18.57421875" style="0" customWidth="1"/>
    <col min="5" max="5" width="22.00390625" style="0" customWidth="1"/>
    <col min="6" max="6" width="25.7109375" style="0" customWidth="1"/>
  </cols>
  <sheetData>
    <row r="2" ht="12.75">
      <c r="A2" s="2" t="s">
        <v>12</v>
      </c>
    </row>
    <row r="4" spans="1:6" ht="12.75">
      <c r="A4" t="s">
        <v>0</v>
      </c>
      <c r="B4" t="s">
        <v>2</v>
      </c>
      <c r="C4" t="s">
        <v>3</v>
      </c>
      <c r="D4" t="s">
        <v>4</v>
      </c>
      <c r="E4" t="s">
        <v>5</v>
      </c>
      <c r="F4" t="s">
        <v>6</v>
      </c>
    </row>
    <row r="5" spans="1:6" ht="12.75">
      <c r="A5" t="s">
        <v>1</v>
      </c>
      <c r="B5">
        <v>725</v>
      </c>
      <c r="C5" s="1">
        <v>3410</v>
      </c>
      <c r="D5" s="1">
        <v>0</v>
      </c>
      <c r="E5" s="1">
        <f>C5+D5</f>
        <v>3410</v>
      </c>
      <c r="F5" s="1">
        <f>B5*(C5+D5)</f>
        <v>2472250</v>
      </c>
    </row>
    <row r="6" spans="1:6" ht="12.75">
      <c r="A6">
        <v>8</v>
      </c>
      <c r="B6">
        <v>39</v>
      </c>
      <c r="C6" s="1">
        <v>3410</v>
      </c>
      <c r="D6" s="1">
        <v>4406</v>
      </c>
      <c r="E6" s="1">
        <f aca="true" t="shared" si="0" ref="E6:E15">C6+D6</f>
        <v>7816</v>
      </c>
      <c r="F6" s="1">
        <f aca="true" t="shared" si="1" ref="F6:F15">B6*(C6+D6)</f>
        <v>304824</v>
      </c>
    </row>
    <row r="7" spans="1:6" ht="12.75">
      <c r="A7">
        <v>9</v>
      </c>
      <c r="B7">
        <v>27</v>
      </c>
      <c r="C7" s="1">
        <v>3410</v>
      </c>
      <c r="D7" s="1">
        <f>(D6+D8)/2</f>
        <v>5117.5</v>
      </c>
      <c r="E7" s="1">
        <f t="shared" si="0"/>
        <v>8527.5</v>
      </c>
      <c r="F7" s="1">
        <f t="shared" si="1"/>
        <v>230242.5</v>
      </c>
    </row>
    <row r="8" spans="1:6" ht="12.75">
      <c r="A8">
        <v>10</v>
      </c>
      <c r="B8">
        <v>7</v>
      </c>
      <c r="C8" s="1">
        <v>3410</v>
      </c>
      <c r="D8" s="1">
        <v>5829</v>
      </c>
      <c r="E8" s="1">
        <f t="shared" si="0"/>
        <v>9239</v>
      </c>
      <c r="F8" s="1">
        <f t="shared" si="1"/>
        <v>64673</v>
      </c>
    </row>
    <row r="9" spans="1:6" ht="12.75">
      <c r="A9">
        <v>11</v>
      </c>
      <c r="B9">
        <v>31</v>
      </c>
      <c r="C9" s="1">
        <v>3410</v>
      </c>
      <c r="D9" s="1">
        <f>(D8+D10)/2</f>
        <v>6889.5</v>
      </c>
      <c r="E9" s="1">
        <f t="shared" si="0"/>
        <v>10299.5</v>
      </c>
      <c r="F9" s="1">
        <f t="shared" si="1"/>
        <v>319284.5</v>
      </c>
    </row>
    <row r="10" spans="1:6" ht="12.75">
      <c r="A10">
        <v>12</v>
      </c>
      <c r="B10">
        <v>15</v>
      </c>
      <c r="C10" s="1">
        <v>3410</v>
      </c>
      <c r="D10" s="1">
        <v>7950</v>
      </c>
      <c r="E10" s="1">
        <f t="shared" si="0"/>
        <v>11360</v>
      </c>
      <c r="F10" s="1">
        <f t="shared" si="1"/>
        <v>170400</v>
      </c>
    </row>
    <row r="11" spans="1:6" ht="12.75">
      <c r="A11">
        <v>14</v>
      </c>
      <c r="B11">
        <v>5</v>
      </c>
      <c r="C11" s="1">
        <v>3410</v>
      </c>
      <c r="D11" s="1">
        <v>9946</v>
      </c>
      <c r="E11" s="1">
        <f t="shared" si="0"/>
        <v>13356</v>
      </c>
      <c r="F11" s="1">
        <f t="shared" si="1"/>
        <v>66780</v>
      </c>
    </row>
    <row r="12" spans="1:6" ht="12.75">
      <c r="A12">
        <v>16</v>
      </c>
      <c r="B12">
        <v>137</v>
      </c>
      <c r="C12" s="1">
        <v>3410</v>
      </c>
      <c r="D12" s="1">
        <f>(D11+D13)/2</f>
        <v>11014.5</v>
      </c>
      <c r="E12" s="1">
        <f t="shared" si="0"/>
        <v>14424.5</v>
      </c>
      <c r="F12" s="1">
        <f t="shared" si="1"/>
        <v>1976156.5</v>
      </c>
    </row>
    <row r="13" spans="1:6" ht="12.75">
      <c r="A13">
        <v>18</v>
      </c>
      <c r="B13">
        <v>4</v>
      </c>
      <c r="C13" s="1">
        <v>3410</v>
      </c>
      <c r="D13" s="1">
        <v>12083</v>
      </c>
      <c r="E13" s="1">
        <f t="shared" si="0"/>
        <v>15493</v>
      </c>
      <c r="F13" s="1">
        <f t="shared" si="1"/>
        <v>61972</v>
      </c>
    </row>
    <row r="14" spans="1:6" ht="12.75">
      <c r="A14">
        <v>20</v>
      </c>
      <c r="B14">
        <v>14</v>
      </c>
      <c r="C14" s="1">
        <v>3410</v>
      </c>
      <c r="D14" s="1">
        <v>16346</v>
      </c>
      <c r="E14" s="1">
        <f t="shared" si="0"/>
        <v>19756</v>
      </c>
      <c r="F14" s="1">
        <f t="shared" si="1"/>
        <v>276584</v>
      </c>
    </row>
    <row r="15" spans="1:6" ht="12.75">
      <c r="A15">
        <v>23</v>
      </c>
      <c r="B15" s="4">
        <v>11</v>
      </c>
      <c r="C15" s="1">
        <v>3410</v>
      </c>
      <c r="D15" s="1">
        <v>18950</v>
      </c>
      <c r="E15" s="1">
        <f t="shared" si="0"/>
        <v>22360</v>
      </c>
      <c r="F15" s="1">
        <f t="shared" si="1"/>
        <v>245960</v>
      </c>
    </row>
    <row r="16" spans="2:5" ht="12.75">
      <c r="B16">
        <f>SUM(B5:B15)</f>
        <v>1015</v>
      </c>
      <c r="C16" s="1"/>
      <c r="D16" s="1"/>
      <c r="E16" s="1"/>
    </row>
    <row r="17" spans="3:6" ht="12.75">
      <c r="C17" s="7" t="s">
        <v>9</v>
      </c>
      <c r="D17" s="2" t="s">
        <v>8</v>
      </c>
      <c r="F17" s="8">
        <f>B12/B16</f>
        <v>0.13497536945812807</v>
      </c>
    </row>
    <row r="18" spans="3:6" ht="13.5" thickBot="1">
      <c r="C18" s="5"/>
      <c r="D18" s="2" t="s">
        <v>11</v>
      </c>
      <c r="F18" s="9">
        <f>(SUM(B6:B15))/B16</f>
        <v>0.2857142857142857</v>
      </c>
    </row>
    <row r="19" spans="3:6" ht="13.5" thickBot="1">
      <c r="C19" s="5"/>
      <c r="D19" s="2" t="s">
        <v>13</v>
      </c>
      <c r="F19" s="3">
        <f>SUM(F5:F15)</f>
        <v>6189126.5</v>
      </c>
    </row>
    <row r="20" spans="3:6" ht="12.75">
      <c r="C20" s="5"/>
      <c r="D20" s="2"/>
      <c r="F20" s="6"/>
    </row>
    <row r="22" spans="3:6" ht="12.75">
      <c r="C22" s="7" t="s">
        <v>10</v>
      </c>
      <c r="D22" s="2" t="s">
        <v>8</v>
      </c>
      <c r="F22" s="10">
        <v>0.5</v>
      </c>
    </row>
    <row r="23" spans="4:6" ht="13.5" thickBot="1">
      <c r="D23" s="2" t="s">
        <v>11</v>
      </c>
      <c r="F23" s="8">
        <f>((F22*B16)+SUM(B6:B15)-B12)/1015</f>
        <v>0.6507389162561577</v>
      </c>
    </row>
    <row r="24" spans="4:6" ht="13.5" thickBot="1">
      <c r="D24" s="2" t="s">
        <v>14</v>
      </c>
      <c r="F24" s="3">
        <f>SUM(F13:F15)+SUM(F6:F11)+(F22*B16*E12)+(E5*((1-F22)*(B16)-(SUM(B13:B15)+SUM(B6:B11))))</f>
        <v>10269998.75</v>
      </c>
    </row>
    <row r="27" ht="12.75">
      <c r="A27" t="s">
        <v>7</v>
      </c>
    </row>
    <row r="29" spans="1:6" ht="12.75">
      <c r="A29" s="17" t="s">
        <v>28</v>
      </c>
      <c r="B29" s="18"/>
      <c r="C29" s="18"/>
      <c r="D29" s="18"/>
      <c r="E29" s="18"/>
      <c r="F29" s="19"/>
    </row>
    <row r="30" spans="1:6" ht="12.75">
      <c r="A30" s="20" t="s">
        <v>29</v>
      </c>
      <c r="B30" s="11"/>
      <c r="C30" s="11"/>
      <c r="D30" s="11"/>
      <c r="E30" s="11"/>
      <c r="F30" s="21"/>
    </row>
    <row r="31" spans="1:6" ht="12.75">
      <c r="A31" s="20" t="s">
        <v>30</v>
      </c>
      <c r="B31" s="11"/>
      <c r="C31" s="11"/>
      <c r="D31" s="11"/>
      <c r="E31" s="11"/>
      <c r="F31" s="21"/>
    </row>
    <row r="32" spans="1:6" ht="12.75">
      <c r="A32" s="20" t="s">
        <v>31</v>
      </c>
      <c r="B32" s="11"/>
      <c r="C32" s="11"/>
      <c r="D32" s="11"/>
      <c r="E32" s="11"/>
      <c r="F32" s="21"/>
    </row>
    <row r="33" spans="1:6" ht="12.75">
      <c r="A33" s="20" t="s">
        <v>32</v>
      </c>
      <c r="B33" s="11"/>
      <c r="C33" s="11"/>
      <c r="D33" s="11"/>
      <c r="E33" s="11"/>
      <c r="F33" s="21"/>
    </row>
    <row r="34" spans="1:6" ht="12.75">
      <c r="A34" s="22" t="s">
        <v>33</v>
      </c>
      <c r="B34" s="4"/>
      <c r="C34" s="4"/>
      <c r="D34" s="4"/>
      <c r="E34" s="4"/>
      <c r="F34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26.7109375" style="0" customWidth="1"/>
    <col min="2" max="2" width="16.00390625" style="0" customWidth="1"/>
    <col min="3" max="3" width="16.8515625" style="0" customWidth="1"/>
  </cols>
  <sheetData>
    <row r="1" ht="12.75">
      <c r="A1" s="2" t="s">
        <v>27</v>
      </c>
    </row>
    <row r="3" spans="2:3" ht="12.75">
      <c r="B3" s="2" t="s">
        <v>15</v>
      </c>
      <c r="C3" s="14" t="s">
        <v>16</v>
      </c>
    </row>
    <row r="4" spans="1:3" ht="12.75">
      <c r="A4" s="2" t="s">
        <v>17</v>
      </c>
      <c r="B4" s="15">
        <v>1015</v>
      </c>
      <c r="C4" s="15">
        <v>1015</v>
      </c>
    </row>
    <row r="5" spans="1:3" ht="12.75">
      <c r="A5" s="2" t="s">
        <v>18</v>
      </c>
      <c r="B5" s="12">
        <v>18000</v>
      </c>
      <c r="C5" s="12">
        <v>18000</v>
      </c>
    </row>
    <row r="6" spans="1:3" ht="12.75">
      <c r="A6" s="2" t="s">
        <v>21</v>
      </c>
      <c r="B6" s="12">
        <f>B5*B4</f>
        <v>18270000</v>
      </c>
      <c r="C6" s="12">
        <f>C5*C4</f>
        <v>18270000</v>
      </c>
    </row>
    <row r="7" ht="12.75">
      <c r="A7" s="2"/>
    </row>
    <row r="8" spans="1:3" ht="12.75">
      <c r="A8" s="2" t="s">
        <v>19</v>
      </c>
      <c r="B8" s="16">
        <v>0.4</v>
      </c>
      <c r="C8" s="16">
        <v>0</v>
      </c>
    </row>
    <row r="9" spans="1:3" ht="12.75">
      <c r="A9" s="2" t="s">
        <v>22</v>
      </c>
      <c r="B9" s="12">
        <f>B6*B8</f>
        <v>7308000</v>
      </c>
      <c r="C9" s="12">
        <f>C6*C8</f>
        <v>0</v>
      </c>
    </row>
    <row r="10" spans="1:3" ht="12.75">
      <c r="A10" s="2"/>
      <c r="B10" s="12"/>
      <c r="C10" s="12"/>
    </row>
    <row r="11" spans="1:3" ht="12.75">
      <c r="A11" s="2" t="s">
        <v>20</v>
      </c>
      <c r="B11" s="12">
        <v>3500</v>
      </c>
      <c r="C11" s="12">
        <v>0</v>
      </c>
    </row>
    <row r="12" spans="1:3" ht="12.75">
      <c r="A12" s="2" t="s">
        <v>23</v>
      </c>
      <c r="B12" s="12">
        <f>B11*B4</f>
        <v>3552500</v>
      </c>
      <c r="C12" s="12">
        <f>C11*C4</f>
        <v>0</v>
      </c>
    </row>
    <row r="13" spans="1:3" ht="12.75">
      <c r="A13" s="2"/>
      <c r="B13" s="12"/>
      <c r="C13" s="12"/>
    </row>
    <row r="14" spans="1:3" ht="12.75">
      <c r="A14" s="2" t="s">
        <v>24</v>
      </c>
      <c r="B14" s="12">
        <f>B6-B9+B12</f>
        <v>14514500</v>
      </c>
      <c r="C14" s="12">
        <f>C6-C9+C12</f>
        <v>18270000</v>
      </c>
    </row>
    <row r="15" spans="1:3" ht="13.5" thickBot="1">
      <c r="A15" s="2" t="s">
        <v>25</v>
      </c>
      <c r="B15" s="13">
        <f>Orig!F19</f>
        <v>6189126.5</v>
      </c>
      <c r="C15" s="13">
        <f>Orig!F24</f>
        <v>10269998.75</v>
      </c>
    </row>
    <row r="16" spans="1:3" ht="12.75">
      <c r="A16" s="2" t="s">
        <v>26</v>
      </c>
      <c r="B16" s="12">
        <f>B15-B14</f>
        <v>-8325373.5</v>
      </c>
      <c r="C16" s="12">
        <f>C15-C14</f>
        <v>-8000001.25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H39" sqref="H39"/>
    </sheetView>
  </sheetViews>
  <sheetFormatPr defaultColWidth="9.140625" defaultRowHeight="12.75"/>
  <cols>
    <col min="1" max="1" width="9.7109375" style="0" customWidth="1"/>
    <col min="2" max="2" width="17.00390625" style="0" customWidth="1"/>
    <col min="3" max="3" width="16.00390625" style="0" customWidth="1"/>
    <col min="4" max="4" width="24.28125" style="0" customWidth="1"/>
    <col min="5" max="6" width="14.57421875" style="0" customWidth="1"/>
    <col min="7" max="7" width="19.00390625" style="0" customWidth="1"/>
  </cols>
  <sheetData>
    <row r="1" ht="18">
      <c r="A1" s="41" t="s">
        <v>70</v>
      </c>
    </row>
    <row r="3" spans="1:7" s="24" customFormat="1" ht="12.75">
      <c r="A3" s="27"/>
      <c r="B3" s="27" t="s">
        <v>35</v>
      </c>
      <c r="C3" s="27"/>
      <c r="D3" s="27" t="s">
        <v>36</v>
      </c>
      <c r="E3" s="27" t="s">
        <v>37</v>
      </c>
      <c r="F3" s="27" t="s">
        <v>38</v>
      </c>
      <c r="G3" s="27" t="s">
        <v>39</v>
      </c>
    </row>
    <row r="4" spans="1:7" ht="13.5" thickBot="1">
      <c r="A4" s="27" t="s">
        <v>34</v>
      </c>
      <c r="B4" s="27" t="s">
        <v>40</v>
      </c>
      <c r="C4" s="27" t="s">
        <v>45</v>
      </c>
      <c r="D4" s="27" t="s">
        <v>41</v>
      </c>
      <c r="E4" s="27" t="s">
        <v>42</v>
      </c>
      <c r="F4" s="27" t="s">
        <v>43</v>
      </c>
      <c r="G4" s="27" t="s">
        <v>44</v>
      </c>
    </row>
    <row r="5" spans="1:7" ht="13.5" thickBot="1">
      <c r="A5" s="24" t="s">
        <v>1</v>
      </c>
      <c r="B5" s="24">
        <v>354</v>
      </c>
      <c r="C5" s="31">
        <f>B5/B$16</f>
        <v>0.34876847290640395</v>
      </c>
      <c r="D5" s="25">
        <v>3410</v>
      </c>
      <c r="E5" s="25">
        <v>0</v>
      </c>
      <c r="F5" s="25">
        <f>D5+E5</f>
        <v>3410</v>
      </c>
      <c r="G5" s="25">
        <f>B5*(D5+E5)</f>
        <v>1207140</v>
      </c>
    </row>
    <row r="6" spans="1:7" ht="12.75">
      <c r="A6" s="24">
        <v>8</v>
      </c>
      <c r="B6" s="24">
        <v>39</v>
      </c>
      <c r="C6" s="28">
        <f>(B6/B$16)+C5</f>
        <v>0.387192118226601</v>
      </c>
      <c r="D6" s="25">
        <v>3410</v>
      </c>
      <c r="E6" s="25">
        <v>4406</v>
      </c>
      <c r="F6" s="25">
        <f aca="true" t="shared" si="0" ref="F6:F15">D6+E6</f>
        <v>7816</v>
      </c>
      <c r="G6" s="25">
        <f aca="true" t="shared" si="1" ref="G6:G15">B6*(D6+E6)</f>
        <v>304824</v>
      </c>
    </row>
    <row r="7" spans="1:7" ht="12.75">
      <c r="A7" s="24">
        <v>9</v>
      </c>
      <c r="B7" s="24">
        <v>27</v>
      </c>
      <c r="C7" s="28">
        <f aca="true" t="shared" si="2" ref="C7:C15">(B7/B$16)+C6</f>
        <v>0.41379310344827586</v>
      </c>
      <c r="D7" s="25">
        <v>3410</v>
      </c>
      <c r="E7" s="25">
        <f>(E6+E8)/2</f>
        <v>5117.5</v>
      </c>
      <c r="F7" s="25">
        <f t="shared" si="0"/>
        <v>8527.5</v>
      </c>
      <c r="G7" s="25">
        <f t="shared" si="1"/>
        <v>230242.5</v>
      </c>
    </row>
    <row r="8" spans="1:7" ht="12.75">
      <c r="A8" s="24">
        <v>10</v>
      </c>
      <c r="B8" s="24">
        <v>7</v>
      </c>
      <c r="C8" s="28">
        <f t="shared" si="2"/>
        <v>0.4206896551724138</v>
      </c>
      <c r="D8" s="25">
        <v>3410</v>
      </c>
      <c r="E8" s="25">
        <v>5829</v>
      </c>
      <c r="F8" s="25">
        <f t="shared" si="0"/>
        <v>9239</v>
      </c>
      <c r="G8" s="25">
        <f t="shared" si="1"/>
        <v>64673</v>
      </c>
    </row>
    <row r="9" spans="1:7" ht="12.75">
      <c r="A9" s="24">
        <v>11</v>
      </c>
      <c r="B9" s="24">
        <v>31</v>
      </c>
      <c r="C9" s="28">
        <f t="shared" si="2"/>
        <v>0.45123152709359604</v>
      </c>
      <c r="D9" s="25">
        <v>3410</v>
      </c>
      <c r="E9" s="25">
        <f>(E8+E10)/2</f>
        <v>6889.5</v>
      </c>
      <c r="F9" s="25">
        <f t="shared" si="0"/>
        <v>10299.5</v>
      </c>
      <c r="G9" s="25">
        <f t="shared" si="1"/>
        <v>319284.5</v>
      </c>
    </row>
    <row r="10" spans="1:9" ht="13.5" thickBot="1">
      <c r="A10" s="24">
        <v>12</v>
      </c>
      <c r="B10" s="24">
        <v>15</v>
      </c>
      <c r="C10" s="28">
        <f t="shared" si="2"/>
        <v>0.46600985221674873</v>
      </c>
      <c r="D10" s="25">
        <v>3410</v>
      </c>
      <c r="E10" s="25">
        <v>7950</v>
      </c>
      <c r="F10" s="25">
        <f t="shared" si="0"/>
        <v>11360</v>
      </c>
      <c r="G10" s="25">
        <f t="shared" si="1"/>
        <v>170400</v>
      </c>
      <c r="I10" s="24"/>
    </row>
    <row r="11" spans="1:7" ht="13.5" thickBot="1">
      <c r="A11" s="24">
        <v>14</v>
      </c>
      <c r="B11" s="24">
        <v>5</v>
      </c>
      <c r="C11" s="31">
        <f t="shared" si="2"/>
        <v>0.47093596059113296</v>
      </c>
      <c r="D11" s="25">
        <v>3410</v>
      </c>
      <c r="E11" s="25">
        <v>9946</v>
      </c>
      <c r="F11" s="25">
        <f t="shared" si="0"/>
        <v>13356</v>
      </c>
      <c r="G11" s="25">
        <f t="shared" si="1"/>
        <v>66780</v>
      </c>
    </row>
    <row r="12" spans="1:7" ht="12.75">
      <c r="A12" s="24">
        <v>16</v>
      </c>
      <c r="B12" s="24">
        <v>508</v>
      </c>
      <c r="C12" s="28">
        <f t="shared" si="2"/>
        <v>0.9714285714285714</v>
      </c>
      <c r="D12" s="25">
        <v>3410</v>
      </c>
      <c r="E12" s="25">
        <f>(E11+E13)/2</f>
        <v>11014.5</v>
      </c>
      <c r="F12" s="25">
        <f t="shared" si="0"/>
        <v>14424.5</v>
      </c>
      <c r="G12" s="25">
        <f t="shared" si="1"/>
        <v>7327646</v>
      </c>
    </row>
    <row r="13" spans="1:7" ht="12.75">
      <c r="A13" s="24">
        <v>18</v>
      </c>
      <c r="B13" s="24">
        <v>4</v>
      </c>
      <c r="C13" s="28">
        <f t="shared" si="2"/>
        <v>0.9753694581280788</v>
      </c>
      <c r="D13" s="25">
        <v>3410</v>
      </c>
      <c r="E13" s="25">
        <v>12083</v>
      </c>
      <c r="F13" s="25">
        <f t="shared" si="0"/>
        <v>15493</v>
      </c>
      <c r="G13" s="25">
        <f t="shared" si="1"/>
        <v>61972</v>
      </c>
    </row>
    <row r="14" spans="1:7" ht="12.75">
      <c r="A14" s="24">
        <v>20</v>
      </c>
      <c r="B14" s="24">
        <v>14</v>
      </c>
      <c r="C14" s="28">
        <f t="shared" si="2"/>
        <v>0.9891625615763547</v>
      </c>
      <c r="D14" s="25">
        <v>3410</v>
      </c>
      <c r="E14" s="25">
        <v>16346</v>
      </c>
      <c r="F14" s="25">
        <f t="shared" si="0"/>
        <v>19756</v>
      </c>
      <c r="G14" s="25">
        <f t="shared" si="1"/>
        <v>276584</v>
      </c>
    </row>
    <row r="15" spans="1:7" ht="13.5" thickBot="1">
      <c r="A15" s="24">
        <v>23</v>
      </c>
      <c r="B15" s="30">
        <v>11</v>
      </c>
      <c r="C15" s="28">
        <f t="shared" si="2"/>
        <v>1</v>
      </c>
      <c r="D15" s="25">
        <v>3410</v>
      </c>
      <c r="E15" s="25">
        <v>18950</v>
      </c>
      <c r="F15" s="25">
        <f t="shared" si="0"/>
        <v>22360</v>
      </c>
      <c r="G15" s="29">
        <f t="shared" si="1"/>
        <v>245960</v>
      </c>
    </row>
    <row r="16" spans="1:7" ht="13.5" thickBot="1">
      <c r="A16" s="24"/>
      <c r="B16" s="24">
        <f>SUM(B5:B15)</f>
        <v>1015</v>
      </c>
      <c r="C16" s="24"/>
      <c r="D16" s="1"/>
      <c r="E16" s="33" t="s">
        <v>49</v>
      </c>
      <c r="F16" s="1"/>
      <c r="G16" s="32">
        <f>SUM(G5:G15)</f>
        <v>10275506</v>
      </c>
    </row>
    <row r="17" ht="12.75">
      <c r="A17" s="7"/>
    </row>
    <row r="18" ht="12.75">
      <c r="A18" s="7" t="s">
        <v>61</v>
      </c>
    </row>
    <row r="20" spans="2:4" ht="12.75">
      <c r="B20" s="2" t="s">
        <v>47</v>
      </c>
      <c r="C20" s="2"/>
      <c r="D20" s="34">
        <f>B16</f>
        <v>1015</v>
      </c>
    </row>
    <row r="21" spans="2:4" ht="12.75">
      <c r="B21" s="2" t="s">
        <v>46</v>
      </c>
      <c r="C21" s="2"/>
      <c r="D21" s="35">
        <v>18000</v>
      </c>
    </row>
    <row r="22" spans="2:4" ht="12.75">
      <c r="B22" s="2" t="s">
        <v>50</v>
      </c>
      <c r="C22" s="2"/>
      <c r="D22" s="36">
        <f>D21*B16</f>
        <v>18270000</v>
      </c>
    </row>
    <row r="23" ht="12.75">
      <c r="D23" s="24"/>
    </row>
    <row r="24" spans="2:5" ht="12.75">
      <c r="B24" s="7" t="s">
        <v>48</v>
      </c>
      <c r="D24" s="39">
        <v>0</v>
      </c>
      <c r="E24" t="s">
        <v>60</v>
      </c>
    </row>
    <row r="25" spans="2:5" ht="12.75">
      <c r="B25" s="2" t="s">
        <v>51</v>
      </c>
      <c r="D25" s="36">
        <f>D24*D22</f>
        <v>0</v>
      </c>
      <c r="E25" t="s">
        <v>60</v>
      </c>
    </row>
    <row r="26" spans="2:4" ht="12.75">
      <c r="B26" s="2"/>
      <c r="D26" s="24"/>
    </row>
    <row r="27" spans="2:5" ht="12.75">
      <c r="B27" s="2" t="s">
        <v>52</v>
      </c>
      <c r="D27" s="36">
        <v>0</v>
      </c>
      <c r="E27" t="s">
        <v>60</v>
      </c>
    </row>
    <row r="28" spans="2:5" ht="12.75">
      <c r="B28" s="2" t="s">
        <v>53</v>
      </c>
      <c r="D28" s="36">
        <f>D27*D20</f>
        <v>0</v>
      </c>
      <c r="E28" t="s">
        <v>60</v>
      </c>
    </row>
    <row r="29" spans="2:4" ht="12.75">
      <c r="B29" s="2"/>
      <c r="D29" s="24"/>
    </row>
    <row r="30" spans="2:4" ht="12.75">
      <c r="B30" s="2" t="s">
        <v>54</v>
      </c>
      <c r="D30" s="36">
        <f>D22-D25+D28</f>
        <v>18270000</v>
      </c>
    </row>
    <row r="31" spans="2:4" ht="13.5" thickBot="1">
      <c r="B31" s="2" t="s">
        <v>56</v>
      </c>
      <c r="D31" s="37">
        <f>G16</f>
        <v>10275506</v>
      </c>
    </row>
    <row r="32" spans="2:4" ht="13.5" thickBot="1">
      <c r="B32" s="2" t="s">
        <v>55</v>
      </c>
      <c r="D32" s="38">
        <f>D31-D30</f>
        <v>-7994494</v>
      </c>
    </row>
    <row r="34" spans="1:7" ht="12.75">
      <c r="A34" s="17" t="s">
        <v>28</v>
      </c>
      <c r="B34" s="18"/>
      <c r="C34" s="18"/>
      <c r="D34" s="18"/>
      <c r="E34" s="18"/>
      <c r="F34" s="18"/>
      <c r="G34" s="19"/>
    </row>
    <row r="35" spans="1:7" ht="12.75">
      <c r="A35" s="20" t="s">
        <v>66</v>
      </c>
      <c r="B35" s="11"/>
      <c r="C35" s="11"/>
      <c r="D35" s="11"/>
      <c r="E35" s="11"/>
      <c r="F35" s="11"/>
      <c r="G35" s="21"/>
    </row>
    <row r="36" spans="1:7" ht="12.75">
      <c r="A36" s="20" t="s">
        <v>67</v>
      </c>
      <c r="B36" s="11"/>
      <c r="C36" s="11"/>
      <c r="D36" s="11"/>
      <c r="E36" s="11"/>
      <c r="F36" s="11"/>
      <c r="G36" s="21"/>
    </row>
    <row r="37" spans="1:7" ht="12.75">
      <c r="A37" s="22"/>
      <c r="B37" s="4" t="s">
        <v>68</v>
      </c>
      <c r="C37" s="4"/>
      <c r="D37" s="4"/>
      <c r="E37" s="4"/>
      <c r="F37" s="4"/>
      <c r="G37" s="23"/>
    </row>
    <row r="38" spans="1:7" ht="12.75">
      <c r="A38" s="11"/>
      <c r="B38" s="11"/>
      <c r="C38" s="11"/>
      <c r="D38" s="11"/>
      <c r="E38" s="11"/>
      <c r="F38" s="11"/>
      <c r="G38" s="11"/>
    </row>
    <row r="39" spans="1:8" ht="12.75">
      <c r="A39" s="11"/>
      <c r="B39" s="11"/>
      <c r="C39" s="11"/>
      <c r="D39" s="11"/>
      <c r="E39" s="11"/>
      <c r="F39" s="11"/>
      <c r="H39" s="42">
        <v>13</v>
      </c>
    </row>
    <row r="40" spans="1:7" ht="12.75">
      <c r="A40" s="11"/>
      <c r="B40" s="11"/>
      <c r="C40" s="11"/>
      <c r="D40" s="11"/>
      <c r="E40" s="11"/>
      <c r="F40" s="11"/>
      <c r="G40" s="11"/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9.140625" defaultRowHeight="12.75"/>
  <cols>
    <col min="3" max="3" width="7.421875" style="0" customWidth="1"/>
    <col min="4" max="4" width="15.7109375" style="0" customWidth="1"/>
    <col min="5" max="5" width="15.00390625" style="0" customWidth="1"/>
    <col min="6" max="6" width="18.00390625" style="0" customWidth="1"/>
    <col min="7" max="7" width="19.00390625" style="0" customWidth="1"/>
  </cols>
  <sheetData>
    <row r="1" ht="18">
      <c r="A1" s="41" t="s">
        <v>75</v>
      </c>
    </row>
    <row r="3" ht="12.75">
      <c r="F3" s="26"/>
    </row>
    <row r="4" ht="12.75">
      <c r="F4" s="26"/>
    </row>
    <row r="5" ht="12.75">
      <c r="F5" s="26"/>
    </row>
    <row r="6" spans="6:7" ht="12.75">
      <c r="F6" s="27" t="s">
        <v>73</v>
      </c>
      <c r="G6" s="27" t="s">
        <v>74</v>
      </c>
    </row>
    <row r="7" spans="6:7" ht="12.75">
      <c r="F7" s="27" t="s">
        <v>72</v>
      </c>
      <c r="G7" s="27" t="s">
        <v>71</v>
      </c>
    </row>
    <row r="8" spans="6:7" ht="12.75">
      <c r="F8" s="27"/>
      <c r="G8" s="27"/>
    </row>
    <row r="9" spans="4:7" ht="12.75">
      <c r="D9" s="2" t="s">
        <v>47</v>
      </c>
      <c r="E9" s="2"/>
      <c r="F9" s="34">
        <v>1015</v>
      </c>
      <c r="G9" s="34">
        <v>1015</v>
      </c>
    </row>
    <row r="10" spans="4:7" ht="12.75">
      <c r="D10" s="2"/>
      <c r="E10" s="2"/>
      <c r="F10" s="34"/>
      <c r="G10" s="34"/>
    </row>
    <row r="11" spans="4:7" ht="12.75">
      <c r="D11" s="2" t="s">
        <v>46</v>
      </c>
      <c r="E11" s="2"/>
      <c r="F11" s="36">
        <v>18000</v>
      </c>
      <c r="G11" s="36">
        <v>18000</v>
      </c>
    </row>
    <row r="12" spans="4:7" ht="12.75">
      <c r="D12" s="2"/>
      <c r="E12" s="2"/>
      <c r="F12" s="36"/>
      <c r="G12" s="36"/>
    </row>
    <row r="13" spans="4:7" ht="12.75">
      <c r="D13" s="2" t="s">
        <v>50</v>
      </c>
      <c r="E13" s="2"/>
      <c r="F13" s="36">
        <v>18270000</v>
      </c>
      <c r="G13" s="36">
        <v>18270000</v>
      </c>
    </row>
    <row r="14" spans="4:7" ht="12.75">
      <c r="D14" s="2"/>
      <c r="E14" s="2"/>
      <c r="F14" s="36"/>
      <c r="G14" s="36"/>
    </row>
    <row r="15" spans="4:7" ht="12.75">
      <c r="D15" s="2"/>
      <c r="E15" s="2"/>
      <c r="F15" s="36"/>
      <c r="G15" s="36"/>
    </row>
    <row r="16" spans="4:7" ht="12.75">
      <c r="D16" s="2"/>
      <c r="E16" s="2"/>
      <c r="F16" s="24"/>
      <c r="G16" s="24"/>
    </row>
    <row r="17" spans="4:7" ht="12.75">
      <c r="D17" s="2" t="s">
        <v>48</v>
      </c>
      <c r="E17" s="2"/>
      <c r="F17" s="39">
        <v>0.4</v>
      </c>
      <c r="G17" s="39">
        <v>0</v>
      </c>
    </row>
    <row r="18" spans="4:7" ht="12.75">
      <c r="D18" s="2"/>
      <c r="E18" s="2"/>
      <c r="F18" s="39"/>
      <c r="G18" s="39"/>
    </row>
    <row r="19" spans="4:7" ht="12.75">
      <c r="D19" s="2" t="s">
        <v>51</v>
      </c>
      <c r="E19" s="2"/>
      <c r="F19" s="36">
        <v>7308000</v>
      </c>
      <c r="G19" s="36">
        <v>0</v>
      </c>
    </row>
    <row r="20" spans="4:7" ht="12.75">
      <c r="D20" s="2"/>
      <c r="E20" s="2"/>
      <c r="F20" s="36"/>
      <c r="G20" s="36"/>
    </row>
    <row r="21" spans="4:7" ht="12.75">
      <c r="D21" s="2"/>
      <c r="E21" s="2"/>
      <c r="F21" s="36"/>
      <c r="G21" s="36"/>
    </row>
    <row r="22" spans="4:7" ht="12.75">
      <c r="D22" s="2"/>
      <c r="E22" s="2"/>
      <c r="F22" s="24"/>
      <c r="G22" s="24"/>
    </row>
    <row r="23" spans="4:7" ht="12.75">
      <c r="D23" s="2" t="s">
        <v>52</v>
      </c>
      <c r="E23" s="2"/>
      <c r="F23" s="36">
        <v>3500</v>
      </c>
      <c r="G23" s="36">
        <v>0</v>
      </c>
    </row>
    <row r="24" spans="4:7" ht="12.75">
      <c r="D24" s="2"/>
      <c r="E24" s="2"/>
      <c r="F24" s="36"/>
      <c r="G24" s="36"/>
    </row>
    <row r="25" spans="4:7" ht="12.75">
      <c r="D25" s="2" t="s">
        <v>53</v>
      </c>
      <c r="E25" s="2"/>
      <c r="F25" s="36">
        <v>3552500</v>
      </c>
      <c r="G25" s="36">
        <v>0</v>
      </c>
    </row>
    <row r="26" spans="4:7" ht="12.75">
      <c r="D26" s="2"/>
      <c r="E26" s="2"/>
      <c r="F26" s="36"/>
      <c r="G26" s="36"/>
    </row>
    <row r="27" spans="4:7" ht="12.75">
      <c r="D27" s="2"/>
      <c r="E27" s="2"/>
      <c r="F27" s="36"/>
      <c r="G27" s="36"/>
    </row>
    <row r="28" spans="4:7" ht="12.75">
      <c r="D28" s="2"/>
      <c r="E28" s="2"/>
      <c r="F28" s="24"/>
      <c r="G28" s="24"/>
    </row>
    <row r="29" spans="4:7" ht="12.75">
      <c r="D29" s="2" t="s">
        <v>54</v>
      </c>
      <c r="E29" s="2"/>
      <c r="F29" s="36">
        <v>14514500</v>
      </c>
      <c r="G29" s="36">
        <v>18270000</v>
      </c>
    </row>
    <row r="30" spans="4:7" ht="12.75">
      <c r="D30" s="2"/>
      <c r="E30" s="2"/>
      <c r="F30" s="36"/>
      <c r="G30" s="36"/>
    </row>
    <row r="31" spans="4:7" ht="12.75">
      <c r="D31" s="2" t="s">
        <v>56</v>
      </c>
      <c r="E31" s="2"/>
      <c r="F31" s="36">
        <v>6189126.5</v>
      </c>
      <c r="G31" s="36">
        <v>10275506</v>
      </c>
    </row>
    <row r="32" spans="4:7" ht="13.5" thickBot="1">
      <c r="D32" s="2"/>
      <c r="E32" s="2"/>
      <c r="F32" s="36"/>
      <c r="G32" s="36"/>
    </row>
    <row r="33" spans="4:7" ht="13.5" thickBot="1">
      <c r="D33" s="2" t="s">
        <v>55</v>
      </c>
      <c r="E33" s="2"/>
      <c r="F33" s="38">
        <v>-8325373.5</v>
      </c>
      <c r="G33" s="38">
        <v>-7994494</v>
      </c>
    </row>
    <row r="35" ht="12.75">
      <c r="I35" s="40">
        <v>14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B3">
      <selection activeCell="G21" sqref="G21"/>
    </sheetView>
  </sheetViews>
  <sheetFormatPr defaultColWidth="9.140625" defaultRowHeight="12.75"/>
  <cols>
    <col min="1" max="1" width="12.7109375" style="0" customWidth="1"/>
    <col min="2" max="2" width="11.57421875" style="0" customWidth="1"/>
    <col min="3" max="3" width="20.7109375" style="0" customWidth="1"/>
    <col min="4" max="4" width="3.00390625" style="0" customWidth="1"/>
    <col min="5" max="5" width="18.7109375" style="0" customWidth="1"/>
    <col min="6" max="6" width="2.00390625" style="0" customWidth="1"/>
    <col min="7" max="7" width="19.140625" style="0" customWidth="1"/>
    <col min="8" max="8" width="2.00390625" style="0" customWidth="1"/>
    <col min="9" max="9" width="20.140625" style="0" customWidth="1"/>
  </cols>
  <sheetData>
    <row r="1" ht="20.25">
      <c r="A1" s="43" t="s">
        <v>76</v>
      </c>
    </row>
    <row r="2" ht="18">
      <c r="A2" s="41"/>
    </row>
    <row r="3" ht="18">
      <c r="A3" s="41"/>
    </row>
    <row r="4" ht="12.75">
      <c r="B4" s="2"/>
    </row>
    <row r="5" ht="12.75">
      <c r="B5" s="2"/>
    </row>
    <row r="6" ht="12.75">
      <c r="B6" s="2"/>
    </row>
    <row r="8" spans="2:9" ht="15.75">
      <c r="B8" s="46" t="s">
        <v>78</v>
      </c>
      <c r="C8" s="44"/>
      <c r="D8" s="44"/>
      <c r="E8" s="44"/>
      <c r="F8" s="44"/>
      <c r="G8" s="44"/>
      <c r="H8" s="44"/>
      <c r="I8" s="44"/>
    </row>
    <row r="9" spans="2:9" ht="15">
      <c r="B9" s="44"/>
      <c r="C9" s="44"/>
      <c r="D9" s="44"/>
      <c r="E9" s="44"/>
      <c r="F9" s="44"/>
      <c r="G9" s="44"/>
      <c r="H9" s="44"/>
      <c r="I9" s="44"/>
    </row>
    <row r="10" spans="2:9" ht="15">
      <c r="B10" s="44"/>
      <c r="C10" s="44"/>
      <c r="D10" s="44"/>
      <c r="E10" s="44"/>
      <c r="F10" s="44"/>
      <c r="G10" s="44"/>
      <c r="H10" s="44"/>
      <c r="I10" s="44"/>
    </row>
    <row r="11" spans="2:9" ht="15">
      <c r="B11" s="44"/>
      <c r="C11" s="44"/>
      <c r="D11" s="44"/>
      <c r="E11" s="44"/>
      <c r="F11" s="44"/>
      <c r="G11" s="44"/>
      <c r="H11" s="44"/>
      <c r="I11" s="44"/>
    </row>
    <row r="12" spans="2:9" ht="15">
      <c r="B12" s="44"/>
      <c r="C12" s="44"/>
      <c r="D12" s="44"/>
      <c r="E12" s="44"/>
      <c r="F12" s="44"/>
      <c r="G12" s="44"/>
      <c r="H12" s="44"/>
      <c r="I12" s="44"/>
    </row>
    <row r="13" spans="2:9" ht="16.5" thickBot="1">
      <c r="B13" s="44"/>
      <c r="C13" s="49" t="s">
        <v>77</v>
      </c>
      <c r="D13" s="50"/>
      <c r="E13" s="52" t="s">
        <v>84</v>
      </c>
      <c r="F13" s="52"/>
      <c r="G13" s="52"/>
      <c r="H13" s="52"/>
      <c r="I13" s="52"/>
    </row>
    <row r="14" spans="2:9" ht="15.75">
      <c r="B14" s="44"/>
      <c r="C14" s="50"/>
      <c r="D14" s="50"/>
      <c r="E14" s="50"/>
      <c r="F14" s="50"/>
      <c r="G14" s="50"/>
      <c r="H14" s="50"/>
      <c r="I14" s="50"/>
    </row>
    <row r="15" spans="2:9" ht="15.75">
      <c r="B15" s="44"/>
      <c r="C15" s="50"/>
      <c r="D15" s="50"/>
      <c r="E15" s="50"/>
      <c r="F15" s="50"/>
      <c r="G15" s="50"/>
      <c r="H15" s="50"/>
      <c r="I15" s="50"/>
    </row>
    <row r="16" spans="2:9" ht="15.75">
      <c r="B16" s="44"/>
      <c r="C16" s="51" t="s">
        <v>79</v>
      </c>
      <c r="D16" s="45"/>
      <c r="E16" s="51" t="s">
        <v>79</v>
      </c>
      <c r="F16" s="50"/>
      <c r="G16" s="51" t="s">
        <v>80</v>
      </c>
      <c r="H16" s="50"/>
      <c r="I16" s="51" t="s">
        <v>81</v>
      </c>
    </row>
    <row r="17" spans="2:9" ht="15">
      <c r="B17" s="44"/>
      <c r="C17" s="44"/>
      <c r="D17" s="44"/>
      <c r="E17" s="44"/>
      <c r="F17" s="44"/>
      <c r="G17" s="44"/>
      <c r="H17" s="44"/>
      <c r="I17" s="44"/>
    </row>
    <row r="18" spans="2:9" ht="15">
      <c r="B18" s="44"/>
      <c r="C18" s="47">
        <v>3.31</v>
      </c>
      <c r="D18" s="47"/>
      <c r="E18" s="47">
        <v>1.42</v>
      </c>
      <c r="F18" s="47"/>
      <c r="G18" s="47">
        <v>1.68</v>
      </c>
      <c r="H18" s="47"/>
      <c r="I18" s="47">
        <v>1.061</v>
      </c>
    </row>
    <row r="30" ht="15">
      <c r="J30" s="48">
        <v>15</v>
      </c>
    </row>
  </sheetData>
  <mergeCells count="1">
    <mergeCell ref="E13:I13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J34" sqref="J34"/>
    </sheetView>
  </sheetViews>
  <sheetFormatPr defaultColWidth="9.140625" defaultRowHeight="12.75"/>
  <cols>
    <col min="1" max="1" width="1.7109375" style="0" customWidth="1"/>
    <col min="2" max="2" width="15.7109375" style="0" customWidth="1"/>
    <col min="3" max="3" width="11.57421875" style="0" customWidth="1"/>
    <col min="4" max="4" width="17.28125" style="0" customWidth="1"/>
    <col min="5" max="5" width="15.57421875" style="0" customWidth="1"/>
    <col min="6" max="6" width="28.140625" style="0" customWidth="1"/>
    <col min="7" max="7" width="29.00390625" style="0" customWidth="1"/>
  </cols>
  <sheetData>
    <row r="1" ht="18">
      <c r="A1" s="41" t="s">
        <v>83</v>
      </c>
    </row>
    <row r="2" ht="12.75">
      <c r="A2" s="2"/>
    </row>
    <row r="3" ht="12.75">
      <c r="A3" s="2"/>
    </row>
    <row r="4" ht="12.75">
      <c r="A4" s="2"/>
    </row>
    <row r="6" spans="4:7" ht="12.75">
      <c r="D6" s="27" t="s">
        <v>73</v>
      </c>
      <c r="E6" s="27" t="s">
        <v>74</v>
      </c>
      <c r="F6" s="27" t="s">
        <v>82</v>
      </c>
      <c r="G6" s="27" t="s">
        <v>85</v>
      </c>
    </row>
    <row r="7" spans="4:7" ht="12.75">
      <c r="D7" s="27" t="s">
        <v>72</v>
      </c>
      <c r="E7" s="27" t="s">
        <v>71</v>
      </c>
      <c r="F7" s="27" t="s">
        <v>86</v>
      </c>
      <c r="G7" s="27" t="s">
        <v>87</v>
      </c>
    </row>
    <row r="8" spans="4:6" ht="12.75">
      <c r="D8" s="27"/>
      <c r="E8" s="27"/>
      <c r="F8" s="27"/>
    </row>
    <row r="9" spans="2:7" ht="12.75">
      <c r="B9" s="2" t="s">
        <v>47</v>
      </c>
      <c r="C9" s="2"/>
      <c r="D9" s="34">
        <v>1015</v>
      </c>
      <c r="E9" s="34">
        <v>1015</v>
      </c>
      <c r="F9" s="34">
        <v>1015</v>
      </c>
      <c r="G9" s="34">
        <v>1015</v>
      </c>
    </row>
    <row r="10" spans="2:7" ht="12.75">
      <c r="B10" s="2"/>
      <c r="C10" s="2"/>
      <c r="D10" s="34"/>
      <c r="E10" s="34"/>
      <c r="F10" s="34"/>
      <c r="G10" s="34"/>
    </row>
    <row r="11" spans="2:7" ht="12.75">
      <c r="B11" s="2" t="s">
        <v>46</v>
      </c>
      <c r="C11" s="2"/>
      <c r="D11" s="36">
        <v>18000</v>
      </c>
      <c r="E11" s="36">
        <v>18000</v>
      </c>
      <c r="F11" s="36">
        <v>18000</v>
      </c>
      <c r="G11" s="36">
        <v>18000</v>
      </c>
    </row>
    <row r="12" spans="2:7" ht="12.75">
      <c r="B12" s="2"/>
      <c r="C12" s="2"/>
      <c r="D12" s="36"/>
      <c r="E12" s="36"/>
      <c r="F12" s="36"/>
      <c r="G12" s="36"/>
    </row>
    <row r="13" spans="2:7" ht="12.75">
      <c r="B13" s="2" t="s">
        <v>50</v>
      </c>
      <c r="C13" s="2"/>
      <c r="D13" s="36">
        <v>18270000</v>
      </c>
      <c r="E13" s="36">
        <v>18270000</v>
      </c>
      <c r="F13" s="36">
        <v>18270000</v>
      </c>
      <c r="G13" s="36">
        <v>18270000</v>
      </c>
    </row>
    <row r="14" spans="2:7" ht="12.75">
      <c r="B14" s="2"/>
      <c r="C14" s="2"/>
      <c r="D14" s="36"/>
      <c r="E14" s="36"/>
      <c r="F14" s="36"/>
      <c r="G14" s="36"/>
    </row>
    <row r="15" spans="2:7" ht="12.75">
      <c r="B15" s="2"/>
      <c r="C15" s="2"/>
      <c r="D15" s="36"/>
      <c r="E15" s="36"/>
      <c r="F15" s="36"/>
      <c r="G15" s="36"/>
    </row>
    <row r="16" spans="2:7" ht="12.75">
      <c r="B16" s="2"/>
      <c r="C16" s="2"/>
      <c r="D16" s="24"/>
      <c r="E16" s="24"/>
      <c r="F16" s="24"/>
      <c r="G16" s="24"/>
    </row>
    <row r="17" spans="2:7" ht="12.75">
      <c r="B17" s="2" t="s">
        <v>48</v>
      </c>
      <c r="C17" s="2"/>
      <c r="D17" s="39">
        <v>0.4</v>
      </c>
      <c r="E17" s="39">
        <v>0</v>
      </c>
      <c r="F17" s="39">
        <v>0.4</v>
      </c>
      <c r="G17" s="39">
        <v>0.4</v>
      </c>
    </row>
    <row r="18" spans="2:7" ht="12.75">
      <c r="B18" s="2"/>
      <c r="C18" s="2"/>
      <c r="D18" s="39"/>
      <c r="E18" s="39"/>
      <c r="F18" s="39"/>
      <c r="G18" s="39"/>
    </row>
    <row r="19" spans="2:7" ht="12.75">
      <c r="B19" s="2" t="s">
        <v>51</v>
      </c>
      <c r="C19" s="2"/>
      <c r="D19" s="36">
        <v>7308000</v>
      </c>
      <c r="E19" s="36">
        <v>0</v>
      </c>
      <c r="F19" s="36">
        <v>7308000</v>
      </c>
      <c r="G19" s="36">
        <v>7308000</v>
      </c>
    </row>
    <row r="20" spans="2:7" ht="12.75">
      <c r="B20" s="2"/>
      <c r="C20" s="2"/>
      <c r="D20" s="36"/>
      <c r="E20" s="36"/>
      <c r="F20" s="36"/>
      <c r="G20" s="36"/>
    </row>
    <row r="21" spans="2:7" ht="12.75">
      <c r="B21" s="2"/>
      <c r="C21" s="2"/>
      <c r="D21" s="36"/>
      <c r="E21" s="36"/>
      <c r="F21" s="36"/>
      <c r="G21" s="36"/>
    </row>
    <row r="22" spans="2:7" ht="12.75">
      <c r="B22" s="2"/>
      <c r="C22" s="2"/>
      <c r="D22" s="24"/>
      <c r="E22" s="24"/>
      <c r="F22" s="24"/>
      <c r="G22" s="24"/>
    </row>
    <row r="23" spans="2:7" ht="12.75">
      <c r="B23" s="2" t="s">
        <v>52</v>
      </c>
      <c r="C23" s="2"/>
      <c r="D23" s="36">
        <v>3500</v>
      </c>
      <c r="E23" s="36">
        <v>0</v>
      </c>
      <c r="F23" s="36">
        <v>3500</v>
      </c>
      <c r="G23" s="36">
        <v>3500</v>
      </c>
    </row>
    <row r="24" spans="2:7" ht="12.75">
      <c r="B24" s="2"/>
      <c r="C24" s="2"/>
      <c r="D24" s="36"/>
      <c r="E24" s="36"/>
      <c r="F24" s="36"/>
      <c r="G24" s="36"/>
    </row>
    <row r="25" spans="2:7" ht="12.75">
      <c r="B25" s="2" t="s">
        <v>53</v>
      </c>
      <c r="C25" s="2"/>
      <c r="D25" s="36">
        <v>3552500</v>
      </c>
      <c r="E25" s="36">
        <v>0</v>
      </c>
      <c r="F25" s="36">
        <v>3552500</v>
      </c>
      <c r="G25" s="36">
        <v>3552500</v>
      </c>
    </row>
    <row r="26" spans="2:7" ht="12.75">
      <c r="B26" s="2"/>
      <c r="C26" s="2"/>
      <c r="D26" s="36"/>
      <c r="E26" s="36"/>
      <c r="F26" s="36"/>
      <c r="G26" s="36"/>
    </row>
    <row r="27" spans="2:7" ht="12.75">
      <c r="B27" s="2"/>
      <c r="C27" s="2"/>
      <c r="D27" s="36"/>
      <c r="E27" s="36"/>
      <c r="F27" s="36"/>
      <c r="G27" s="36"/>
    </row>
    <row r="28" spans="2:7" ht="12.75">
      <c r="B28" s="2"/>
      <c r="C28" s="2"/>
      <c r="D28" s="24"/>
      <c r="E28" s="24"/>
      <c r="F28" s="24"/>
      <c r="G28" s="24"/>
    </row>
    <row r="29" spans="2:7" ht="12.75">
      <c r="B29" s="2" t="s">
        <v>54</v>
      </c>
      <c r="C29" s="2"/>
      <c r="D29" s="36">
        <v>14514500</v>
      </c>
      <c r="E29" s="36">
        <v>18270000</v>
      </c>
      <c r="F29" s="36">
        <v>14514500</v>
      </c>
      <c r="G29" s="36">
        <v>14514500</v>
      </c>
    </row>
    <row r="30" spans="2:7" ht="12.75">
      <c r="B30" s="2"/>
      <c r="C30" s="2"/>
      <c r="D30" s="36"/>
      <c r="E30" s="36"/>
      <c r="F30" s="36"/>
      <c r="G30" s="36"/>
    </row>
    <row r="31" spans="2:7" ht="12.75">
      <c r="B31" s="2" t="s">
        <v>56</v>
      </c>
      <c r="C31" s="2"/>
      <c r="D31" s="36">
        <v>6189126.5</v>
      </c>
      <c r="E31" s="36">
        <v>10275506</v>
      </c>
      <c r="F31" s="36">
        <f>D31*1.18</f>
        <v>7303169.27</v>
      </c>
      <c r="G31" s="36">
        <f>E31*1.18</f>
        <v>12125097.08</v>
      </c>
    </row>
    <row r="32" spans="2:7" ht="13.5" thickBot="1">
      <c r="B32" s="2"/>
      <c r="C32" s="2"/>
      <c r="D32" s="36"/>
      <c r="E32" s="36"/>
      <c r="F32" s="36"/>
      <c r="G32" s="36"/>
    </row>
    <row r="33" spans="2:7" ht="13.5" thickBot="1">
      <c r="B33" s="2" t="s">
        <v>55</v>
      </c>
      <c r="C33" s="2"/>
      <c r="D33" s="38">
        <v>-8325373.5</v>
      </c>
      <c r="E33" s="38">
        <v>-7994494</v>
      </c>
      <c r="F33" s="38">
        <f>F31-F29</f>
        <v>-7211330.73</v>
      </c>
      <c r="G33" s="38">
        <f>G31-G29</f>
        <v>-2389402.92</v>
      </c>
    </row>
    <row r="35" ht="12.75">
      <c r="G35">
        <v>16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Ralin Medical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F Richter</dc:creator>
  <cp:keywords/>
  <dc:description/>
  <cp:lastModifiedBy>RALIN MEDICAL, INC.</cp:lastModifiedBy>
  <cp:lastPrinted>1999-06-04T13:13:08Z</cp:lastPrinted>
  <dcterms:created xsi:type="dcterms:W3CDTF">1999-04-16T04:58:37Z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