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65431" windowWidth="6480" windowHeight="9000" tabRatio="535" activeTab="5"/>
  </bookViews>
  <sheets>
    <sheet name="fy98" sheetId="1" r:id="rId1"/>
    <sheet name="fy99" sheetId="2" r:id="rId2"/>
    <sheet name="fy2000" sheetId="3" r:id="rId3"/>
    <sheet name="fy2001" sheetId="4" r:id="rId4"/>
    <sheet name="fy2002" sheetId="5" r:id="rId5"/>
    <sheet name="fy2003" sheetId="6" r:id="rId6"/>
  </sheets>
  <definedNames>
    <definedName name="_xlnm.Print_Area" localSheetId="5">'fy2003'!$A$1:$U$310</definedName>
  </definedNames>
  <calcPr fullCalcOnLoad="1"/>
</workbook>
</file>

<file path=xl/comments4.xml><?xml version="1.0" encoding="utf-8"?>
<comments xmlns="http://schemas.openxmlformats.org/spreadsheetml/2006/main">
  <authors>
    <author>jwoodmansee</author>
  </authors>
  <commentList>
    <comment ref="N16" authorId="0">
      <text>
        <r>
          <rPr>
            <b/>
            <sz val="8"/>
            <rFont val="Tahoma"/>
            <family val="0"/>
          </rPr>
          <t>jwoodmansee:</t>
        </r>
        <r>
          <rPr>
            <sz val="8"/>
            <rFont val="Tahoma"/>
            <family val="0"/>
          </rPr>
          <t xml:space="preserve">
FAA July 800 phone bill is for the whole year from August 2000 thru July 2001</t>
        </r>
      </text>
    </comment>
  </commentList>
</comments>
</file>

<file path=xl/sharedStrings.xml><?xml version="1.0" encoding="utf-8"?>
<sst xmlns="http://schemas.openxmlformats.org/spreadsheetml/2006/main" count="1794" uniqueCount="77">
  <si>
    <t>Employee Express Accounting Reports</t>
  </si>
  <si>
    <t>FAA</t>
  </si>
  <si>
    <t>Jan</t>
  </si>
  <si>
    <t>Feb</t>
  </si>
  <si>
    <t>YTD Total</t>
  </si>
  <si>
    <t>Oct</t>
  </si>
  <si>
    <t>Nov</t>
  </si>
  <si>
    <t>Dec</t>
  </si>
  <si>
    <t>Mar</t>
  </si>
  <si>
    <t>Apr</t>
  </si>
  <si>
    <t>May</t>
  </si>
  <si>
    <t>Jun</t>
  </si>
  <si>
    <t>Jul</t>
  </si>
  <si>
    <t>Aug</t>
  </si>
  <si>
    <t>Sep</t>
  </si>
  <si>
    <t>Employees @ .12</t>
  </si>
  <si>
    <t>Phone lines</t>
  </si>
  <si>
    <t>PIN letters</t>
  </si>
  <si>
    <t>800 Phone bill</t>
  </si>
  <si>
    <t>Data Transcription</t>
  </si>
  <si>
    <t>Help Desk Calls</t>
  </si>
  <si>
    <t>Touch Screens</t>
  </si>
  <si>
    <t>FEHB/TSP History Rprt</t>
  </si>
  <si>
    <t>1st Qtr Total</t>
  </si>
  <si>
    <t>2nd Qtr Total</t>
  </si>
  <si>
    <t>3rd Qtr Total</t>
  </si>
  <si>
    <t>4th Qtr Total</t>
  </si>
  <si>
    <t>FHWA</t>
  </si>
  <si>
    <t>USCG</t>
  </si>
  <si>
    <t>TASC/OST/BTS</t>
  </si>
  <si>
    <t>RSPA HQ</t>
  </si>
  <si>
    <t>Volpe</t>
  </si>
  <si>
    <t>MARAD</t>
  </si>
  <si>
    <t>OIG</t>
  </si>
  <si>
    <t>FRA</t>
  </si>
  <si>
    <t>FTA</t>
  </si>
  <si>
    <t>NHTSA</t>
  </si>
  <si>
    <t>STB</t>
  </si>
  <si>
    <t>DOT Total</t>
  </si>
  <si>
    <t>FY98</t>
  </si>
  <si>
    <t>Initial Setup</t>
  </si>
  <si>
    <t>File Server Setup</t>
  </si>
  <si>
    <t>Telephone/Hard.setup</t>
  </si>
  <si>
    <t>Initial PIN letters</t>
  </si>
  <si>
    <t>Touch Scrn setup</t>
  </si>
  <si>
    <t>Development</t>
  </si>
  <si>
    <t>Travel</t>
  </si>
  <si>
    <t>Total Initial Stuff</t>
  </si>
  <si>
    <t>Total Month</t>
  </si>
  <si>
    <t>Monthly Maint.Total</t>
  </si>
  <si>
    <t>Monthly Maint. Total</t>
  </si>
  <si>
    <t>Hardware/Phone lines</t>
  </si>
  <si>
    <t>Total Annual Cost Per Employee</t>
  </si>
  <si>
    <t>Employees Billed</t>
  </si>
  <si>
    <t>% of Mode Total for PIN letters</t>
  </si>
  <si>
    <t>Comments from Jim</t>
  </si>
  <si>
    <t>FAA's high cost per employee is due to touch screens (11.1% of FAA's total)</t>
  </si>
  <si>
    <t>FRA and FTA both had high cost per employee because they were both new in fy99 and had original PIN letter costs charged in this fy.</t>
  </si>
  <si>
    <t>Marketing</t>
  </si>
  <si>
    <t>FY1999</t>
  </si>
  <si>
    <t>FY2000</t>
  </si>
  <si>
    <t>Miscellaneous</t>
  </si>
  <si>
    <t>Office of Financial Mgmt (B-30)</t>
  </si>
  <si>
    <t>FY2001</t>
  </si>
  <si>
    <t>NTSB</t>
  </si>
  <si>
    <t>FY2002</t>
  </si>
  <si>
    <t>faxFEHB Confirm.lttrs</t>
  </si>
  <si>
    <t>TSA</t>
  </si>
  <si>
    <t>Blank</t>
  </si>
  <si>
    <t>Without the addition of TSA's $43k costs this year, we would have reduced our costs $29k from last year.</t>
  </si>
  <si>
    <r>
      <t>Note:</t>
    </r>
    <r>
      <rPr>
        <sz val="10"/>
        <rFont val="Arial"/>
        <family val="0"/>
      </rPr>
      <t xml:space="preserve"> Our total cost for EEX was $224k in FY 02 compared to $195k in FY 01.</t>
    </r>
  </si>
  <si>
    <t>FY2003</t>
  </si>
  <si>
    <t>FEHB Confirm.ltrs</t>
  </si>
  <si>
    <t>DOT</t>
  </si>
  <si>
    <t>DOT Without TSA or USCG</t>
  </si>
  <si>
    <t>Annual Cost Per Employee</t>
  </si>
  <si>
    <t>% Spent for PIN letters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</si>
</sst>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%"/>
    <numFmt numFmtId="172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 Unicode MS"/>
      <family val="0"/>
    </font>
    <font>
      <b/>
      <sz val="10"/>
      <color indexed="6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1" xfId="17" applyNumberFormat="1" applyBorder="1" applyAlignment="1">
      <alignment/>
    </xf>
    <xf numFmtId="166" fontId="0" fillId="0" borderId="0" xfId="17" applyNumberFormat="1" applyBorder="1" applyAlignment="1">
      <alignment/>
    </xf>
    <xf numFmtId="166" fontId="0" fillId="0" borderId="2" xfId="17" applyNumberFormat="1" applyBorder="1" applyAlignment="1">
      <alignment/>
    </xf>
    <xf numFmtId="166" fontId="0" fillId="0" borderId="3" xfId="17" applyNumberFormat="1" applyBorder="1" applyAlignment="1">
      <alignment/>
    </xf>
    <xf numFmtId="17" fontId="1" fillId="0" borderId="4" xfId="0" applyNumberFormat="1" applyFont="1" applyBorder="1" applyAlignment="1">
      <alignment/>
    </xf>
    <xf numFmtId="17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/>
    </xf>
    <xf numFmtId="17" fontId="1" fillId="0" borderId="6" xfId="0" applyNumberFormat="1" applyFont="1" applyBorder="1" applyAlignment="1">
      <alignment/>
    </xf>
    <xf numFmtId="17" fontId="1" fillId="0" borderId="7" xfId="0" applyNumberFormat="1" applyFont="1" applyBorder="1" applyAlignment="1">
      <alignment/>
    </xf>
    <xf numFmtId="1" fontId="0" fillId="2" borderId="8" xfId="17" applyNumberFormat="1" applyFill="1" applyBorder="1" applyAlignment="1">
      <alignment/>
    </xf>
    <xf numFmtId="1" fontId="0" fillId="0" borderId="8" xfId="17" applyNumberFormat="1" applyBorder="1" applyAlignment="1">
      <alignment/>
    </xf>
    <xf numFmtId="166" fontId="0" fillId="0" borderId="8" xfId="17" applyNumberFormat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2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166" fontId="0" fillId="2" borderId="11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6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0" xfId="17" applyNumberFormat="1" applyBorder="1" applyAlignment="1">
      <alignment/>
    </xf>
    <xf numFmtId="0" fontId="0" fillId="0" borderId="10" xfId="0" applyBorder="1" applyAlignment="1" quotePrefix="1">
      <alignment/>
    </xf>
    <xf numFmtId="0" fontId="1" fillId="0" borderId="12" xfId="0" applyFont="1" applyBorder="1" applyAlignment="1">
      <alignment/>
    </xf>
    <xf numFmtId="0" fontId="0" fillId="2" borderId="11" xfId="0" applyFill="1" applyBorder="1" applyAlignment="1">
      <alignment/>
    </xf>
    <xf numFmtId="0" fontId="1" fillId="0" borderId="13" xfId="0" applyFont="1" applyBorder="1" applyAlignment="1">
      <alignment/>
    </xf>
    <xf numFmtId="166" fontId="0" fillId="0" borderId="11" xfId="17" applyNumberFormat="1" applyBorder="1" applyAlignment="1">
      <alignment/>
    </xf>
    <xf numFmtId="0" fontId="1" fillId="0" borderId="14" xfId="0" applyFont="1" applyBorder="1" applyAlignment="1">
      <alignment/>
    </xf>
    <xf numFmtId="166" fontId="0" fillId="0" borderId="15" xfId="17" applyNumberFormat="1" applyBorder="1" applyAlignment="1">
      <alignment/>
    </xf>
    <xf numFmtId="166" fontId="1" fillId="0" borderId="8" xfId="17" applyNumberFormat="1" applyFont="1" applyBorder="1" applyAlignment="1">
      <alignment/>
    </xf>
    <xf numFmtId="166" fontId="1" fillId="0" borderId="0" xfId="17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" fontId="1" fillId="0" borderId="8" xfId="17" applyNumberFormat="1" applyFont="1" applyBorder="1" applyAlignment="1">
      <alignment/>
    </xf>
    <xf numFmtId="1" fontId="1" fillId="0" borderId="0" xfId="17" applyNumberFormat="1" applyFont="1" applyBorder="1" applyAlignment="1">
      <alignment/>
    </xf>
    <xf numFmtId="166" fontId="0" fillId="0" borderId="0" xfId="17" applyNumberFormat="1" applyFont="1" applyBorder="1" applyAlignment="1">
      <alignment/>
    </xf>
    <xf numFmtId="1" fontId="0" fillId="0" borderId="0" xfId="17" applyNumberFormat="1" applyFont="1" applyBorder="1" applyAlignment="1">
      <alignment/>
    </xf>
    <xf numFmtId="166" fontId="1" fillId="0" borderId="16" xfId="17" applyNumberFormat="1" applyFont="1" applyBorder="1" applyAlignment="1">
      <alignment/>
    </xf>
    <xf numFmtId="166" fontId="1" fillId="0" borderId="1" xfId="17" applyNumberFormat="1" applyFont="1" applyBorder="1" applyAlignment="1">
      <alignment/>
    </xf>
    <xf numFmtId="166" fontId="1" fillId="0" borderId="17" xfId="17" applyNumberFormat="1" applyFont="1" applyBorder="1" applyAlignment="1">
      <alignment/>
    </xf>
    <xf numFmtId="166" fontId="1" fillId="0" borderId="18" xfId="17" applyNumberFormat="1" applyFont="1" applyBorder="1" applyAlignment="1">
      <alignment/>
    </xf>
    <xf numFmtId="166" fontId="1" fillId="0" borderId="3" xfId="17" applyNumberFormat="1" applyFont="1" applyBorder="1" applyAlignment="1">
      <alignment/>
    </xf>
    <xf numFmtId="166" fontId="1" fillId="0" borderId="19" xfId="0" applyNumberFormat="1" applyFont="1" applyBorder="1" applyAlignment="1">
      <alignment/>
    </xf>
    <xf numFmtId="166" fontId="1" fillId="0" borderId="20" xfId="17" applyNumberFormat="1" applyFont="1" applyBorder="1" applyAlignment="1">
      <alignment/>
    </xf>
    <xf numFmtId="166" fontId="1" fillId="0" borderId="2" xfId="17" applyNumberFormat="1" applyFont="1" applyBorder="1" applyAlignment="1">
      <alignment/>
    </xf>
    <xf numFmtId="166" fontId="1" fillId="0" borderId="21" xfId="17" applyNumberFormat="1" applyFont="1" applyBorder="1" applyAlignment="1">
      <alignment/>
    </xf>
    <xf numFmtId="166" fontId="1" fillId="0" borderId="22" xfId="17" applyNumberFormat="1" applyFont="1" applyBorder="1" applyAlignment="1">
      <alignment/>
    </xf>
    <xf numFmtId="166" fontId="1" fillId="0" borderId="15" xfId="17" applyNumberFormat="1" applyFont="1" applyBorder="1" applyAlignment="1">
      <alignment/>
    </xf>
    <xf numFmtId="166" fontId="1" fillId="0" borderId="23" xfId="17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7" applyNumberFormat="1" applyAlignment="1">
      <alignment/>
    </xf>
    <xf numFmtId="43" fontId="0" fillId="0" borderId="0" xfId="0" applyNumberFormat="1" applyAlignment="1">
      <alignment/>
    </xf>
    <xf numFmtId="17" fontId="1" fillId="0" borderId="24" xfId="0" applyNumberFormat="1" applyFont="1" applyFill="1" applyBorder="1" applyAlignment="1">
      <alignment horizontal="center" wrapText="1"/>
    </xf>
    <xf numFmtId="171" fontId="0" fillId="0" borderId="0" xfId="21" applyNumberFormat="1" applyAlignment="1">
      <alignment/>
    </xf>
    <xf numFmtId="17" fontId="1" fillId="0" borderId="0" xfId="0" applyNumberFormat="1" applyFont="1" applyFill="1" applyBorder="1" applyAlignment="1" quotePrefix="1">
      <alignment horizontal="center" wrapText="1"/>
    </xf>
    <xf numFmtId="17" fontId="1" fillId="0" borderId="0" xfId="0" applyNumberFormat="1" applyFont="1" applyFill="1" applyBorder="1" applyAlignment="1">
      <alignment horizontal="center" wrapText="1"/>
    </xf>
    <xf numFmtId="1" fontId="0" fillId="0" borderId="8" xfId="17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" fontId="0" fillId="2" borderId="8" xfId="17" applyNumberFormat="1" applyFill="1" applyBorder="1" applyAlignment="1">
      <alignment/>
    </xf>
    <xf numFmtId="1" fontId="0" fillId="0" borderId="0" xfId="17" applyNumberFormat="1" applyBorder="1" applyAlignment="1">
      <alignment/>
    </xf>
    <xf numFmtId="166" fontId="0" fillId="0" borderId="0" xfId="17" applyNumberFormat="1" applyBorder="1" applyAlignment="1">
      <alignment/>
    </xf>
    <xf numFmtId="166" fontId="0" fillId="0" borderId="1" xfId="17" applyNumberFormat="1" applyBorder="1" applyAlignment="1">
      <alignment/>
    </xf>
    <xf numFmtId="41" fontId="0" fillId="0" borderId="0" xfId="17" applyNumberFormat="1" applyAlignment="1">
      <alignment/>
    </xf>
    <xf numFmtId="171" fontId="0" fillId="0" borderId="0" xfId="21" applyNumberFormat="1" applyAlignment="1">
      <alignment/>
    </xf>
    <xf numFmtId="1" fontId="0" fillId="0" borderId="8" xfId="17" applyNumberFormat="1" applyBorder="1" applyAlignment="1">
      <alignment/>
    </xf>
    <xf numFmtId="166" fontId="0" fillId="0" borderId="3" xfId="17" applyNumberFormat="1" applyBorder="1" applyAlignment="1">
      <alignment/>
    </xf>
    <xf numFmtId="166" fontId="0" fillId="0" borderId="2" xfId="17" applyNumberForma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1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6" fontId="0" fillId="0" borderId="0" xfId="17" applyNumberFormat="1" applyFont="1" applyFill="1" applyBorder="1" applyAlignment="1">
      <alignment/>
    </xf>
    <xf numFmtId="1" fontId="0" fillId="0" borderId="0" xfId="17" applyNumberFormat="1" applyFill="1" applyBorder="1" applyAlignment="1">
      <alignment/>
    </xf>
    <xf numFmtId="166" fontId="0" fillId="0" borderId="0" xfId="17" applyNumberFormat="1" applyFont="1" applyBorder="1" applyAlignment="1">
      <alignment/>
    </xf>
    <xf numFmtId="0" fontId="7" fillId="0" borderId="0" xfId="0" applyFont="1" applyAlignment="1">
      <alignment/>
    </xf>
    <xf numFmtId="166" fontId="1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0" xfId="17" applyNumberFormat="1" applyFont="1" applyBorder="1" applyAlignment="1">
      <alignment/>
    </xf>
    <xf numFmtId="166" fontId="0" fillId="0" borderId="0" xfId="17" applyNumberFormat="1" applyFill="1" applyBorder="1" applyAlignment="1">
      <alignment/>
    </xf>
    <xf numFmtId="0" fontId="1" fillId="0" borderId="27" xfId="0" applyFont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1" fillId="0" borderId="32" xfId="0" applyFont="1" applyBorder="1" applyAlignment="1">
      <alignment/>
    </xf>
    <xf numFmtId="166" fontId="1" fillId="0" borderId="33" xfId="17" applyNumberFormat="1" applyFont="1" applyBorder="1" applyAlignment="1">
      <alignment/>
    </xf>
    <xf numFmtId="1" fontId="0" fillId="2" borderId="30" xfId="17" applyNumberFormat="1" applyFill="1" applyBorder="1" applyAlignment="1">
      <alignment/>
    </xf>
    <xf numFmtId="166" fontId="0" fillId="2" borderId="31" xfId="0" applyNumberFormat="1" applyFill="1" applyBorder="1" applyAlignment="1">
      <alignment/>
    </xf>
    <xf numFmtId="0" fontId="0" fillId="0" borderId="32" xfId="0" applyBorder="1" applyAlignment="1">
      <alignment/>
    </xf>
    <xf numFmtId="1" fontId="1" fillId="0" borderId="3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66" fontId="1" fillId="0" borderId="23" xfId="0" applyNumberFormat="1" applyFont="1" applyBorder="1" applyAlignment="1">
      <alignment/>
    </xf>
    <xf numFmtId="17" fontId="8" fillId="0" borderId="6" xfId="0" applyNumberFormat="1" applyFont="1" applyBorder="1" applyAlignment="1">
      <alignment horizontal="center"/>
    </xf>
    <xf numFmtId="17" fontId="8" fillId="0" borderId="4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9"/>
  <sheetViews>
    <sheetView workbookViewId="0" topLeftCell="A1">
      <pane xSplit="5" ySplit="3" topLeftCell="F6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64" sqref="H64"/>
    </sheetView>
  </sheetViews>
  <sheetFormatPr defaultColWidth="9.140625" defaultRowHeight="12.75" outlineLevelRow="3" outlineLevelCol="2"/>
  <cols>
    <col min="1" max="1" width="20.28125" style="0" customWidth="1"/>
    <col min="2" max="4" width="8.7109375" style="0" hidden="1" customWidth="1" outlineLevel="2"/>
    <col min="5" max="5" width="8.7109375" style="0" customWidth="1" outlineLevel="1" collapsed="1"/>
    <col min="6" max="8" width="8.7109375" style="0" customWidth="1" outlineLevel="2"/>
    <col min="9" max="9" width="8.7109375" style="0" customWidth="1" outlineLevel="1"/>
    <col min="10" max="12" width="8.7109375" style="0" customWidth="1" outlineLevel="2"/>
    <col min="13" max="13" width="8.7109375" style="0" customWidth="1" outlineLevel="1"/>
    <col min="14" max="16" width="8.7109375" style="0" customWidth="1" outlineLevel="2"/>
    <col min="17" max="17" width="8.7109375" style="0" customWidth="1" outlineLevel="1"/>
    <col min="18" max="18" width="9.7109375" style="0" bestFit="1" customWidth="1"/>
  </cols>
  <sheetData>
    <row r="1" ht="18.75" thickBot="1">
      <c r="A1" s="1" t="s">
        <v>0</v>
      </c>
    </row>
    <row r="2" spans="1:18" ht="26.25" thickBot="1">
      <c r="A2" s="15" t="s">
        <v>39</v>
      </c>
      <c r="B2" s="9" t="s">
        <v>5</v>
      </c>
      <c r="C2" s="6" t="s">
        <v>6</v>
      </c>
      <c r="D2" s="10" t="s">
        <v>7</v>
      </c>
      <c r="E2" s="7" t="s">
        <v>23</v>
      </c>
      <c r="F2" s="9" t="s">
        <v>2</v>
      </c>
      <c r="G2" s="6" t="s">
        <v>3</v>
      </c>
      <c r="H2" s="10" t="s">
        <v>8</v>
      </c>
      <c r="I2" s="7" t="s">
        <v>24</v>
      </c>
      <c r="J2" s="9" t="s">
        <v>9</v>
      </c>
      <c r="K2" s="6" t="s">
        <v>10</v>
      </c>
      <c r="L2" s="10" t="s">
        <v>11</v>
      </c>
      <c r="M2" s="7" t="s">
        <v>25</v>
      </c>
      <c r="N2" s="9" t="s">
        <v>12</v>
      </c>
      <c r="O2" s="6" t="s">
        <v>13</v>
      </c>
      <c r="P2" s="10" t="s">
        <v>14</v>
      </c>
      <c r="Q2" s="7" t="s">
        <v>26</v>
      </c>
      <c r="R2" s="8" t="s">
        <v>4</v>
      </c>
    </row>
    <row r="3" spans="1:18" ht="12.75" outlineLevel="1">
      <c r="A3" s="16" t="s">
        <v>1</v>
      </c>
      <c r="B3" s="17"/>
      <c r="C3" s="17"/>
      <c r="D3" s="17"/>
      <c r="E3" s="11"/>
      <c r="F3" s="17"/>
      <c r="G3" s="17"/>
      <c r="H3" s="17"/>
      <c r="I3" s="11"/>
      <c r="J3" s="17"/>
      <c r="K3" s="17"/>
      <c r="L3" s="17"/>
      <c r="M3" s="11"/>
      <c r="N3" s="17"/>
      <c r="O3" s="17"/>
      <c r="P3" s="17"/>
      <c r="Q3" s="11"/>
      <c r="R3" s="18"/>
    </row>
    <row r="4" spans="1:18" ht="12.75" outlineLevel="3">
      <c r="A4" s="19" t="s">
        <v>40</v>
      </c>
      <c r="B4" s="20"/>
      <c r="C4" s="20"/>
      <c r="D4" s="20"/>
      <c r="E4" s="12">
        <f aca="true" t="shared" si="0" ref="E4:E10">SUM(B4:D4)</f>
        <v>0</v>
      </c>
      <c r="F4" s="20"/>
      <c r="G4" s="20"/>
      <c r="H4" s="20"/>
      <c r="I4" s="12">
        <f aca="true" t="shared" si="1" ref="I4:I10">SUM(F4:H4)</f>
        <v>0</v>
      </c>
      <c r="J4" s="20"/>
      <c r="K4" s="20"/>
      <c r="L4" s="20"/>
      <c r="M4" s="12">
        <f aca="true" t="shared" si="2" ref="M4:M10">SUM(J4:L4)</f>
        <v>0</v>
      </c>
      <c r="N4" s="20"/>
      <c r="O4" s="20"/>
      <c r="P4" s="20"/>
      <c r="Q4" s="12">
        <f aca="true" t="shared" si="3" ref="Q4:Q10">SUM(N4:P4)</f>
        <v>0</v>
      </c>
      <c r="R4" s="21">
        <f aca="true" t="shared" si="4" ref="R4:R20">Q4+M4+I4+E4</f>
        <v>0</v>
      </c>
    </row>
    <row r="5" spans="1:18" ht="12.75" outlineLevel="3">
      <c r="A5" s="19" t="s">
        <v>41</v>
      </c>
      <c r="B5" s="20"/>
      <c r="C5" s="20"/>
      <c r="D5" s="20"/>
      <c r="E5" s="12">
        <f t="shared" si="0"/>
        <v>0</v>
      </c>
      <c r="F5" s="20"/>
      <c r="G5" s="20"/>
      <c r="H5" s="20"/>
      <c r="I5" s="12">
        <f t="shared" si="1"/>
        <v>0</v>
      </c>
      <c r="J5" s="20"/>
      <c r="K5" s="20"/>
      <c r="L5" s="20"/>
      <c r="M5" s="12">
        <f t="shared" si="2"/>
        <v>0</v>
      </c>
      <c r="N5" s="20"/>
      <c r="O5" s="20"/>
      <c r="P5" s="20"/>
      <c r="Q5" s="12">
        <f t="shared" si="3"/>
        <v>0</v>
      </c>
      <c r="R5" s="21">
        <f t="shared" si="4"/>
        <v>0</v>
      </c>
    </row>
    <row r="6" spans="1:18" ht="12.75" outlineLevel="3">
      <c r="A6" s="19" t="s">
        <v>42</v>
      </c>
      <c r="B6" s="20"/>
      <c r="C6" s="20"/>
      <c r="D6" s="20"/>
      <c r="E6" s="12">
        <f t="shared" si="0"/>
        <v>0</v>
      </c>
      <c r="F6" s="20"/>
      <c r="G6" s="20"/>
      <c r="H6" s="20"/>
      <c r="I6" s="12">
        <f t="shared" si="1"/>
        <v>0</v>
      </c>
      <c r="J6" s="20"/>
      <c r="K6" s="20"/>
      <c r="L6" s="20"/>
      <c r="M6" s="12">
        <f t="shared" si="2"/>
        <v>0</v>
      </c>
      <c r="N6" s="20"/>
      <c r="O6" s="20"/>
      <c r="P6" s="20"/>
      <c r="Q6" s="12">
        <f t="shared" si="3"/>
        <v>0</v>
      </c>
      <c r="R6" s="21">
        <f t="shared" si="4"/>
        <v>0</v>
      </c>
    </row>
    <row r="7" spans="1:18" ht="12.75" outlineLevel="3">
      <c r="A7" s="19" t="s">
        <v>43</v>
      </c>
      <c r="B7" s="20"/>
      <c r="C7" s="20"/>
      <c r="D7" s="20"/>
      <c r="E7" s="12">
        <f t="shared" si="0"/>
        <v>0</v>
      </c>
      <c r="F7" s="20"/>
      <c r="G7" s="20"/>
      <c r="H7" s="20"/>
      <c r="I7" s="12">
        <f t="shared" si="1"/>
        <v>0</v>
      </c>
      <c r="J7" s="20"/>
      <c r="K7" s="20"/>
      <c r="L7" s="20"/>
      <c r="M7" s="12">
        <f t="shared" si="2"/>
        <v>0</v>
      </c>
      <c r="N7" s="20"/>
      <c r="O7" s="20"/>
      <c r="P7" s="20"/>
      <c r="Q7" s="12">
        <f t="shared" si="3"/>
        <v>0</v>
      </c>
      <c r="R7" s="21">
        <f t="shared" si="4"/>
        <v>0</v>
      </c>
    </row>
    <row r="8" spans="1:18" ht="12.75" outlineLevel="3">
      <c r="A8" s="19" t="s">
        <v>44</v>
      </c>
      <c r="B8" s="20"/>
      <c r="C8" s="20"/>
      <c r="D8" s="20"/>
      <c r="E8" s="12">
        <f t="shared" si="0"/>
        <v>0</v>
      </c>
      <c r="F8" s="20"/>
      <c r="G8" s="20"/>
      <c r="H8" s="20"/>
      <c r="I8" s="12">
        <f t="shared" si="1"/>
        <v>0</v>
      </c>
      <c r="J8" s="20"/>
      <c r="K8" s="20"/>
      <c r="L8" s="20"/>
      <c r="M8" s="12">
        <f t="shared" si="2"/>
        <v>0</v>
      </c>
      <c r="N8" s="20"/>
      <c r="O8" s="20"/>
      <c r="P8" s="20"/>
      <c r="Q8" s="12">
        <f t="shared" si="3"/>
        <v>0</v>
      </c>
      <c r="R8" s="21">
        <f t="shared" si="4"/>
        <v>0</v>
      </c>
    </row>
    <row r="9" spans="1:18" ht="12.75" outlineLevel="3">
      <c r="A9" s="19" t="s">
        <v>45</v>
      </c>
      <c r="B9" s="20"/>
      <c r="C9" s="20">
        <v>274.45</v>
      </c>
      <c r="D9" s="20"/>
      <c r="E9" s="12">
        <f t="shared" si="0"/>
        <v>274.45</v>
      </c>
      <c r="F9" s="20"/>
      <c r="G9" s="20"/>
      <c r="H9" s="20"/>
      <c r="I9" s="12">
        <f t="shared" si="1"/>
        <v>0</v>
      </c>
      <c r="J9" s="20"/>
      <c r="K9" s="20"/>
      <c r="L9" s="20">
        <v>2091</v>
      </c>
      <c r="M9" s="12">
        <f t="shared" si="2"/>
        <v>2091</v>
      </c>
      <c r="N9" s="20"/>
      <c r="O9" s="20"/>
      <c r="P9" s="20"/>
      <c r="Q9" s="12">
        <f t="shared" si="3"/>
        <v>0</v>
      </c>
      <c r="R9" s="21">
        <f t="shared" si="4"/>
        <v>2365.45</v>
      </c>
    </row>
    <row r="10" spans="1:18" ht="12.75" outlineLevel="3">
      <c r="A10" s="19" t="s">
        <v>46</v>
      </c>
      <c r="B10" s="20"/>
      <c r="C10" s="20"/>
      <c r="D10" s="20"/>
      <c r="E10" s="12">
        <f t="shared" si="0"/>
        <v>0</v>
      </c>
      <c r="F10" s="20"/>
      <c r="G10" s="20"/>
      <c r="H10" s="20"/>
      <c r="I10" s="12">
        <f t="shared" si="1"/>
        <v>0</v>
      </c>
      <c r="J10" s="20"/>
      <c r="K10" s="20"/>
      <c r="L10" s="20"/>
      <c r="M10" s="12">
        <f t="shared" si="2"/>
        <v>0</v>
      </c>
      <c r="N10" s="20"/>
      <c r="O10" s="20"/>
      <c r="P10" s="20"/>
      <c r="Q10" s="12">
        <f t="shared" si="3"/>
        <v>0</v>
      </c>
      <c r="R10" s="21">
        <f t="shared" si="4"/>
        <v>0</v>
      </c>
    </row>
    <row r="11" spans="1:18" ht="12.75" outlineLevel="2">
      <c r="A11" s="22" t="s">
        <v>47</v>
      </c>
      <c r="B11" s="3">
        <f aca="true" t="shared" si="5" ref="B11:Q11">SUM(B4:B10)</f>
        <v>0</v>
      </c>
      <c r="C11" s="3">
        <f t="shared" si="5"/>
        <v>274.45</v>
      </c>
      <c r="D11" s="3">
        <f t="shared" si="5"/>
        <v>0</v>
      </c>
      <c r="E11" s="32">
        <f t="shared" si="5"/>
        <v>274.45</v>
      </c>
      <c r="F11" s="33">
        <f t="shared" si="5"/>
        <v>0</v>
      </c>
      <c r="G11" s="33">
        <f t="shared" si="5"/>
        <v>0</v>
      </c>
      <c r="H11" s="33">
        <f t="shared" si="5"/>
        <v>0</v>
      </c>
      <c r="I11" s="32">
        <f t="shared" si="5"/>
        <v>0</v>
      </c>
      <c r="J11" s="33">
        <f t="shared" si="5"/>
        <v>0</v>
      </c>
      <c r="K11" s="33">
        <f t="shared" si="5"/>
        <v>0</v>
      </c>
      <c r="L11" s="33">
        <f t="shared" si="5"/>
        <v>2091</v>
      </c>
      <c r="M11" s="32">
        <f t="shared" si="5"/>
        <v>2091</v>
      </c>
      <c r="N11" s="33">
        <f t="shared" si="5"/>
        <v>0</v>
      </c>
      <c r="O11" s="33">
        <f t="shared" si="5"/>
        <v>0</v>
      </c>
      <c r="P11" s="33">
        <f t="shared" si="5"/>
        <v>0</v>
      </c>
      <c r="Q11" s="32">
        <f t="shared" si="5"/>
        <v>0</v>
      </c>
      <c r="R11" s="34">
        <f t="shared" si="4"/>
        <v>2365.45</v>
      </c>
    </row>
    <row r="12" spans="1:18" ht="12.75" outlineLevel="3">
      <c r="A12" s="23" t="s">
        <v>15</v>
      </c>
      <c r="B12" s="24">
        <v>6065.76</v>
      </c>
      <c r="C12" s="24">
        <v>6069.24</v>
      </c>
      <c r="D12" s="24">
        <v>6072.84</v>
      </c>
      <c r="E12" s="35">
        <f>SUM(B12:D12)</f>
        <v>18207.84</v>
      </c>
      <c r="F12" s="38">
        <v>6027</v>
      </c>
      <c r="G12" s="38">
        <v>5922.12</v>
      </c>
      <c r="H12" s="38">
        <v>5921.76</v>
      </c>
      <c r="I12" s="35">
        <f>SUM(F12:H12)</f>
        <v>17870.879999999997</v>
      </c>
      <c r="J12" s="38">
        <v>5933.04</v>
      </c>
      <c r="K12" s="38">
        <v>5946.36</v>
      </c>
      <c r="L12" s="38">
        <v>5948</v>
      </c>
      <c r="M12" s="35">
        <f>SUM(J12:L12)</f>
        <v>17827.4</v>
      </c>
      <c r="N12" s="38">
        <v>5945</v>
      </c>
      <c r="O12" s="38">
        <v>5938</v>
      </c>
      <c r="P12" s="38">
        <v>5948</v>
      </c>
      <c r="Q12" s="35">
        <f>SUM(N12:P12)</f>
        <v>17831</v>
      </c>
      <c r="R12" s="34">
        <f t="shared" si="4"/>
        <v>71737.12</v>
      </c>
    </row>
    <row r="13" spans="1:18" ht="12.75" outlineLevel="3">
      <c r="A13" s="23" t="s">
        <v>16</v>
      </c>
      <c r="B13" s="24">
        <v>990</v>
      </c>
      <c r="C13" s="24">
        <v>990</v>
      </c>
      <c r="D13" s="24">
        <v>990</v>
      </c>
      <c r="E13" s="35">
        <f aca="true" t="shared" si="6" ref="E13:E19">SUM(B13:D13)</f>
        <v>2970</v>
      </c>
      <c r="F13" s="38">
        <v>990</v>
      </c>
      <c r="G13" s="38">
        <v>990</v>
      </c>
      <c r="H13" s="38">
        <v>990</v>
      </c>
      <c r="I13" s="35">
        <f aca="true" t="shared" si="7" ref="I13:I19">SUM(F13:H13)</f>
        <v>2970</v>
      </c>
      <c r="J13" s="38">
        <v>990</v>
      </c>
      <c r="K13" s="38">
        <v>990</v>
      </c>
      <c r="L13" s="38">
        <v>990</v>
      </c>
      <c r="M13" s="35">
        <f aca="true" t="shared" si="8" ref="M13:M19">SUM(J13:L13)</f>
        <v>2970</v>
      </c>
      <c r="N13" s="38">
        <v>990</v>
      </c>
      <c r="O13" s="38">
        <v>990</v>
      </c>
      <c r="P13" s="38">
        <v>990</v>
      </c>
      <c r="Q13" s="35">
        <f aca="true" t="shared" si="9" ref="Q13:Q19">SUM(N13:P13)</f>
        <v>2970</v>
      </c>
      <c r="R13" s="34">
        <f t="shared" si="4"/>
        <v>11880</v>
      </c>
    </row>
    <row r="14" spans="1:18" ht="12.75" outlineLevel="3">
      <c r="A14" s="23" t="s">
        <v>17</v>
      </c>
      <c r="B14" s="24">
        <v>1094.97</v>
      </c>
      <c r="C14" s="24">
        <v>1445.27</v>
      </c>
      <c r="D14" s="24">
        <v>1351.48</v>
      </c>
      <c r="E14" s="35">
        <f t="shared" si="6"/>
        <v>3891.72</v>
      </c>
      <c r="F14" s="38">
        <v>918.69</v>
      </c>
      <c r="G14" s="38">
        <v>563.87</v>
      </c>
      <c r="H14" s="38">
        <v>557.09</v>
      </c>
      <c r="I14" s="35">
        <f t="shared" si="7"/>
        <v>2039.65</v>
      </c>
      <c r="J14" s="38">
        <v>653.14</v>
      </c>
      <c r="K14" s="38">
        <v>762.75</v>
      </c>
      <c r="L14" s="38">
        <v>1064.46</v>
      </c>
      <c r="M14" s="35">
        <f t="shared" si="8"/>
        <v>2480.35</v>
      </c>
      <c r="N14" s="38">
        <v>580.82</v>
      </c>
      <c r="O14" s="38">
        <v>284.76</v>
      </c>
      <c r="P14" s="38">
        <v>467</v>
      </c>
      <c r="Q14" s="35">
        <f t="shared" si="9"/>
        <v>1332.58</v>
      </c>
      <c r="R14" s="34">
        <f t="shared" si="4"/>
        <v>9744.3</v>
      </c>
    </row>
    <row r="15" spans="1:18" ht="12.75" outlineLevel="3">
      <c r="A15" s="25" t="s">
        <v>18</v>
      </c>
      <c r="B15" s="24"/>
      <c r="C15" s="24">
        <v>571.6</v>
      </c>
      <c r="D15" s="24">
        <v>631.95</v>
      </c>
      <c r="E15" s="35">
        <f t="shared" si="6"/>
        <v>1203.5500000000002</v>
      </c>
      <c r="F15" s="38">
        <f>1585.47+1935.16</f>
        <v>3520.63</v>
      </c>
      <c r="G15" s="38"/>
      <c r="H15" s="38">
        <f>1240.72+1.39</f>
        <v>1242.1100000000001</v>
      </c>
      <c r="I15" s="35">
        <f t="shared" si="7"/>
        <v>4762.74</v>
      </c>
      <c r="J15" s="38">
        <f>1.45+765.39</f>
        <v>766.84</v>
      </c>
      <c r="K15" s="38"/>
      <c r="L15" s="38">
        <f>686.39+1.21</f>
        <v>687.6</v>
      </c>
      <c r="M15" s="35">
        <f t="shared" si="8"/>
        <v>1454.44</v>
      </c>
      <c r="N15" s="38">
        <f>626.37+1.14+865.07+0.77</f>
        <v>1493.35</v>
      </c>
      <c r="O15" s="38">
        <f>808+1</f>
        <v>809</v>
      </c>
      <c r="P15" s="38">
        <f>719+416</f>
        <v>1135</v>
      </c>
      <c r="Q15" s="35">
        <f t="shared" si="9"/>
        <v>3437.35</v>
      </c>
      <c r="R15" s="34">
        <f t="shared" si="4"/>
        <v>10858.079999999998</v>
      </c>
    </row>
    <row r="16" spans="1:18" ht="12.75" outlineLevel="3">
      <c r="A16" s="23" t="s">
        <v>19</v>
      </c>
      <c r="B16" s="24">
        <v>119.97</v>
      </c>
      <c r="C16" s="24">
        <v>314.34</v>
      </c>
      <c r="D16" s="24">
        <v>305.04</v>
      </c>
      <c r="E16" s="35">
        <f t="shared" si="6"/>
        <v>739.3499999999999</v>
      </c>
      <c r="F16" s="38">
        <v>166.47</v>
      </c>
      <c r="G16" s="38">
        <v>114.39</v>
      </c>
      <c r="H16" s="38">
        <v>122.76</v>
      </c>
      <c r="I16" s="35">
        <f t="shared" si="7"/>
        <v>403.62</v>
      </c>
      <c r="J16" s="38">
        <v>100.44</v>
      </c>
      <c r="K16" s="38">
        <v>111.6</v>
      </c>
      <c r="L16" s="38">
        <v>120</v>
      </c>
      <c r="M16" s="35">
        <f t="shared" si="8"/>
        <v>332.03999999999996</v>
      </c>
      <c r="N16" s="38">
        <v>120</v>
      </c>
      <c r="O16" s="38">
        <v>73.47</v>
      </c>
      <c r="P16" s="38">
        <v>151</v>
      </c>
      <c r="Q16" s="35">
        <f t="shared" si="9"/>
        <v>344.47</v>
      </c>
      <c r="R16" s="34">
        <f t="shared" si="4"/>
        <v>1819.48</v>
      </c>
    </row>
    <row r="17" spans="1:18" ht="12.75" outlineLevel="3">
      <c r="A17" s="23" t="s">
        <v>20</v>
      </c>
      <c r="B17" s="24">
        <v>663.5</v>
      </c>
      <c r="C17" s="24">
        <v>2519.5</v>
      </c>
      <c r="D17" s="24">
        <v>1876</v>
      </c>
      <c r="E17" s="35">
        <f t="shared" si="6"/>
        <v>5059</v>
      </c>
      <c r="F17" s="38">
        <v>1798.5</v>
      </c>
      <c r="G17" s="38">
        <v>997.5</v>
      </c>
      <c r="H17" s="38">
        <v>636</v>
      </c>
      <c r="I17" s="35">
        <f t="shared" si="7"/>
        <v>3432</v>
      </c>
      <c r="J17" s="38">
        <f>506.05+178.35+113.1+625</f>
        <v>1422.5</v>
      </c>
      <c r="K17" s="38">
        <f>36.25+739.5+5.8</f>
        <v>781.55</v>
      </c>
      <c r="L17" s="38">
        <v>128</v>
      </c>
      <c r="M17" s="35">
        <f t="shared" si="8"/>
        <v>2332.05</v>
      </c>
      <c r="N17" s="38">
        <v>128</v>
      </c>
      <c r="O17" s="38">
        <v>185</v>
      </c>
      <c r="P17" s="38">
        <v>233</v>
      </c>
      <c r="Q17" s="35">
        <f t="shared" si="9"/>
        <v>546</v>
      </c>
      <c r="R17" s="34">
        <f t="shared" si="4"/>
        <v>11369.05</v>
      </c>
    </row>
    <row r="18" spans="1:18" ht="12.75" outlineLevel="3">
      <c r="A18" s="23" t="s">
        <v>21</v>
      </c>
      <c r="B18" s="24">
        <v>1850</v>
      </c>
      <c r="C18" s="24">
        <v>1850</v>
      </c>
      <c r="D18" s="24">
        <v>1850</v>
      </c>
      <c r="E18" s="35">
        <f t="shared" si="6"/>
        <v>5550</v>
      </c>
      <c r="F18" s="38">
        <v>1850</v>
      </c>
      <c r="G18" s="38">
        <v>1850</v>
      </c>
      <c r="H18" s="38">
        <v>1850</v>
      </c>
      <c r="I18" s="35">
        <f t="shared" si="7"/>
        <v>5550</v>
      </c>
      <c r="J18" s="38">
        <v>1850</v>
      </c>
      <c r="K18" s="38">
        <v>1850</v>
      </c>
      <c r="L18" s="38">
        <v>1850</v>
      </c>
      <c r="M18" s="35">
        <f t="shared" si="8"/>
        <v>5550</v>
      </c>
      <c r="N18" s="38">
        <v>1850</v>
      </c>
      <c r="O18" s="38">
        <v>1850</v>
      </c>
      <c r="P18" s="38">
        <v>1850</v>
      </c>
      <c r="Q18" s="35">
        <f t="shared" si="9"/>
        <v>5550</v>
      </c>
      <c r="R18" s="34">
        <f t="shared" si="4"/>
        <v>22200</v>
      </c>
    </row>
    <row r="19" spans="1:18" ht="12.75" outlineLevel="3">
      <c r="A19" s="23" t="s">
        <v>22</v>
      </c>
      <c r="B19" s="24"/>
      <c r="C19" s="24"/>
      <c r="D19" s="24">
        <v>93.72</v>
      </c>
      <c r="E19" s="35">
        <f t="shared" si="6"/>
        <v>93.72</v>
      </c>
      <c r="F19" s="38">
        <v>3212.04</v>
      </c>
      <c r="G19" s="38">
        <v>59.64</v>
      </c>
      <c r="H19" s="38">
        <v>140.58</v>
      </c>
      <c r="I19" s="35">
        <f t="shared" si="7"/>
        <v>3412.2599999999998</v>
      </c>
      <c r="J19" s="38">
        <v>80.94</v>
      </c>
      <c r="K19" s="38">
        <v>63.9</v>
      </c>
      <c r="L19" s="38">
        <v>115</v>
      </c>
      <c r="M19" s="35">
        <f t="shared" si="8"/>
        <v>259.84000000000003</v>
      </c>
      <c r="N19" s="38">
        <v>98</v>
      </c>
      <c r="O19" s="38">
        <v>123.54</v>
      </c>
      <c r="P19" s="38">
        <v>94</v>
      </c>
      <c r="Q19" s="35">
        <f t="shared" si="9"/>
        <v>315.54</v>
      </c>
      <c r="R19" s="34">
        <f t="shared" si="4"/>
        <v>4081.3599999999997</v>
      </c>
    </row>
    <row r="20" spans="1:18" ht="12.75" outlineLevel="2">
      <c r="A20" s="22" t="s">
        <v>49</v>
      </c>
      <c r="B20" s="3">
        <f aca="true" t="shared" si="10" ref="B20:Q20">SUM(B12:B19)</f>
        <v>10784.2</v>
      </c>
      <c r="C20" s="3">
        <f t="shared" si="10"/>
        <v>13759.95</v>
      </c>
      <c r="D20" s="3">
        <f t="shared" si="10"/>
        <v>13171.03</v>
      </c>
      <c r="E20" s="32">
        <f t="shared" si="10"/>
        <v>37715.18</v>
      </c>
      <c r="F20" s="33">
        <f t="shared" si="10"/>
        <v>18483.329999999998</v>
      </c>
      <c r="G20" s="33">
        <f t="shared" si="10"/>
        <v>10497.52</v>
      </c>
      <c r="H20" s="33">
        <f t="shared" si="10"/>
        <v>11460.300000000001</v>
      </c>
      <c r="I20" s="32">
        <f t="shared" si="10"/>
        <v>40441.15</v>
      </c>
      <c r="J20" s="33">
        <f t="shared" si="10"/>
        <v>11796.900000000001</v>
      </c>
      <c r="K20" s="33">
        <f t="shared" si="10"/>
        <v>10506.16</v>
      </c>
      <c r="L20" s="33">
        <f t="shared" si="10"/>
        <v>10903.06</v>
      </c>
      <c r="M20" s="32">
        <f t="shared" si="10"/>
        <v>33206.119999999995</v>
      </c>
      <c r="N20" s="33">
        <f t="shared" si="10"/>
        <v>11205.17</v>
      </c>
      <c r="O20" s="33">
        <f t="shared" si="10"/>
        <v>10253.77</v>
      </c>
      <c r="P20" s="33">
        <f t="shared" si="10"/>
        <v>10868</v>
      </c>
      <c r="Q20" s="32">
        <f t="shared" si="10"/>
        <v>32326.940000000002</v>
      </c>
      <c r="R20" s="34">
        <f t="shared" si="4"/>
        <v>143689.38999999998</v>
      </c>
    </row>
    <row r="21" spans="1:18" ht="13.5" outlineLevel="1" thickBot="1">
      <c r="A21" s="26" t="s">
        <v>48</v>
      </c>
      <c r="B21" s="2">
        <f aca="true" t="shared" si="11" ref="B21:R21">B20+B11</f>
        <v>10784.2</v>
      </c>
      <c r="C21" s="2">
        <f t="shared" si="11"/>
        <v>14034.400000000001</v>
      </c>
      <c r="D21" s="2">
        <f t="shared" si="11"/>
        <v>13171.03</v>
      </c>
      <c r="E21" s="39">
        <f t="shared" si="11"/>
        <v>37989.63</v>
      </c>
      <c r="F21" s="40">
        <f t="shared" si="11"/>
        <v>18483.329999999998</v>
      </c>
      <c r="G21" s="40">
        <f t="shared" si="11"/>
        <v>10497.52</v>
      </c>
      <c r="H21" s="40">
        <f t="shared" si="11"/>
        <v>11460.300000000001</v>
      </c>
      <c r="I21" s="39">
        <f t="shared" si="11"/>
        <v>40441.15</v>
      </c>
      <c r="J21" s="40">
        <f t="shared" si="11"/>
        <v>11796.900000000001</v>
      </c>
      <c r="K21" s="40">
        <f t="shared" si="11"/>
        <v>10506.16</v>
      </c>
      <c r="L21" s="40">
        <f t="shared" si="11"/>
        <v>12994.06</v>
      </c>
      <c r="M21" s="39">
        <f t="shared" si="11"/>
        <v>35297.119999999995</v>
      </c>
      <c r="N21" s="40">
        <f t="shared" si="11"/>
        <v>11205.17</v>
      </c>
      <c r="O21" s="40">
        <f t="shared" si="11"/>
        <v>10253.77</v>
      </c>
      <c r="P21" s="40">
        <f t="shared" si="11"/>
        <v>10868</v>
      </c>
      <c r="Q21" s="39">
        <f t="shared" si="11"/>
        <v>32326.940000000002</v>
      </c>
      <c r="R21" s="41">
        <f t="shared" si="11"/>
        <v>146054.84</v>
      </c>
    </row>
    <row r="22" spans="1:18" ht="13.5" outlineLevel="1" thickTop="1">
      <c r="A22" s="16" t="s">
        <v>27</v>
      </c>
      <c r="B22" s="17"/>
      <c r="C22" s="17"/>
      <c r="D22" s="17"/>
      <c r="E22" s="14"/>
      <c r="F22" s="17"/>
      <c r="G22" s="17"/>
      <c r="H22" s="17"/>
      <c r="I22" s="14"/>
      <c r="J22" s="17"/>
      <c r="K22" s="17"/>
      <c r="L22" s="17"/>
      <c r="M22" s="14"/>
      <c r="N22" s="17"/>
      <c r="O22" s="17"/>
      <c r="P22" s="17"/>
      <c r="Q22" s="14"/>
      <c r="R22" s="27"/>
    </row>
    <row r="23" spans="1:18" ht="12.75" outlineLevel="3">
      <c r="A23" s="19" t="s">
        <v>40</v>
      </c>
      <c r="B23" s="20"/>
      <c r="C23" s="20"/>
      <c r="D23" s="20"/>
      <c r="E23" s="12">
        <f aca="true" t="shared" si="12" ref="E23:E29">SUM(B23:D23)</f>
        <v>0</v>
      </c>
      <c r="F23" s="20"/>
      <c r="G23" s="20"/>
      <c r="H23" s="20"/>
      <c r="I23" s="12">
        <f aca="true" t="shared" si="13" ref="I23:I29">SUM(F23:H23)</f>
        <v>0</v>
      </c>
      <c r="J23" s="20"/>
      <c r="K23" s="20"/>
      <c r="L23" s="20"/>
      <c r="M23" s="12">
        <f aca="true" t="shared" si="14" ref="M23:M29">SUM(J23:L23)</f>
        <v>0</v>
      </c>
      <c r="N23" s="20"/>
      <c r="O23" s="20"/>
      <c r="P23" s="20"/>
      <c r="Q23" s="12">
        <f aca="true" t="shared" si="15" ref="Q23:Q29">SUM(N23:P23)</f>
        <v>0</v>
      </c>
      <c r="R23" s="21">
        <f aca="true" t="shared" si="16" ref="R23:R30">Q23+M23+I23+E23</f>
        <v>0</v>
      </c>
    </row>
    <row r="24" spans="1:18" ht="12.75" outlineLevel="3">
      <c r="A24" s="19" t="s">
        <v>41</v>
      </c>
      <c r="B24" s="20"/>
      <c r="C24" s="20"/>
      <c r="D24" s="20"/>
      <c r="E24" s="12">
        <f t="shared" si="12"/>
        <v>0</v>
      </c>
      <c r="F24" s="20"/>
      <c r="G24" s="20"/>
      <c r="H24" s="20"/>
      <c r="I24" s="12">
        <f t="shared" si="13"/>
        <v>0</v>
      </c>
      <c r="J24" s="20"/>
      <c r="K24" s="20"/>
      <c r="L24" s="20"/>
      <c r="M24" s="12">
        <f t="shared" si="14"/>
        <v>0</v>
      </c>
      <c r="N24" s="20"/>
      <c r="O24" s="20"/>
      <c r="P24" s="20"/>
      <c r="Q24" s="12">
        <f t="shared" si="15"/>
        <v>0</v>
      </c>
      <c r="R24" s="21">
        <f t="shared" si="16"/>
        <v>0</v>
      </c>
    </row>
    <row r="25" spans="1:18" ht="12.75" outlineLevel="3">
      <c r="A25" s="19" t="s">
        <v>42</v>
      </c>
      <c r="B25" s="20"/>
      <c r="C25" s="20"/>
      <c r="D25" s="20"/>
      <c r="E25" s="12">
        <f t="shared" si="12"/>
        <v>0</v>
      </c>
      <c r="F25" s="20"/>
      <c r="G25" s="20"/>
      <c r="H25" s="20"/>
      <c r="I25" s="12">
        <f t="shared" si="13"/>
        <v>0</v>
      </c>
      <c r="J25" s="20"/>
      <c r="K25" s="20"/>
      <c r="L25" s="20"/>
      <c r="M25" s="12">
        <f t="shared" si="14"/>
        <v>0</v>
      </c>
      <c r="N25" s="20"/>
      <c r="O25" s="20"/>
      <c r="P25" s="20"/>
      <c r="Q25" s="12">
        <f t="shared" si="15"/>
        <v>0</v>
      </c>
      <c r="R25" s="21">
        <f t="shared" si="16"/>
        <v>0</v>
      </c>
    </row>
    <row r="26" spans="1:18" ht="12.75" outlineLevel="3">
      <c r="A26" s="19" t="s">
        <v>43</v>
      </c>
      <c r="B26" s="20"/>
      <c r="C26" s="20"/>
      <c r="D26" s="20"/>
      <c r="E26" s="12">
        <f t="shared" si="12"/>
        <v>0</v>
      </c>
      <c r="F26" s="20"/>
      <c r="G26" s="20">
        <v>18.08</v>
      </c>
      <c r="H26" s="20"/>
      <c r="I26" s="12">
        <f t="shared" si="13"/>
        <v>18.08</v>
      </c>
      <c r="J26" s="20"/>
      <c r="K26" s="20"/>
      <c r="L26" s="20"/>
      <c r="M26" s="12">
        <f t="shared" si="14"/>
        <v>0</v>
      </c>
      <c r="N26" s="20"/>
      <c r="O26" s="20"/>
      <c r="P26" s="20"/>
      <c r="Q26" s="12">
        <f t="shared" si="15"/>
        <v>0</v>
      </c>
      <c r="R26" s="21">
        <f t="shared" si="16"/>
        <v>18.08</v>
      </c>
    </row>
    <row r="27" spans="1:18" ht="12.75" outlineLevel="3">
      <c r="A27" s="19" t="s">
        <v>44</v>
      </c>
      <c r="B27" s="20"/>
      <c r="C27" s="20"/>
      <c r="D27" s="20"/>
      <c r="E27" s="12">
        <f t="shared" si="12"/>
        <v>0</v>
      </c>
      <c r="F27" s="20"/>
      <c r="G27" s="20"/>
      <c r="H27" s="20"/>
      <c r="I27" s="12">
        <f t="shared" si="13"/>
        <v>0</v>
      </c>
      <c r="J27" s="20"/>
      <c r="K27" s="20"/>
      <c r="L27" s="20"/>
      <c r="M27" s="12">
        <f t="shared" si="14"/>
        <v>0</v>
      </c>
      <c r="N27" s="20"/>
      <c r="O27" s="20"/>
      <c r="P27" s="20"/>
      <c r="Q27" s="12">
        <f t="shared" si="15"/>
        <v>0</v>
      </c>
      <c r="R27" s="21">
        <f t="shared" si="16"/>
        <v>0</v>
      </c>
    </row>
    <row r="28" spans="1:18" ht="12.75" outlineLevel="3">
      <c r="A28" s="19" t="s">
        <v>45</v>
      </c>
      <c r="B28" s="20"/>
      <c r="C28" s="20">
        <f>146.25+37.14+209.45</f>
        <v>392.84</v>
      </c>
      <c r="D28" s="20"/>
      <c r="E28" s="12">
        <f t="shared" si="12"/>
        <v>392.84</v>
      </c>
      <c r="F28" s="20"/>
      <c r="G28" s="20">
        <v>2000</v>
      </c>
      <c r="H28" s="20"/>
      <c r="I28" s="12">
        <f t="shared" si="13"/>
        <v>2000</v>
      </c>
      <c r="J28" s="20"/>
      <c r="K28" s="20"/>
      <c r="L28" s="20">
        <v>152</v>
      </c>
      <c r="M28" s="12">
        <f t="shared" si="14"/>
        <v>152</v>
      </c>
      <c r="N28" s="20"/>
      <c r="O28" s="20"/>
      <c r="P28" s="20"/>
      <c r="Q28" s="12">
        <f t="shared" si="15"/>
        <v>0</v>
      </c>
      <c r="R28" s="21">
        <f t="shared" si="16"/>
        <v>2544.84</v>
      </c>
    </row>
    <row r="29" spans="1:18" ht="12.75" outlineLevel="3">
      <c r="A29" s="19" t="s">
        <v>46</v>
      </c>
      <c r="B29" s="20"/>
      <c r="C29" s="20"/>
      <c r="D29" s="20"/>
      <c r="E29" s="12">
        <f t="shared" si="12"/>
        <v>0</v>
      </c>
      <c r="F29" s="20"/>
      <c r="G29" s="20"/>
      <c r="H29" s="20"/>
      <c r="I29" s="12">
        <f t="shared" si="13"/>
        <v>0</v>
      </c>
      <c r="J29" s="20"/>
      <c r="K29" s="20"/>
      <c r="L29" s="20"/>
      <c r="M29" s="12">
        <f t="shared" si="14"/>
        <v>0</v>
      </c>
      <c r="N29" s="20"/>
      <c r="O29" s="20"/>
      <c r="P29" s="20"/>
      <c r="Q29" s="12">
        <f t="shared" si="15"/>
        <v>0</v>
      </c>
      <c r="R29" s="21">
        <f t="shared" si="16"/>
        <v>0</v>
      </c>
    </row>
    <row r="30" spans="1:18" ht="12.75" outlineLevel="2">
      <c r="A30" s="22" t="s">
        <v>47</v>
      </c>
      <c r="B30" s="33">
        <f aca="true" t="shared" si="17" ref="B30:Q30">SUM(B23:B29)</f>
        <v>0</v>
      </c>
      <c r="C30" s="33">
        <f t="shared" si="17"/>
        <v>392.84</v>
      </c>
      <c r="D30" s="33">
        <f t="shared" si="17"/>
        <v>0</v>
      </c>
      <c r="E30" s="32">
        <f t="shared" si="17"/>
        <v>392.84</v>
      </c>
      <c r="F30" s="33">
        <f t="shared" si="17"/>
        <v>0</v>
      </c>
      <c r="G30" s="33">
        <f t="shared" si="17"/>
        <v>2018.08</v>
      </c>
      <c r="H30" s="33">
        <f t="shared" si="17"/>
        <v>0</v>
      </c>
      <c r="I30" s="32">
        <f t="shared" si="17"/>
        <v>2018.08</v>
      </c>
      <c r="J30" s="33">
        <f t="shared" si="17"/>
        <v>0</v>
      </c>
      <c r="K30" s="33">
        <f t="shared" si="17"/>
        <v>0</v>
      </c>
      <c r="L30" s="33">
        <f t="shared" si="17"/>
        <v>152</v>
      </c>
      <c r="M30" s="32">
        <f t="shared" si="17"/>
        <v>152</v>
      </c>
      <c r="N30" s="33">
        <f t="shared" si="17"/>
        <v>0</v>
      </c>
      <c r="O30" s="33">
        <f t="shared" si="17"/>
        <v>0</v>
      </c>
      <c r="P30" s="33">
        <f t="shared" si="17"/>
        <v>0</v>
      </c>
      <c r="Q30" s="32">
        <f t="shared" si="17"/>
        <v>0</v>
      </c>
      <c r="R30" s="34">
        <f t="shared" si="16"/>
        <v>2562.92</v>
      </c>
    </row>
    <row r="31" spans="1:18" ht="12.75" outlineLevel="3">
      <c r="A31" s="23" t="s">
        <v>15</v>
      </c>
      <c r="B31" s="3">
        <v>445.56</v>
      </c>
      <c r="C31" s="3">
        <v>444.24</v>
      </c>
      <c r="D31" s="3">
        <v>443.28</v>
      </c>
      <c r="E31" s="35">
        <f>SUM(B31:D31)</f>
        <v>1333.08</v>
      </c>
      <c r="F31" s="37">
        <v>439.92</v>
      </c>
      <c r="G31" s="37">
        <v>439.44</v>
      </c>
      <c r="H31" s="37">
        <v>437.4</v>
      </c>
      <c r="I31" s="35">
        <f>SUM(F31:H31)</f>
        <v>1316.76</v>
      </c>
      <c r="J31" s="37">
        <v>434.88</v>
      </c>
      <c r="K31" s="37">
        <v>432.96</v>
      </c>
      <c r="L31" s="37">
        <v>432.24</v>
      </c>
      <c r="M31" s="35">
        <f>SUM(J31:L31)</f>
        <v>1300.08</v>
      </c>
      <c r="N31" s="37">
        <v>432.48</v>
      </c>
      <c r="O31" s="38">
        <v>431</v>
      </c>
      <c r="P31" s="38">
        <v>428</v>
      </c>
      <c r="Q31" s="35">
        <f>SUM(N31:P31)</f>
        <v>1291.48</v>
      </c>
      <c r="R31" s="34">
        <f>Q31+M31+I31+E31</f>
        <v>5241.4</v>
      </c>
    </row>
    <row r="32" spans="1:18" ht="12.75" outlineLevel="3">
      <c r="A32" s="23" t="s">
        <v>16</v>
      </c>
      <c r="B32" s="3">
        <v>80.3</v>
      </c>
      <c r="C32" s="3">
        <v>80.3</v>
      </c>
      <c r="D32" s="3">
        <v>80.3</v>
      </c>
      <c r="E32" s="35">
        <f aca="true" t="shared" si="18" ref="E32:E38">SUM(B32:D32)</f>
        <v>240.89999999999998</v>
      </c>
      <c r="F32" s="37">
        <v>80.3</v>
      </c>
      <c r="G32" s="37">
        <v>80.3</v>
      </c>
      <c r="H32" s="37">
        <v>88</v>
      </c>
      <c r="I32" s="35">
        <f aca="true" t="shared" si="19" ref="I32:I38">SUM(F32:H32)</f>
        <v>248.6</v>
      </c>
      <c r="J32" s="37">
        <v>88</v>
      </c>
      <c r="K32" s="37">
        <v>88</v>
      </c>
      <c r="L32" s="37">
        <v>88</v>
      </c>
      <c r="M32" s="35">
        <f aca="true" t="shared" si="20" ref="M32:M38">SUM(J32:L32)</f>
        <v>264</v>
      </c>
      <c r="N32" s="37">
        <v>88</v>
      </c>
      <c r="O32" s="38">
        <v>88</v>
      </c>
      <c r="P32" s="38">
        <v>88</v>
      </c>
      <c r="Q32" s="35">
        <f aca="true" t="shared" si="21" ref="Q32:Q38">SUM(N32:P32)</f>
        <v>264</v>
      </c>
      <c r="R32" s="34">
        <f aca="true" t="shared" si="22" ref="R32:R39">Q32+M32+I32+E32</f>
        <v>1017.5</v>
      </c>
    </row>
    <row r="33" spans="1:18" ht="12.75" outlineLevel="3">
      <c r="A33" s="23" t="s">
        <v>17</v>
      </c>
      <c r="B33" s="3">
        <v>62.15</v>
      </c>
      <c r="C33" s="3">
        <v>64.41</v>
      </c>
      <c r="D33" s="3">
        <v>32.77</v>
      </c>
      <c r="E33" s="35">
        <f t="shared" si="18"/>
        <v>159.33</v>
      </c>
      <c r="F33" s="37">
        <v>38.42</v>
      </c>
      <c r="G33" s="37">
        <v>35.03</v>
      </c>
      <c r="H33" s="37">
        <v>29.38</v>
      </c>
      <c r="I33" s="35">
        <f t="shared" si="19"/>
        <v>102.83</v>
      </c>
      <c r="J33" s="37">
        <v>29.38</v>
      </c>
      <c r="K33" s="37">
        <v>39.55</v>
      </c>
      <c r="L33" s="37">
        <v>38.42</v>
      </c>
      <c r="M33" s="35">
        <f t="shared" si="20"/>
        <v>107.35</v>
      </c>
      <c r="N33" s="37">
        <v>44</v>
      </c>
      <c r="O33" s="38">
        <v>21.47</v>
      </c>
      <c r="P33" s="38">
        <v>19</v>
      </c>
      <c r="Q33" s="35">
        <f t="shared" si="21"/>
        <v>84.47</v>
      </c>
      <c r="R33" s="34">
        <f t="shared" si="22"/>
        <v>453.98</v>
      </c>
    </row>
    <row r="34" spans="1:18" ht="12.75" outlineLevel="3">
      <c r="A34" s="25" t="s">
        <v>18</v>
      </c>
      <c r="B34" s="3"/>
      <c r="C34" s="3"/>
      <c r="D34" s="3"/>
      <c r="E34" s="35">
        <f t="shared" si="18"/>
        <v>0</v>
      </c>
      <c r="F34" s="37"/>
      <c r="G34" s="37"/>
      <c r="H34" s="37">
        <f>81.81+1.39</f>
        <v>83.2</v>
      </c>
      <c r="I34" s="35">
        <f t="shared" si="19"/>
        <v>83.2</v>
      </c>
      <c r="J34" s="37">
        <f>50.47+1.45</f>
        <v>51.92</v>
      </c>
      <c r="K34" s="37"/>
      <c r="L34" s="37">
        <f>45.26+1.21</f>
        <v>46.47</v>
      </c>
      <c r="M34" s="35">
        <f t="shared" si="20"/>
        <v>98.39</v>
      </c>
      <c r="N34" s="37">
        <f>45.83+1.14+62.8+0.77</f>
        <v>110.53999999999999</v>
      </c>
      <c r="O34" s="38">
        <v>52</v>
      </c>
      <c r="P34" s="38">
        <f>52+32</f>
        <v>84</v>
      </c>
      <c r="Q34" s="35">
        <f t="shared" si="21"/>
        <v>246.54</v>
      </c>
      <c r="R34" s="34">
        <f t="shared" si="22"/>
        <v>428.13</v>
      </c>
    </row>
    <row r="35" spans="1:18" ht="12.75" outlineLevel="3">
      <c r="A35" s="23" t="s">
        <v>19</v>
      </c>
      <c r="B35" s="3">
        <v>39.99</v>
      </c>
      <c r="C35" s="3">
        <v>23.25</v>
      </c>
      <c r="D35" s="3">
        <v>16.74</v>
      </c>
      <c r="E35" s="35">
        <f t="shared" si="18"/>
        <v>79.98</v>
      </c>
      <c r="F35" s="37">
        <v>10.23</v>
      </c>
      <c r="G35" s="37">
        <v>8.37</v>
      </c>
      <c r="H35" s="37">
        <v>1.86</v>
      </c>
      <c r="I35" s="35">
        <f t="shared" si="19"/>
        <v>20.46</v>
      </c>
      <c r="J35" s="37">
        <v>4.65</v>
      </c>
      <c r="K35" s="37">
        <v>3.72</v>
      </c>
      <c r="L35" s="37">
        <v>6.51</v>
      </c>
      <c r="M35" s="35">
        <f t="shared" si="20"/>
        <v>14.88</v>
      </c>
      <c r="N35" s="37">
        <v>4.65</v>
      </c>
      <c r="O35" s="38">
        <v>1.86</v>
      </c>
      <c r="P35" s="38">
        <v>7</v>
      </c>
      <c r="Q35" s="35">
        <f t="shared" si="21"/>
        <v>13.510000000000002</v>
      </c>
      <c r="R35" s="34">
        <f t="shared" si="22"/>
        <v>128.83</v>
      </c>
    </row>
    <row r="36" spans="1:18" ht="12.75" outlineLevel="3">
      <c r="A36" s="23" t="s">
        <v>20</v>
      </c>
      <c r="B36" s="3"/>
      <c r="C36" s="3"/>
      <c r="D36" s="3">
        <v>29.5</v>
      </c>
      <c r="E36" s="35">
        <f t="shared" si="18"/>
        <v>29.5</v>
      </c>
      <c r="F36" s="37">
        <v>55.5</v>
      </c>
      <c r="G36" s="37">
        <v>46.5</v>
      </c>
      <c r="H36" s="37">
        <v>21</v>
      </c>
      <c r="I36" s="35">
        <f t="shared" si="19"/>
        <v>123</v>
      </c>
      <c r="J36" s="37">
        <f>17.4+11.6+5.8+40.5</f>
        <v>75.3</v>
      </c>
      <c r="K36" s="37">
        <f>2.9+44.5</f>
        <v>47.4</v>
      </c>
      <c r="L36" s="37">
        <v>3.5</v>
      </c>
      <c r="M36" s="35">
        <f t="shared" si="20"/>
        <v>126.19999999999999</v>
      </c>
      <c r="N36" s="37">
        <v>3.5</v>
      </c>
      <c r="O36" s="38">
        <v>10</v>
      </c>
      <c r="P36" s="38">
        <v>10</v>
      </c>
      <c r="Q36" s="35">
        <f t="shared" si="21"/>
        <v>23.5</v>
      </c>
      <c r="R36" s="34">
        <f t="shared" si="22"/>
        <v>302.2</v>
      </c>
    </row>
    <row r="37" spans="1:18" ht="12.75" outlineLevel="3">
      <c r="A37" s="23" t="s">
        <v>21</v>
      </c>
      <c r="B37" s="3"/>
      <c r="C37" s="3"/>
      <c r="D37" s="3"/>
      <c r="E37" s="35">
        <f t="shared" si="18"/>
        <v>0</v>
      </c>
      <c r="F37" s="37"/>
      <c r="G37" s="37"/>
      <c r="H37" s="37"/>
      <c r="I37" s="35">
        <f t="shared" si="19"/>
        <v>0</v>
      </c>
      <c r="J37" s="37"/>
      <c r="K37" s="37"/>
      <c r="L37" s="37"/>
      <c r="M37" s="35">
        <f t="shared" si="20"/>
        <v>0</v>
      </c>
      <c r="N37" s="37"/>
      <c r="O37" s="38"/>
      <c r="P37" s="38"/>
      <c r="Q37" s="35">
        <f t="shared" si="21"/>
        <v>0</v>
      </c>
      <c r="R37" s="34">
        <f t="shared" si="22"/>
        <v>0</v>
      </c>
    </row>
    <row r="38" spans="1:18" ht="12.75" outlineLevel="3">
      <c r="A38" s="23" t="s">
        <v>22</v>
      </c>
      <c r="B38" s="3"/>
      <c r="C38" s="3"/>
      <c r="D38" s="3"/>
      <c r="E38" s="35">
        <f t="shared" si="18"/>
        <v>0</v>
      </c>
      <c r="F38" s="37">
        <v>123.54</v>
      </c>
      <c r="G38" s="37"/>
      <c r="H38" s="37"/>
      <c r="I38" s="35">
        <f t="shared" si="19"/>
        <v>123.54</v>
      </c>
      <c r="J38" s="37"/>
      <c r="K38" s="37">
        <v>4.26</v>
      </c>
      <c r="L38" s="37"/>
      <c r="M38" s="35">
        <f t="shared" si="20"/>
        <v>4.26</v>
      </c>
      <c r="N38" s="37">
        <v>4.26</v>
      </c>
      <c r="O38" s="38"/>
      <c r="P38" s="38"/>
      <c r="Q38" s="35">
        <f t="shared" si="21"/>
        <v>4.26</v>
      </c>
      <c r="R38" s="34">
        <f t="shared" si="22"/>
        <v>132.06</v>
      </c>
    </row>
    <row r="39" spans="1:18" ht="12.75" outlineLevel="2">
      <c r="A39" s="22" t="s">
        <v>50</v>
      </c>
      <c r="B39" s="33">
        <f aca="true" t="shared" si="23" ref="B39:Q39">SUM(B31:B38)</f>
        <v>628</v>
      </c>
      <c r="C39" s="33">
        <f t="shared" si="23"/>
        <v>612.1999999999999</v>
      </c>
      <c r="D39" s="33">
        <f t="shared" si="23"/>
        <v>602.5899999999999</v>
      </c>
      <c r="E39" s="32">
        <f t="shared" si="23"/>
        <v>1842.79</v>
      </c>
      <c r="F39" s="33">
        <f t="shared" si="23"/>
        <v>747.91</v>
      </c>
      <c r="G39" s="33">
        <f t="shared" si="23"/>
        <v>609.64</v>
      </c>
      <c r="H39" s="33">
        <f t="shared" si="23"/>
        <v>660.84</v>
      </c>
      <c r="I39" s="32">
        <f t="shared" si="23"/>
        <v>2018.3899999999999</v>
      </c>
      <c r="J39" s="33">
        <f t="shared" si="23"/>
        <v>684.1299999999999</v>
      </c>
      <c r="K39" s="33">
        <f t="shared" si="23"/>
        <v>615.89</v>
      </c>
      <c r="L39" s="33">
        <f t="shared" si="23"/>
        <v>615.14</v>
      </c>
      <c r="M39" s="32">
        <f t="shared" si="23"/>
        <v>1915.16</v>
      </c>
      <c r="N39" s="33">
        <f t="shared" si="23"/>
        <v>687.43</v>
      </c>
      <c r="O39" s="33">
        <f t="shared" si="23"/>
        <v>604.33</v>
      </c>
      <c r="P39" s="33">
        <f t="shared" si="23"/>
        <v>636</v>
      </c>
      <c r="Q39" s="32">
        <f t="shared" si="23"/>
        <v>1927.76</v>
      </c>
      <c r="R39" s="34">
        <f t="shared" si="22"/>
        <v>7704.099999999999</v>
      </c>
    </row>
    <row r="40" spans="1:18" ht="13.5" outlineLevel="1" thickBot="1">
      <c r="A40" s="26" t="s">
        <v>48</v>
      </c>
      <c r="B40" s="40">
        <f aca="true" t="shared" si="24" ref="B40:R40">B39+B30</f>
        <v>628</v>
      </c>
      <c r="C40" s="40">
        <f t="shared" si="24"/>
        <v>1005.04</v>
      </c>
      <c r="D40" s="40">
        <f t="shared" si="24"/>
        <v>602.5899999999999</v>
      </c>
      <c r="E40" s="39">
        <f t="shared" si="24"/>
        <v>2235.63</v>
      </c>
      <c r="F40" s="40">
        <f t="shared" si="24"/>
        <v>747.91</v>
      </c>
      <c r="G40" s="40">
        <f t="shared" si="24"/>
        <v>2627.72</v>
      </c>
      <c r="H40" s="40">
        <f t="shared" si="24"/>
        <v>660.84</v>
      </c>
      <c r="I40" s="39">
        <f t="shared" si="24"/>
        <v>4036.47</v>
      </c>
      <c r="J40" s="40">
        <f t="shared" si="24"/>
        <v>684.1299999999999</v>
      </c>
      <c r="K40" s="40">
        <f t="shared" si="24"/>
        <v>615.89</v>
      </c>
      <c r="L40" s="40">
        <f t="shared" si="24"/>
        <v>767.14</v>
      </c>
      <c r="M40" s="39">
        <f t="shared" si="24"/>
        <v>2067.16</v>
      </c>
      <c r="N40" s="40">
        <f t="shared" si="24"/>
        <v>687.43</v>
      </c>
      <c r="O40" s="40">
        <f t="shared" si="24"/>
        <v>604.33</v>
      </c>
      <c r="P40" s="40">
        <f t="shared" si="24"/>
        <v>636</v>
      </c>
      <c r="Q40" s="39">
        <f t="shared" si="24"/>
        <v>1927.76</v>
      </c>
      <c r="R40" s="41">
        <f t="shared" si="24"/>
        <v>10267.02</v>
      </c>
    </row>
    <row r="41" spans="1:18" ht="13.5" outlineLevel="1" thickTop="1">
      <c r="A41" s="16" t="s">
        <v>28</v>
      </c>
      <c r="B41" s="17"/>
      <c r="C41" s="17"/>
      <c r="D41" s="17"/>
      <c r="E41" s="14"/>
      <c r="F41" s="17"/>
      <c r="G41" s="17"/>
      <c r="H41" s="17"/>
      <c r="I41" s="14"/>
      <c r="J41" s="17"/>
      <c r="K41" s="17"/>
      <c r="L41" s="17"/>
      <c r="M41" s="14"/>
      <c r="N41" s="17"/>
      <c r="O41" s="17"/>
      <c r="P41" s="17"/>
      <c r="Q41" s="14"/>
      <c r="R41" s="27"/>
    </row>
    <row r="42" spans="1:18" ht="12.75" outlineLevel="3">
      <c r="A42" s="19" t="s">
        <v>40</v>
      </c>
      <c r="B42" s="20"/>
      <c r="C42" s="20"/>
      <c r="D42" s="20"/>
      <c r="E42" s="12">
        <f aca="true" t="shared" si="25" ref="E42:E48">SUM(B42:D42)</f>
        <v>0</v>
      </c>
      <c r="F42" s="20"/>
      <c r="G42" s="20"/>
      <c r="H42" s="20"/>
      <c r="I42" s="12">
        <f aca="true" t="shared" si="26" ref="I42:I48">SUM(F42:H42)</f>
        <v>0</v>
      </c>
      <c r="J42" s="20"/>
      <c r="K42" s="20"/>
      <c r="L42" s="20"/>
      <c r="M42" s="12">
        <f aca="true" t="shared" si="27" ref="M42:M48">SUM(J42:L42)</f>
        <v>0</v>
      </c>
      <c r="N42" s="20"/>
      <c r="O42" s="20"/>
      <c r="P42" s="20"/>
      <c r="Q42" s="12">
        <f aca="true" t="shared" si="28" ref="Q42:Q48">SUM(N42:P42)</f>
        <v>0</v>
      </c>
      <c r="R42" s="21">
        <f aca="true" t="shared" si="29" ref="R42:R49">Q42+M42+I42+E42</f>
        <v>0</v>
      </c>
    </row>
    <row r="43" spans="1:18" ht="12.75" outlineLevel="3">
      <c r="A43" s="19" t="s">
        <v>41</v>
      </c>
      <c r="B43" s="20"/>
      <c r="C43" s="20"/>
      <c r="D43" s="20"/>
      <c r="E43" s="12">
        <f t="shared" si="25"/>
        <v>0</v>
      </c>
      <c r="F43" s="20"/>
      <c r="G43" s="20"/>
      <c r="H43" s="20"/>
      <c r="I43" s="12">
        <f t="shared" si="26"/>
        <v>0</v>
      </c>
      <c r="J43" s="20"/>
      <c r="K43" s="20">
        <v>1120</v>
      </c>
      <c r="L43" s="20"/>
      <c r="M43" s="12">
        <f t="shared" si="27"/>
        <v>1120</v>
      </c>
      <c r="N43" s="20"/>
      <c r="O43" s="20"/>
      <c r="P43" s="20"/>
      <c r="Q43" s="12">
        <f t="shared" si="28"/>
        <v>0</v>
      </c>
      <c r="R43" s="21">
        <f t="shared" si="29"/>
        <v>1120</v>
      </c>
    </row>
    <row r="44" spans="1:18" ht="12.75" outlineLevel="3">
      <c r="A44" s="19" t="s">
        <v>42</v>
      </c>
      <c r="B44" s="20">
        <v>1768.8</v>
      </c>
      <c r="C44" s="20"/>
      <c r="D44" s="20"/>
      <c r="E44" s="12">
        <f t="shared" si="25"/>
        <v>1768.8</v>
      </c>
      <c r="F44" s="20"/>
      <c r="G44" s="20"/>
      <c r="H44" s="20"/>
      <c r="I44" s="12">
        <f t="shared" si="26"/>
        <v>0</v>
      </c>
      <c r="J44" s="20"/>
      <c r="K44" s="20"/>
      <c r="L44" s="20"/>
      <c r="M44" s="12">
        <f t="shared" si="27"/>
        <v>0</v>
      </c>
      <c r="N44" s="20"/>
      <c r="O44" s="20"/>
      <c r="P44" s="20"/>
      <c r="Q44" s="12">
        <f t="shared" si="28"/>
        <v>0</v>
      </c>
      <c r="R44" s="21">
        <f t="shared" si="29"/>
        <v>1768.8</v>
      </c>
    </row>
    <row r="45" spans="1:18" ht="12.75" outlineLevel="3">
      <c r="A45" s="19" t="s">
        <v>43</v>
      </c>
      <c r="B45" s="20"/>
      <c r="C45" s="20"/>
      <c r="D45" s="20"/>
      <c r="E45" s="12">
        <f t="shared" si="25"/>
        <v>0</v>
      </c>
      <c r="F45" s="20"/>
      <c r="G45" s="20"/>
      <c r="H45" s="20"/>
      <c r="I45" s="12">
        <f t="shared" si="26"/>
        <v>0</v>
      </c>
      <c r="J45" s="20">
        <v>6395.8</v>
      </c>
      <c r="K45" s="20"/>
      <c r="L45" s="20"/>
      <c r="M45" s="12">
        <f t="shared" si="27"/>
        <v>6395.8</v>
      </c>
      <c r="N45" s="20"/>
      <c r="O45" s="20"/>
      <c r="P45" s="20"/>
      <c r="Q45" s="12">
        <f t="shared" si="28"/>
        <v>0</v>
      </c>
      <c r="R45" s="21">
        <f t="shared" si="29"/>
        <v>6395.8</v>
      </c>
    </row>
    <row r="46" spans="1:18" ht="12.75" outlineLevel="3">
      <c r="A46" s="19" t="s">
        <v>44</v>
      </c>
      <c r="B46" s="20"/>
      <c r="C46" s="20"/>
      <c r="D46" s="20"/>
      <c r="E46" s="12">
        <f t="shared" si="25"/>
        <v>0</v>
      </c>
      <c r="F46" s="20"/>
      <c r="G46" s="20"/>
      <c r="H46" s="20"/>
      <c r="I46" s="12">
        <f t="shared" si="26"/>
        <v>0</v>
      </c>
      <c r="J46" s="20"/>
      <c r="K46" s="20"/>
      <c r="L46" s="20"/>
      <c r="M46" s="12">
        <f t="shared" si="27"/>
        <v>0</v>
      </c>
      <c r="N46" s="20"/>
      <c r="O46" s="20"/>
      <c r="P46" s="20"/>
      <c r="Q46" s="12">
        <f t="shared" si="28"/>
        <v>0</v>
      </c>
      <c r="R46" s="21">
        <f t="shared" si="29"/>
        <v>0</v>
      </c>
    </row>
    <row r="47" spans="1:18" ht="12.75" outlineLevel="3">
      <c r="A47" s="19" t="s">
        <v>45</v>
      </c>
      <c r="B47" s="20"/>
      <c r="C47" s="20"/>
      <c r="D47" s="20"/>
      <c r="E47" s="12">
        <f t="shared" si="25"/>
        <v>0</v>
      </c>
      <c r="F47" s="20"/>
      <c r="G47" s="20"/>
      <c r="H47" s="20"/>
      <c r="I47" s="12">
        <f t="shared" si="26"/>
        <v>0</v>
      </c>
      <c r="J47" s="20"/>
      <c r="K47" s="20"/>
      <c r="L47" s="20">
        <v>241</v>
      </c>
      <c r="M47" s="12">
        <f t="shared" si="27"/>
        <v>241</v>
      </c>
      <c r="N47" s="20"/>
      <c r="O47" s="20"/>
      <c r="P47" s="20"/>
      <c r="Q47" s="12">
        <f t="shared" si="28"/>
        <v>0</v>
      </c>
      <c r="R47" s="21">
        <f t="shared" si="29"/>
        <v>241</v>
      </c>
    </row>
    <row r="48" spans="1:18" ht="12.75" outlineLevel="3">
      <c r="A48" s="19" t="s">
        <v>46</v>
      </c>
      <c r="B48" s="20"/>
      <c r="C48" s="20"/>
      <c r="D48" s="20"/>
      <c r="E48" s="12">
        <f t="shared" si="25"/>
        <v>0</v>
      </c>
      <c r="F48" s="20"/>
      <c r="G48" s="20"/>
      <c r="H48" s="20"/>
      <c r="I48" s="12">
        <f t="shared" si="26"/>
        <v>0</v>
      </c>
      <c r="J48" s="20"/>
      <c r="K48" s="20"/>
      <c r="L48" s="20"/>
      <c r="M48" s="12">
        <f t="shared" si="27"/>
        <v>0</v>
      </c>
      <c r="N48" s="20"/>
      <c r="O48" s="20"/>
      <c r="P48" s="20"/>
      <c r="Q48" s="12">
        <f t="shared" si="28"/>
        <v>0</v>
      </c>
      <c r="R48" s="21">
        <f t="shared" si="29"/>
        <v>0</v>
      </c>
    </row>
    <row r="49" spans="1:18" ht="12.75" outlineLevel="2">
      <c r="A49" s="22" t="s">
        <v>47</v>
      </c>
      <c r="B49" s="3">
        <f aca="true" t="shared" si="30" ref="B49:Q49">SUM(B42:B48)</f>
        <v>1768.8</v>
      </c>
      <c r="C49" s="3">
        <f t="shared" si="30"/>
        <v>0</v>
      </c>
      <c r="D49" s="3">
        <f t="shared" si="30"/>
        <v>0</v>
      </c>
      <c r="E49" s="32">
        <f t="shared" si="30"/>
        <v>1768.8</v>
      </c>
      <c r="F49" s="33">
        <f t="shared" si="30"/>
        <v>0</v>
      </c>
      <c r="G49" s="33">
        <f t="shared" si="30"/>
        <v>0</v>
      </c>
      <c r="H49" s="33">
        <f t="shared" si="30"/>
        <v>0</v>
      </c>
      <c r="I49" s="32">
        <f t="shared" si="30"/>
        <v>0</v>
      </c>
      <c r="J49" s="33">
        <f t="shared" si="30"/>
        <v>6395.8</v>
      </c>
      <c r="K49" s="33">
        <f t="shared" si="30"/>
        <v>1120</v>
      </c>
      <c r="L49" s="33">
        <f t="shared" si="30"/>
        <v>241</v>
      </c>
      <c r="M49" s="32">
        <f t="shared" si="30"/>
        <v>7756.8</v>
      </c>
      <c r="N49" s="33">
        <f t="shared" si="30"/>
        <v>0</v>
      </c>
      <c r="O49" s="33">
        <f t="shared" si="30"/>
        <v>0</v>
      </c>
      <c r="P49" s="33">
        <f t="shared" si="30"/>
        <v>0</v>
      </c>
      <c r="Q49" s="32">
        <f t="shared" si="30"/>
        <v>0</v>
      </c>
      <c r="R49" s="34">
        <f t="shared" si="29"/>
        <v>9525.6</v>
      </c>
    </row>
    <row r="50" spans="1:18" ht="12.75" outlineLevel="3">
      <c r="A50" s="23" t="s">
        <v>15</v>
      </c>
      <c r="B50" s="3"/>
      <c r="C50" s="3"/>
      <c r="D50" s="3"/>
      <c r="E50" s="35">
        <f>SUM(B50:D50)</f>
        <v>0</v>
      </c>
      <c r="F50" s="37"/>
      <c r="G50" s="37"/>
      <c r="H50" s="37"/>
      <c r="I50" s="35">
        <f>SUM(F50:H50)</f>
        <v>0</v>
      </c>
      <c r="J50" s="37">
        <v>680.28</v>
      </c>
      <c r="K50" s="37">
        <v>687.12</v>
      </c>
      <c r="L50" s="37">
        <v>695.04</v>
      </c>
      <c r="M50" s="35">
        <f>SUM(J50:L50)</f>
        <v>2062.44</v>
      </c>
      <c r="N50" s="37">
        <v>700.56</v>
      </c>
      <c r="O50" s="37">
        <v>703</v>
      </c>
      <c r="P50" s="38">
        <v>702</v>
      </c>
      <c r="Q50" s="35">
        <f>SUM(N50:P50)</f>
        <v>2105.56</v>
      </c>
      <c r="R50" s="34">
        <f>Q50+M50+I50+E50</f>
        <v>4168</v>
      </c>
    </row>
    <row r="51" spans="1:18" ht="12.75" outlineLevel="3">
      <c r="A51" s="23" t="s">
        <v>51</v>
      </c>
      <c r="B51" s="3">
        <v>29.7</v>
      </c>
      <c r="C51" s="3">
        <v>29.7</v>
      </c>
      <c r="D51" s="3">
        <v>29.7</v>
      </c>
      <c r="E51" s="35">
        <f aca="true" t="shared" si="31" ref="E51:E57">SUM(B51:D51)</f>
        <v>89.1</v>
      </c>
      <c r="F51" s="37">
        <v>29.7</v>
      </c>
      <c r="G51" s="37">
        <v>29.7</v>
      </c>
      <c r="H51" s="37">
        <v>22</v>
      </c>
      <c r="I51" s="35">
        <f aca="true" t="shared" si="32" ref="I51:I57">SUM(F51:H51)</f>
        <v>81.4</v>
      </c>
      <c r="J51" s="37">
        <v>132</v>
      </c>
      <c r="K51" s="37">
        <v>132</v>
      </c>
      <c r="L51" s="37">
        <v>132</v>
      </c>
      <c r="M51" s="35">
        <f aca="true" t="shared" si="33" ref="M51:M57">SUM(J51:L51)</f>
        <v>396</v>
      </c>
      <c r="N51" s="37">
        <v>132</v>
      </c>
      <c r="O51" s="37">
        <v>132</v>
      </c>
      <c r="P51" s="38">
        <v>132</v>
      </c>
      <c r="Q51" s="35">
        <f aca="true" t="shared" si="34" ref="Q51:Q57">SUM(N51:P51)</f>
        <v>396</v>
      </c>
      <c r="R51" s="34">
        <f aca="true" t="shared" si="35" ref="R51:R58">Q51+M51+I51+E51</f>
        <v>962.5</v>
      </c>
    </row>
    <row r="52" spans="1:18" ht="12.75" outlineLevel="3">
      <c r="A52" s="23" t="s">
        <v>17</v>
      </c>
      <c r="B52" s="3"/>
      <c r="C52" s="3"/>
      <c r="D52" s="3"/>
      <c r="E52" s="35">
        <f t="shared" si="31"/>
        <v>0</v>
      </c>
      <c r="F52" s="37"/>
      <c r="G52" s="37"/>
      <c r="H52" s="37"/>
      <c r="I52" s="35">
        <f t="shared" si="32"/>
        <v>0</v>
      </c>
      <c r="J52" s="37">
        <v>47.46</v>
      </c>
      <c r="K52" s="37">
        <v>76.84</v>
      </c>
      <c r="L52" s="37">
        <v>184.19</v>
      </c>
      <c r="M52" s="35">
        <f t="shared" si="33"/>
        <v>308.49</v>
      </c>
      <c r="N52" s="37">
        <v>113</v>
      </c>
      <c r="O52" s="37">
        <v>79</v>
      </c>
      <c r="P52" s="38">
        <v>79</v>
      </c>
      <c r="Q52" s="35">
        <f t="shared" si="34"/>
        <v>271</v>
      </c>
      <c r="R52" s="34">
        <f t="shared" si="35"/>
        <v>579.49</v>
      </c>
    </row>
    <row r="53" spans="1:18" ht="12.75" outlineLevel="3">
      <c r="A53" s="25" t="s">
        <v>18</v>
      </c>
      <c r="B53" s="3"/>
      <c r="C53" s="3"/>
      <c r="D53" s="3"/>
      <c r="E53" s="35">
        <f t="shared" si="31"/>
        <v>0</v>
      </c>
      <c r="F53" s="37"/>
      <c r="G53" s="37"/>
      <c r="H53" s="37"/>
      <c r="I53" s="35">
        <f t="shared" si="32"/>
        <v>0</v>
      </c>
      <c r="J53" s="37"/>
      <c r="K53" s="37"/>
      <c r="L53" s="37">
        <v>1.21</v>
      </c>
      <c r="M53" s="35">
        <f t="shared" si="33"/>
        <v>1.21</v>
      </c>
      <c r="N53" s="37">
        <f>68.75+1.14+99.61+0.77</f>
        <v>170.27</v>
      </c>
      <c r="O53" s="37">
        <v>83</v>
      </c>
      <c r="P53" s="38">
        <f>83+1+48+1</f>
        <v>133</v>
      </c>
      <c r="Q53" s="35">
        <f t="shared" si="34"/>
        <v>386.27</v>
      </c>
      <c r="R53" s="34">
        <f t="shared" si="35"/>
        <v>387.47999999999996</v>
      </c>
    </row>
    <row r="54" spans="1:18" ht="12.75" outlineLevel="3">
      <c r="A54" s="23" t="s">
        <v>19</v>
      </c>
      <c r="B54" s="3"/>
      <c r="C54" s="3"/>
      <c r="D54" s="3"/>
      <c r="E54" s="35">
        <f t="shared" si="31"/>
        <v>0</v>
      </c>
      <c r="F54" s="37"/>
      <c r="G54" s="37"/>
      <c r="H54" s="37"/>
      <c r="I54" s="35">
        <f t="shared" si="32"/>
        <v>0</v>
      </c>
      <c r="J54" s="37">
        <v>15.81</v>
      </c>
      <c r="K54" s="37">
        <v>23.25</v>
      </c>
      <c r="L54" s="37">
        <v>13.02</v>
      </c>
      <c r="M54" s="35">
        <f t="shared" si="33"/>
        <v>52.08</v>
      </c>
      <c r="N54" s="37">
        <v>6.51</v>
      </c>
      <c r="O54" s="37">
        <v>4.65</v>
      </c>
      <c r="P54" s="38">
        <v>11</v>
      </c>
      <c r="Q54" s="35">
        <f t="shared" si="34"/>
        <v>22.16</v>
      </c>
      <c r="R54" s="34">
        <f t="shared" si="35"/>
        <v>74.24</v>
      </c>
    </row>
    <row r="55" spans="1:18" ht="12.75" outlineLevel="3">
      <c r="A55" s="23" t="s">
        <v>20</v>
      </c>
      <c r="B55" s="3"/>
      <c r="C55" s="3"/>
      <c r="D55" s="3"/>
      <c r="E55" s="35">
        <f t="shared" si="31"/>
        <v>0</v>
      </c>
      <c r="F55" s="37"/>
      <c r="G55" s="37"/>
      <c r="H55" s="37"/>
      <c r="I55" s="35">
        <f t="shared" si="32"/>
        <v>0</v>
      </c>
      <c r="J55" s="37">
        <v>38</v>
      </c>
      <c r="K55" s="37">
        <v>78.5</v>
      </c>
      <c r="L55" s="37">
        <v>4.5</v>
      </c>
      <c r="M55" s="35">
        <f t="shared" si="33"/>
        <v>121</v>
      </c>
      <c r="N55" s="37">
        <v>4.5</v>
      </c>
      <c r="O55" s="37">
        <v>3</v>
      </c>
      <c r="P55" s="38">
        <v>14</v>
      </c>
      <c r="Q55" s="35">
        <f t="shared" si="34"/>
        <v>21.5</v>
      </c>
      <c r="R55" s="34">
        <f t="shared" si="35"/>
        <v>142.5</v>
      </c>
    </row>
    <row r="56" spans="1:18" ht="12.75" outlineLevel="3">
      <c r="A56" s="23" t="s">
        <v>21</v>
      </c>
      <c r="B56" s="3"/>
      <c r="C56" s="3"/>
      <c r="D56" s="3"/>
      <c r="E56" s="35">
        <f t="shared" si="31"/>
        <v>0</v>
      </c>
      <c r="F56" s="37"/>
      <c r="G56" s="37"/>
      <c r="H56" s="37"/>
      <c r="I56" s="35">
        <f t="shared" si="32"/>
        <v>0</v>
      </c>
      <c r="J56" s="37"/>
      <c r="K56" s="37"/>
      <c r="L56" s="37"/>
      <c r="M56" s="35">
        <f t="shared" si="33"/>
        <v>0</v>
      </c>
      <c r="N56" s="37"/>
      <c r="O56" s="37"/>
      <c r="P56" s="38"/>
      <c r="Q56" s="35">
        <f t="shared" si="34"/>
        <v>0</v>
      </c>
      <c r="R56" s="34">
        <f t="shared" si="35"/>
        <v>0</v>
      </c>
    </row>
    <row r="57" spans="1:18" ht="12.75" outlineLevel="3">
      <c r="A57" s="23" t="s">
        <v>22</v>
      </c>
      <c r="B57" s="3"/>
      <c r="C57" s="3"/>
      <c r="D57" s="3"/>
      <c r="E57" s="35">
        <f t="shared" si="31"/>
        <v>0</v>
      </c>
      <c r="F57" s="37"/>
      <c r="G57" s="37"/>
      <c r="H57" s="37"/>
      <c r="I57" s="35">
        <f t="shared" si="32"/>
        <v>0</v>
      </c>
      <c r="J57" s="37"/>
      <c r="K57" s="37"/>
      <c r="L57" s="37"/>
      <c r="M57" s="35">
        <f t="shared" si="33"/>
        <v>0</v>
      </c>
      <c r="N57" s="37">
        <v>8.52</v>
      </c>
      <c r="O57" s="37"/>
      <c r="P57" s="38">
        <v>4</v>
      </c>
      <c r="Q57" s="35">
        <f t="shared" si="34"/>
        <v>12.52</v>
      </c>
      <c r="R57" s="34">
        <f t="shared" si="35"/>
        <v>12.52</v>
      </c>
    </row>
    <row r="58" spans="1:18" ht="12.75" outlineLevel="2">
      <c r="A58" s="28" t="s">
        <v>50</v>
      </c>
      <c r="B58" s="5">
        <f aca="true" t="shared" si="36" ref="B58:Q58">SUM(B50:B57)</f>
        <v>29.7</v>
      </c>
      <c r="C58" s="5">
        <f t="shared" si="36"/>
        <v>29.7</v>
      </c>
      <c r="D58" s="5">
        <f t="shared" si="36"/>
        <v>29.7</v>
      </c>
      <c r="E58" s="42">
        <f t="shared" si="36"/>
        <v>89.1</v>
      </c>
      <c r="F58" s="43">
        <f t="shared" si="36"/>
        <v>29.7</v>
      </c>
      <c r="G58" s="43">
        <f t="shared" si="36"/>
        <v>29.7</v>
      </c>
      <c r="H58" s="43">
        <f t="shared" si="36"/>
        <v>22</v>
      </c>
      <c r="I58" s="42">
        <f t="shared" si="36"/>
        <v>81.4</v>
      </c>
      <c r="J58" s="43">
        <f t="shared" si="36"/>
        <v>913.55</v>
      </c>
      <c r="K58" s="43">
        <f t="shared" si="36"/>
        <v>997.71</v>
      </c>
      <c r="L58" s="43">
        <f t="shared" si="36"/>
        <v>1029.96</v>
      </c>
      <c r="M58" s="42">
        <f t="shared" si="36"/>
        <v>2941.2200000000003</v>
      </c>
      <c r="N58" s="43">
        <f t="shared" si="36"/>
        <v>1135.36</v>
      </c>
      <c r="O58" s="43">
        <f t="shared" si="36"/>
        <v>1004.65</v>
      </c>
      <c r="P58" s="43">
        <f t="shared" si="36"/>
        <v>1075</v>
      </c>
      <c r="Q58" s="42">
        <f t="shared" si="36"/>
        <v>3215.0099999999998</v>
      </c>
      <c r="R58" s="44">
        <f t="shared" si="35"/>
        <v>6326.73</v>
      </c>
    </row>
    <row r="59" spans="1:18" ht="13.5" outlineLevel="1" thickBot="1">
      <c r="A59" s="26" t="s">
        <v>48</v>
      </c>
      <c r="B59" s="4">
        <f aca="true" t="shared" si="37" ref="B59:R59">B58+B49</f>
        <v>1798.5</v>
      </c>
      <c r="C59" s="4">
        <f t="shared" si="37"/>
        <v>29.7</v>
      </c>
      <c r="D59" s="4">
        <f t="shared" si="37"/>
        <v>29.7</v>
      </c>
      <c r="E59" s="45">
        <f t="shared" si="37"/>
        <v>1857.8999999999999</v>
      </c>
      <c r="F59" s="46">
        <f t="shared" si="37"/>
        <v>29.7</v>
      </c>
      <c r="G59" s="46">
        <f t="shared" si="37"/>
        <v>29.7</v>
      </c>
      <c r="H59" s="46">
        <f t="shared" si="37"/>
        <v>22</v>
      </c>
      <c r="I59" s="45">
        <f t="shared" si="37"/>
        <v>81.4</v>
      </c>
      <c r="J59" s="46">
        <f t="shared" si="37"/>
        <v>7309.35</v>
      </c>
      <c r="K59" s="46">
        <f t="shared" si="37"/>
        <v>2117.71</v>
      </c>
      <c r="L59" s="46">
        <f t="shared" si="37"/>
        <v>1270.96</v>
      </c>
      <c r="M59" s="45">
        <f t="shared" si="37"/>
        <v>10698.02</v>
      </c>
      <c r="N59" s="46">
        <f t="shared" si="37"/>
        <v>1135.36</v>
      </c>
      <c r="O59" s="46">
        <f t="shared" si="37"/>
        <v>1004.65</v>
      </c>
      <c r="P59" s="46">
        <f t="shared" si="37"/>
        <v>1075</v>
      </c>
      <c r="Q59" s="45">
        <f t="shared" si="37"/>
        <v>3215.0099999999998</v>
      </c>
      <c r="R59" s="47">
        <f t="shared" si="37"/>
        <v>15852.33</v>
      </c>
    </row>
    <row r="60" spans="1:18" ht="13.5" outlineLevel="1" thickTop="1">
      <c r="A60" s="16" t="s">
        <v>29</v>
      </c>
      <c r="B60" s="17"/>
      <c r="C60" s="17"/>
      <c r="D60" s="17"/>
      <c r="E60" s="14"/>
      <c r="F60" s="17"/>
      <c r="G60" s="17"/>
      <c r="H60" s="17"/>
      <c r="I60" s="14"/>
      <c r="J60" s="17"/>
      <c r="K60" s="17"/>
      <c r="L60" s="17"/>
      <c r="M60" s="14"/>
      <c r="N60" s="17"/>
      <c r="O60" s="17"/>
      <c r="P60" s="17"/>
      <c r="Q60" s="14"/>
      <c r="R60" s="27"/>
    </row>
    <row r="61" spans="1:18" ht="12.75" outlineLevel="3">
      <c r="A61" s="19" t="s">
        <v>40</v>
      </c>
      <c r="B61" s="20"/>
      <c r="C61" s="20"/>
      <c r="D61" s="20"/>
      <c r="E61" s="12">
        <f aca="true" t="shared" si="38" ref="E61:E67">SUM(B61:D61)</f>
        <v>0</v>
      </c>
      <c r="F61" s="20"/>
      <c r="G61" s="20"/>
      <c r="H61" s="20"/>
      <c r="I61" s="12">
        <f aca="true" t="shared" si="39" ref="I61:I67">SUM(F61:H61)</f>
        <v>0</v>
      </c>
      <c r="J61" s="20"/>
      <c r="K61" s="20"/>
      <c r="L61" s="20"/>
      <c r="M61" s="12">
        <f aca="true" t="shared" si="40" ref="M61:M67">SUM(J61:L61)</f>
        <v>0</v>
      </c>
      <c r="N61" s="20"/>
      <c r="O61" s="20"/>
      <c r="P61" s="20"/>
      <c r="Q61" s="12">
        <f aca="true" t="shared" si="41" ref="Q61:Q67">SUM(N61:P61)</f>
        <v>0</v>
      </c>
      <c r="R61" s="21">
        <f aca="true" t="shared" si="42" ref="R61:R68">Q61+M61+I61+E61</f>
        <v>0</v>
      </c>
    </row>
    <row r="62" spans="1:18" ht="12.75" outlineLevel="3">
      <c r="A62" s="19" t="s">
        <v>41</v>
      </c>
      <c r="B62" s="20"/>
      <c r="C62" s="20"/>
      <c r="D62" s="20"/>
      <c r="E62" s="12">
        <f t="shared" si="38"/>
        <v>0</v>
      </c>
      <c r="F62" s="20"/>
      <c r="G62" s="20"/>
      <c r="H62" s="20">
        <v>-10.8</v>
      </c>
      <c r="I62" s="12">
        <f t="shared" si="39"/>
        <v>-10.8</v>
      </c>
      <c r="J62" s="20"/>
      <c r="K62" s="20">
        <v>10.8</v>
      </c>
      <c r="L62" s="20"/>
      <c r="M62" s="12">
        <f t="shared" si="40"/>
        <v>10.8</v>
      </c>
      <c r="N62" s="20"/>
      <c r="O62" s="20"/>
      <c r="P62" s="20"/>
      <c r="Q62" s="12">
        <f t="shared" si="41"/>
        <v>0</v>
      </c>
      <c r="R62" s="21">
        <f t="shared" si="42"/>
        <v>0</v>
      </c>
    </row>
    <row r="63" spans="1:18" ht="12.75" outlineLevel="3">
      <c r="A63" s="19" t="s">
        <v>42</v>
      </c>
      <c r="B63" s="20"/>
      <c r="C63" s="20"/>
      <c r="D63" s="20"/>
      <c r="E63" s="12">
        <f t="shared" si="38"/>
        <v>0</v>
      </c>
      <c r="F63" s="20"/>
      <c r="G63" s="20"/>
      <c r="H63" s="20">
        <v>-629</v>
      </c>
      <c r="I63" s="12">
        <f t="shared" si="39"/>
        <v>-629</v>
      </c>
      <c r="J63" s="20"/>
      <c r="K63" s="20"/>
      <c r="L63" s="20"/>
      <c r="M63" s="12">
        <f t="shared" si="40"/>
        <v>0</v>
      </c>
      <c r="N63" s="20"/>
      <c r="O63" s="20"/>
      <c r="P63" s="20"/>
      <c r="Q63" s="12">
        <f t="shared" si="41"/>
        <v>0</v>
      </c>
      <c r="R63" s="21">
        <f t="shared" si="42"/>
        <v>-629</v>
      </c>
    </row>
    <row r="64" spans="1:18" ht="12.75" outlineLevel="3">
      <c r="A64" s="19" t="s">
        <v>43</v>
      </c>
      <c r="B64" s="20"/>
      <c r="C64" s="20"/>
      <c r="D64" s="20"/>
      <c r="E64" s="12">
        <f t="shared" si="38"/>
        <v>0</v>
      </c>
      <c r="F64" s="20"/>
      <c r="G64" s="20"/>
      <c r="H64" s="20"/>
      <c r="I64" s="12">
        <f t="shared" si="39"/>
        <v>0</v>
      </c>
      <c r="J64" s="20"/>
      <c r="K64" s="20"/>
      <c r="L64" s="20"/>
      <c r="M64" s="12">
        <f t="shared" si="40"/>
        <v>0</v>
      </c>
      <c r="N64" s="20"/>
      <c r="O64" s="20"/>
      <c r="P64" s="20"/>
      <c r="Q64" s="12">
        <f t="shared" si="41"/>
        <v>0</v>
      </c>
      <c r="R64" s="21">
        <f t="shared" si="42"/>
        <v>0</v>
      </c>
    </row>
    <row r="65" spans="1:18" ht="12.75" outlineLevel="3">
      <c r="A65" s="19" t="s">
        <v>44</v>
      </c>
      <c r="B65" s="20"/>
      <c r="C65" s="20"/>
      <c r="D65" s="20"/>
      <c r="E65" s="12">
        <f t="shared" si="38"/>
        <v>0</v>
      </c>
      <c r="F65" s="20"/>
      <c r="G65" s="20"/>
      <c r="H65" s="20"/>
      <c r="I65" s="12">
        <f t="shared" si="39"/>
        <v>0</v>
      </c>
      <c r="J65" s="20"/>
      <c r="K65" s="20"/>
      <c r="L65" s="20"/>
      <c r="M65" s="12">
        <f t="shared" si="40"/>
        <v>0</v>
      </c>
      <c r="N65" s="20"/>
      <c r="O65" s="20"/>
      <c r="P65" s="20"/>
      <c r="Q65" s="12">
        <f t="shared" si="41"/>
        <v>0</v>
      </c>
      <c r="R65" s="21">
        <f t="shared" si="42"/>
        <v>0</v>
      </c>
    </row>
    <row r="66" spans="1:18" ht="12.75" outlineLevel="3">
      <c r="A66" s="19" t="s">
        <v>45</v>
      </c>
      <c r="B66" s="20"/>
      <c r="C66" s="20"/>
      <c r="D66" s="20"/>
      <c r="E66" s="12">
        <f t="shared" si="38"/>
        <v>0</v>
      </c>
      <c r="F66" s="20"/>
      <c r="G66" s="20"/>
      <c r="H66" s="20"/>
      <c r="I66" s="12">
        <f t="shared" si="39"/>
        <v>0</v>
      </c>
      <c r="J66" s="20"/>
      <c r="K66" s="20"/>
      <c r="L66" s="20">
        <v>38</v>
      </c>
      <c r="M66" s="12">
        <f t="shared" si="40"/>
        <v>38</v>
      </c>
      <c r="N66" s="20"/>
      <c r="O66" s="20"/>
      <c r="P66" s="20"/>
      <c r="Q66" s="12">
        <f t="shared" si="41"/>
        <v>0</v>
      </c>
      <c r="R66" s="21">
        <f t="shared" si="42"/>
        <v>38</v>
      </c>
    </row>
    <row r="67" spans="1:18" ht="12.75" outlineLevel="3">
      <c r="A67" s="19" t="s">
        <v>46</v>
      </c>
      <c r="B67" s="20"/>
      <c r="C67" s="20"/>
      <c r="D67" s="20"/>
      <c r="E67" s="12">
        <f t="shared" si="38"/>
        <v>0</v>
      </c>
      <c r="F67" s="20"/>
      <c r="G67" s="20"/>
      <c r="H67" s="20"/>
      <c r="I67" s="12">
        <f t="shared" si="39"/>
        <v>0</v>
      </c>
      <c r="J67" s="20"/>
      <c r="K67" s="20"/>
      <c r="L67" s="20"/>
      <c r="M67" s="12">
        <f t="shared" si="40"/>
        <v>0</v>
      </c>
      <c r="N67" s="20"/>
      <c r="O67" s="20"/>
      <c r="P67" s="20"/>
      <c r="Q67" s="12">
        <f t="shared" si="41"/>
        <v>0</v>
      </c>
      <c r="R67" s="21">
        <f t="shared" si="42"/>
        <v>0</v>
      </c>
    </row>
    <row r="68" spans="1:18" ht="12.75" outlineLevel="2">
      <c r="A68" s="22" t="s">
        <v>47</v>
      </c>
      <c r="B68" s="3">
        <f aca="true" t="shared" si="43" ref="B68:Q68">SUM(B61:B67)</f>
        <v>0</v>
      </c>
      <c r="C68" s="3">
        <f t="shared" si="43"/>
        <v>0</v>
      </c>
      <c r="D68" s="3">
        <f t="shared" si="43"/>
        <v>0</v>
      </c>
      <c r="E68" s="32">
        <f t="shared" si="43"/>
        <v>0</v>
      </c>
      <c r="F68" s="33">
        <f t="shared" si="43"/>
        <v>0</v>
      </c>
      <c r="G68" s="33">
        <f t="shared" si="43"/>
        <v>0</v>
      </c>
      <c r="H68" s="33">
        <f t="shared" si="43"/>
        <v>-639.8</v>
      </c>
      <c r="I68" s="32">
        <f t="shared" si="43"/>
        <v>-639.8</v>
      </c>
      <c r="J68" s="33">
        <f t="shared" si="43"/>
        <v>0</v>
      </c>
      <c r="K68" s="33">
        <f t="shared" si="43"/>
        <v>10.8</v>
      </c>
      <c r="L68" s="33">
        <f t="shared" si="43"/>
        <v>38</v>
      </c>
      <c r="M68" s="32">
        <f t="shared" si="43"/>
        <v>48.8</v>
      </c>
      <c r="N68" s="33">
        <f t="shared" si="43"/>
        <v>0</v>
      </c>
      <c r="O68" s="33">
        <f t="shared" si="43"/>
        <v>0</v>
      </c>
      <c r="P68" s="33">
        <f t="shared" si="43"/>
        <v>0</v>
      </c>
      <c r="Q68" s="32">
        <f t="shared" si="43"/>
        <v>0</v>
      </c>
      <c r="R68" s="34">
        <f t="shared" si="42"/>
        <v>-591</v>
      </c>
    </row>
    <row r="69" spans="1:18" ht="12.75" outlineLevel="3">
      <c r="A69" s="23" t="s">
        <v>15</v>
      </c>
      <c r="B69" s="3"/>
      <c r="C69" s="3"/>
      <c r="D69" s="3"/>
      <c r="E69" s="35">
        <f>SUM(B69:D69)</f>
        <v>0</v>
      </c>
      <c r="F69" s="37"/>
      <c r="G69" s="37">
        <v>107.04</v>
      </c>
      <c r="H69" s="37">
        <v>106.44</v>
      </c>
      <c r="I69" s="35">
        <f>SUM(F69:H69)</f>
        <v>213.48000000000002</v>
      </c>
      <c r="J69" s="37"/>
      <c r="K69" s="37">
        <v>106.68</v>
      </c>
      <c r="L69" s="37">
        <v>107.76</v>
      </c>
      <c r="M69" s="35">
        <f>SUM(J69:L69)</f>
        <v>214.44</v>
      </c>
      <c r="N69" s="37">
        <v>108.6</v>
      </c>
      <c r="O69" s="37">
        <v>108.12</v>
      </c>
      <c r="P69" s="38">
        <v>107</v>
      </c>
      <c r="Q69" s="35">
        <f>SUM(N69:P69)</f>
        <v>323.72</v>
      </c>
      <c r="R69" s="34">
        <f>Q69+M69+I69+E69</f>
        <v>751.6400000000001</v>
      </c>
    </row>
    <row r="70" spans="1:18" ht="12.75" outlineLevel="3">
      <c r="A70" s="23" t="s">
        <v>16</v>
      </c>
      <c r="B70" s="3"/>
      <c r="C70" s="3"/>
      <c r="D70" s="3"/>
      <c r="E70" s="35">
        <f aca="true" t="shared" si="44" ref="E70:E76">SUM(B70:D70)</f>
        <v>0</v>
      </c>
      <c r="F70" s="37"/>
      <c r="G70" s="37"/>
      <c r="H70" s="37"/>
      <c r="I70" s="35">
        <f aca="true" t="shared" si="45" ref="I70:I76">SUM(F70:H70)</f>
        <v>0</v>
      </c>
      <c r="J70" s="37"/>
      <c r="K70" s="37">
        <v>22</v>
      </c>
      <c r="L70" s="37">
        <v>22</v>
      </c>
      <c r="M70" s="35">
        <f aca="true" t="shared" si="46" ref="M70:M76">SUM(J70:L70)</f>
        <v>44</v>
      </c>
      <c r="N70" s="37">
        <v>22</v>
      </c>
      <c r="O70" s="37">
        <v>22</v>
      </c>
      <c r="P70" s="38">
        <v>22</v>
      </c>
      <c r="Q70" s="35">
        <f aca="true" t="shared" si="47" ref="Q70:Q76">SUM(N70:P70)</f>
        <v>66</v>
      </c>
      <c r="R70" s="34">
        <f aca="true" t="shared" si="48" ref="R70:R77">Q70+M70+I70+E70</f>
        <v>110</v>
      </c>
    </row>
    <row r="71" spans="1:18" ht="12.75" outlineLevel="3">
      <c r="A71" s="23" t="s">
        <v>17</v>
      </c>
      <c r="B71" s="3"/>
      <c r="C71" s="3"/>
      <c r="D71" s="3"/>
      <c r="E71" s="35">
        <f t="shared" si="44"/>
        <v>0</v>
      </c>
      <c r="F71" s="37"/>
      <c r="G71" s="37">
        <v>18.08</v>
      </c>
      <c r="H71" s="37">
        <v>11.3</v>
      </c>
      <c r="I71" s="35">
        <f t="shared" si="45"/>
        <v>29.38</v>
      </c>
      <c r="J71" s="37"/>
      <c r="K71" s="37">
        <v>7.91</v>
      </c>
      <c r="L71" s="37">
        <v>16.95</v>
      </c>
      <c r="M71" s="35">
        <f t="shared" si="46"/>
        <v>24.86</v>
      </c>
      <c r="N71" s="37">
        <v>20.34</v>
      </c>
      <c r="O71" s="37">
        <v>10.17</v>
      </c>
      <c r="P71" s="38">
        <v>9</v>
      </c>
      <c r="Q71" s="35">
        <f t="shared" si="47"/>
        <v>39.51</v>
      </c>
      <c r="R71" s="34">
        <f t="shared" si="48"/>
        <v>93.75</v>
      </c>
    </row>
    <row r="72" spans="1:18" ht="12.75" outlineLevel="3">
      <c r="A72" s="25" t="s">
        <v>18</v>
      </c>
      <c r="B72" s="3"/>
      <c r="C72" s="3"/>
      <c r="D72" s="3"/>
      <c r="E72" s="35">
        <f t="shared" si="44"/>
        <v>0</v>
      </c>
      <c r="F72" s="37"/>
      <c r="G72" s="37"/>
      <c r="H72" s="37">
        <v>1.39</v>
      </c>
      <c r="I72" s="35">
        <f t="shared" si="45"/>
        <v>1.39</v>
      </c>
      <c r="J72" s="37"/>
      <c r="K72" s="37"/>
      <c r="L72" s="37">
        <f>7.54+1.21</f>
        <v>8.75</v>
      </c>
      <c r="M72" s="35">
        <f t="shared" si="46"/>
        <v>8.75</v>
      </c>
      <c r="N72" s="37">
        <f>7.64+1.14+16.24+0.76</f>
        <v>25.779999999999998</v>
      </c>
      <c r="O72" s="37">
        <f>13.32+0.74</f>
        <v>14.06</v>
      </c>
      <c r="P72" s="38">
        <f>14+1+8</f>
        <v>23</v>
      </c>
      <c r="Q72" s="35">
        <f t="shared" si="47"/>
        <v>62.839999999999996</v>
      </c>
      <c r="R72" s="34">
        <f t="shared" si="48"/>
        <v>72.98</v>
      </c>
    </row>
    <row r="73" spans="1:18" ht="12.75" outlineLevel="3">
      <c r="A73" s="23" t="s">
        <v>19</v>
      </c>
      <c r="B73" s="3"/>
      <c r="C73" s="3"/>
      <c r="D73" s="3"/>
      <c r="E73" s="35">
        <f t="shared" si="44"/>
        <v>0</v>
      </c>
      <c r="F73" s="37"/>
      <c r="G73" s="37">
        <v>0.93</v>
      </c>
      <c r="H73" s="37"/>
      <c r="I73" s="35">
        <f t="shared" si="45"/>
        <v>0.93</v>
      </c>
      <c r="J73" s="37"/>
      <c r="K73" s="37"/>
      <c r="L73" s="37"/>
      <c r="M73" s="35">
        <f t="shared" si="46"/>
        <v>0</v>
      </c>
      <c r="N73" s="37">
        <v>0.93</v>
      </c>
      <c r="O73" s="37"/>
      <c r="P73" s="38">
        <v>1</v>
      </c>
      <c r="Q73" s="35">
        <f t="shared" si="47"/>
        <v>1.9300000000000002</v>
      </c>
      <c r="R73" s="34">
        <f t="shared" si="48"/>
        <v>2.8600000000000003</v>
      </c>
    </row>
    <row r="74" spans="1:18" ht="12.75" outlineLevel="3">
      <c r="A74" s="23" t="s">
        <v>20</v>
      </c>
      <c r="B74" s="3"/>
      <c r="C74" s="3"/>
      <c r="D74" s="3"/>
      <c r="E74" s="35">
        <f t="shared" si="44"/>
        <v>0</v>
      </c>
      <c r="F74" s="37"/>
      <c r="G74" s="37">
        <v>28.5</v>
      </c>
      <c r="H74" s="37">
        <v>9</v>
      </c>
      <c r="I74" s="35">
        <f t="shared" si="45"/>
        <v>37.5</v>
      </c>
      <c r="J74" s="37"/>
      <c r="K74" s="37">
        <v>14</v>
      </c>
      <c r="L74" s="37">
        <v>1.5</v>
      </c>
      <c r="M74" s="35">
        <f t="shared" si="46"/>
        <v>15.5</v>
      </c>
      <c r="N74" s="37">
        <v>1.5</v>
      </c>
      <c r="O74" s="37">
        <v>0.5</v>
      </c>
      <c r="P74" s="38">
        <v>1</v>
      </c>
      <c r="Q74" s="35">
        <f t="shared" si="47"/>
        <v>3</v>
      </c>
      <c r="R74" s="34">
        <f t="shared" si="48"/>
        <v>56</v>
      </c>
    </row>
    <row r="75" spans="1:18" ht="12.75" outlineLevel="3">
      <c r="A75" s="23" t="s">
        <v>21</v>
      </c>
      <c r="B75" s="3"/>
      <c r="C75" s="3"/>
      <c r="D75" s="3"/>
      <c r="E75" s="35">
        <f t="shared" si="44"/>
        <v>0</v>
      </c>
      <c r="F75" s="37"/>
      <c r="G75" s="37"/>
      <c r="H75" s="37"/>
      <c r="I75" s="35">
        <f t="shared" si="45"/>
        <v>0</v>
      </c>
      <c r="J75" s="37"/>
      <c r="K75" s="37"/>
      <c r="L75" s="37"/>
      <c r="M75" s="35">
        <f t="shared" si="46"/>
        <v>0</v>
      </c>
      <c r="N75" s="37"/>
      <c r="O75" s="37"/>
      <c r="P75" s="38"/>
      <c r="Q75" s="35">
        <f t="shared" si="47"/>
        <v>0</v>
      </c>
      <c r="R75" s="34">
        <f t="shared" si="48"/>
        <v>0</v>
      </c>
    </row>
    <row r="76" spans="1:18" ht="12.75" outlineLevel="3">
      <c r="A76" s="23" t="s">
        <v>22</v>
      </c>
      <c r="B76" s="3"/>
      <c r="C76" s="3"/>
      <c r="D76" s="3"/>
      <c r="E76" s="35">
        <f t="shared" si="44"/>
        <v>0</v>
      </c>
      <c r="F76" s="37"/>
      <c r="G76" s="37"/>
      <c r="H76" s="37"/>
      <c r="I76" s="35">
        <f t="shared" si="45"/>
        <v>0</v>
      </c>
      <c r="J76" s="37"/>
      <c r="K76" s="37"/>
      <c r="L76" s="37"/>
      <c r="M76" s="35">
        <f t="shared" si="46"/>
        <v>0</v>
      </c>
      <c r="N76" s="37"/>
      <c r="O76" s="37">
        <v>8.52</v>
      </c>
      <c r="P76" s="38">
        <v>4</v>
      </c>
      <c r="Q76" s="35">
        <f t="shared" si="47"/>
        <v>12.52</v>
      </c>
      <c r="R76" s="34">
        <f t="shared" si="48"/>
        <v>12.52</v>
      </c>
    </row>
    <row r="77" spans="1:18" ht="12.75" outlineLevel="2">
      <c r="A77" s="28" t="s">
        <v>50</v>
      </c>
      <c r="B77" s="5">
        <f aca="true" t="shared" si="49" ref="B77:Q77">SUM(B69:B76)</f>
        <v>0</v>
      </c>
      <c r="C77" s="5">
        <f t="shared" si="49"/>
        <v>0</v>
      </c>
      <c r="D77" s="5">
        <f t="shared" si="49"/>
        <v>0</v>
      </c>
      <c r="E77" s="42">
        <f t="shared" si="49"/>
        <v>0</v>
      </c>
      <c r="F77" s="43">
        <f t="shared" si="49"/>
        <v>0</v>
      </c>
      <c r="G77" s="43">
        <f t="shared" si="49"/>
        <v>154.55</v>
      </c>
      <c r="H77" s="43">
        <f t="shared" si="49"/>
        <v>128.13</v>
      </c>
      <c r="I77" s="42">
        <f t="shared" si="49"/>
        <v>282.68</v>
      </c>
      <c r="J77" s="43">
        <f t="shared" si="49"/>
        <v>0</v>
      </c>
      <c r="K77" s="43">
        <f t="shared" si="49"/>
        <v>150.59</v>
      </c>
      <c r="L77" s="43">
        <f t="shared" si="49"/>
        <v>156.95999999999998</v>
      </c>
      <c r="M77" s="42">
        <f t="shared" si="49"/>
        <v>307.55</v>
      </c>
      <c r="N77" s="43">
        <f t="shared" si="49"/>
        <v>179.15</v>
      </c>
      <c r="O77" s="43">
        <f t="shared" si="49"/>
        <v>163.37</v>
      </c>
      <c r="P77" s="43">
        <f t="shared" si="49"/>
        <v>167</v>
      </c>
      <c r="Q77" s="42">
        <f t="shared" si="49"/>
        <v>509.52</v>
      </c>
      <c r="R77" s="44">
        <f t="shared" si="48"/>
        <v>1099.75</v>
      </c>
    </row>
    <row r="78" spans="1:18" ht="13.5" outlineLevel="1" thickBot="1">
      <c r="A78" s="26" t="s">
        <v>48</v>
      </c>
      <c r="B78" s="4">
        <f aca="true" t="shared" si="50" ref="B78:R78">B77+B68</f>
        <v>0</v>
      </c>
      <c r="C78" s="4">
        <f t="shared" si="50"/>
        <v>0</v>
      </c>
      <c r="D78" s="4">
        <f t="shared" si="50"/>
        <v>0</v>
      </c>
      <c r="E78" s="45">
        <f t="shared" si="50"/>
        <v>0</v>
      </c>
      <c r="F78" s="46">
        <f t="shared" si="50"/>
        <v>0</v>
      </c>
      <c r="G78" s="46">
        <f t="shared" si="50"/>
        <v>154.55</v>
      </c>
      <c r="H78" s="46">
        <f t="shared" si="50"/>
        <v>-511.66999999999996</v>
      </c>
      <c r="I78" s="45">
        <f t="shared" si="50"/>
        <v>-357.11999999999995</v>
      </c>
      <c r="J78" s="46">
        <f t="shared" si="50"/>
        <v>0</v>
      </c>
      <c r="K78" s="46">
        <f t="shared" si="50"/>
        <v>161.39000000000001</v>
      </c>
      <c r="L78" s="46">
        <f t="shared" si="50"/>
        <v>194.95999999999998</v>
      </c>
      <c r="M78" s="45">
        <f t="shared" si="50"/>
        <v>356.35</v>
      </c>
      <c r="N78" s="46">
        <f t="shared" si="50"/>
        <v>179.15</v>
      </c>
      <c r="O78" s="46">
        <f t="shared" si="50"/>
        <v>163.37</v>
      </c>
      <c r="P78" s="46">
        <f t="shared" si="50"/>
        <v>167</v>
      </c>
      <c r="Q78" s="45">
        <f t="shared" si="50"/>
        <v>509.52</v>
      </c>
      <c r="R78" s="47">
        <f t="shared" si="50"/>
        <v>508.75</v>
      </c>
    </row>
    <row r="79" spans="1:18" ht="13.5" outlineLevel="1" thickTop="1">
      <c r="A79" s="16" t="s">
        <v>30</v>
      </c>
      <c r="B79" s="17"/>
      <c r="C79" s="17"/>
      <c r="D79" s="17"/>
      <c r="E79" s="14"/>
      <c r="F79" s="17"/>
      <c r="G79" s="17"/>
      <c r="H79" s="17"/>
      <c r="I79" s="14"/>
      <c r="J79" s="17"/>
      <c r="K79" s="17"/>
      <c r="L79" s="17"/>
      <c r="M79" s="14"/>
      <c r="N79" s="17"/>
      <c r="O79" s="17"/>
      <c r="P79" s="17"/>
      <c r="Q79" s="14"/>
      <c r="R79" s="27"/>
    </row>
    <row r="80" spans="1:18" ht="12.75" outlineLevel="3">
      <c r="A80" s="19" t="s">
        <v>40</v>
      </c>
      <c r="B80" s="20"/>
      <c r="C80" s="20"/>
      <c r="D80" s="20"/>
      <c r="E80" s="12">
        <f aca="true" t="shared" si="51" ref="E80:E86">SUM(B80:D80)</f>
        <v>0</v>
      </c>
      <c r="F80" s="20"/>
      <c r="G80" s="20"/>
      <c r="H80" s="20"/>
      <c r="I80" s="12">
        <f aca="true" t="shared" si="52" ref="I80:I86">SUM(F80:H80)</f>
        <v>0</v>
      </c>
      <c r="J80" s="20"/>
      <c r="K80" s="20"/>
      <c r="L80" s="20"/>
      <c r="M80" s="12">
        <f aca="true" t="shared" si="53" ref="M80:M86">SUM(J80:L80)</f>
        <v>0</v>
      </c>
      <c r="N80" s="20"/>
      <c r="O80" s="20"/>
      <c r="P80" s="20"/>
      <c r="Q80" s="12">
        <f aca="true" t="shared" si="54" ref="Q80:Q86">SUM(N80:P80)</f>
        <v>0</v>
      </c>
      <c r="R80" s="21">
        <f aca="true" t="shared" si="55" ref="R80:R87">Q80+M80+I80+E80</f>
        <v>0</v>
      </c>
    </row>
    <row r="81" spans="1:18" ht="12.75" outlineLevel="3">
      <c r="A81" s="19" t="s">
        <v>41</v>
      </c>
      <c r="B81" s="20"/>
      <c r="C81" s="20"/>
      <c r="D81" s="20"/>
      <c r="E81" s="12">
        <f t="shared" si="51"/>
        <v>0</v>
      </c>
      <c r="F81" s="20"/>
      <c r="G81" s="20"/>
      <c r="H81" s="20"/>
      <c r="I81" s="12">
        <f t="shared" si="52"/>
        <v>0</v>
      </c>
      <c r="J81" s="20"/>
      <c r="K81" s="20">
        <v>61</v>
      </c>
      <c r="L81" s="20"/>
      <c r="M81" s="12">
        <f t="shared" si="53"/>
        <v>61</v>
      </c>
      <c r="N81" s="20"/>
      <c r="O81" s="20"/>
      <c r="P81" s="20"/>
      <c r="Q81" s="12">
        <f t="shared" si="54"/>
        <v>0</v>
      </c>
      <c r="R81" s="21">
        <f t="shared" si="55"/>
        <v>61</v>
      </c>
    </row>
    <row r="82" spans="1:18" ht="12.75" outlineLevel="3">
      <c r="A82" s="19" t="s">
        <v>42</v>
      </c>
      <c r="B82" s="20"/>
      <c r="C82" s="20"/>
      <c r="D82" s="20"/>
      <c r="E82" s="12">
        <f t="shared" si="51"/>
        <v>0</v>
      </c>
      <c r="F82" s="20"/>
      <c r="G82" s="20"/>
      <c r="H82" s="20"/>
      <c r="I82" s="12">
        <f t="shared" si="52"/>
        <v>0</v>
      </c>
      <c r="J82" s="20"/>
      <c r="K82" s="20"/>
      <c r="L82" s="20"/>
      <c r="M82" s="12">
        <f t="shared" si="53"/>
        <v>0</v>
      </c>
      <c r="N82" s="20"/>
      <c r="O82" s="20"/>
      <c r="P82" s="20"/>
      <c r="Q82" s="12">
        <f t="shared" si="54"/>
        <v>0</v>
      </c>
      <c r="R82" s="21">
        <f t="shared" si="55"/>
        <v>0</v>
      </c>
    </row>
    <row r="83" spans="1:18" ht="12.75" outlineLevel="3">
      <c r="A83" s="19" t="s">
        <v>43</v>
      </c>
      <c r="B83" s="20"/>
      <c r="C83" s="20"/>
      <c r="D83" s="20"/>
      <c r="E83" s="12">
        <f t="shared" si="51"/>
        <v>0</v>
      </c>
      <c r="F83" s="20"/>
      <c r="G83" s="20">
        <v>380.81</v>
      </c>
      <c r="H83" s="20"/>
      <c r="I83" s="12">
        <f t="shared" si="52"/>
        <v>380.81</v>
      </c>
      <c r="J83" s="20"/>
      <c r="K83" s="20"/>
      <c r="L83" s="20"/>
      <c r="M83" s="12">
        <f t="shared" si="53"/>
        <v>0</v>
      </c>
      <c r="N83" s="20"/>
      <c r="O83" s="20"/>
      <c r="P83" s="20"/>
      <c r="Q83" s="12">
        <f t="shared" si="54"/>
        <v>0</v>
      </c>
      <c r="R83" s="21">
        <f t="shared" si="55"/>
        <v>380.81</v>
      </c>
    </row>
    <row r="84" spans="1:18" ht="12.75" outlineLevel="3">
      <c r="A84" s="19" t="s">
        <v>44</v>
      </c>
      <c r="B84" s="20"/>
      <c r="C84" s="20"/>
      <c r="D84" s="20"/>
      <c r="E84" s="12">
        <f t="shared" si="51"/>
        <v>0</v>
      </c>
      <c r="F84" s="20"/>
      <c r="G84" s="20"/>
      <c r="H84" s="20"/>
      <c r="I84" s="12">
        <f t="shared" si="52"/>
        <v>0</v>
      </c>
      <c r="J84" s="20"/>
      <c r="K84" s="20"/>
      <c r="L84" s="20"/>
      <c r="M84" s="12">
        <f t="shared" si="53"/>
        <v>0</v>
      </c>
      <c r="N84" s="20"/>
      <c r="O84" s="20"/>
      <c r="P84" s="20"/>
      <c r="Q84" s="12">
        <f t="shared" si="54"/>
        <v>0</v>
      </c>
      <c r="R84" s="21">
        <f t="shared" si="55"/>
        <v>0</v>
      </c>
    </row>
    <row r="85" spans="1:18" ht="12.75" outlineLevel="3">
      <c r="A85" s="19" t="s">
        <v>45</v>
      </c>
      <c r="B85" s="20"/>
      <c r="C85" s="20"/>
      <c r="D85" s="20"/>
      <c r="E85" s="12">
        <f t="shared" si="51"/>
        <v>0</v>
      </c>
      <c r="F85" s="20"/>
      <c r="G85" s="20"/>
      <c r="H85" s="20"/>
      <c r="I85" s="12">
        <f t="shared" si="52"/>
        <v>0</v>
      </c>
      <c r="J85" s="20"/>
      <c r="K85" s="20"/>
      <c r="L85" s="20">
        <v>14</v>
      </c>
      <c r="M85" s="12">
        <f t="shared" si="53"/>
        <v>14</v>
      </c>
      <c r="N85" s="20"/>
      <c r="O85" s="20"/>
      <c r="P85" s="20"/>
      <c r="Q85" s="12">
        <f t="shared" si="54"/>
        <v>0</v>
      </c>
      <c r="R85" s="21">
        <f t="shared" si="55"/>
        <v>14</v>
      </c>
    </row>
    <row r="86" spans="1:18" ht="12.75" outlineLevel="3">
      <c r="A86" s="19" t="s">
        <v>46</v>
      </c>
      <c r="B86" s="20"/>
      <c r="C86" s="20"/>
      <c r="D86" s="20"/>
      <c r="E86" s="12">
        <f t="shared" si="51"/>
        <v>0</v>
      </c>
      <c r="F86" s="20"/>
      <c r="G86" s="20"/>
      <c r="H86" s="20"/>
      <c r="I86" s="12">
        <f t="shared" si="52"/>
        <v>0</v>
      </c>
      <c r="J86" s="20"/>
      <c r="K86" s="20"/>
      <c r="L86" s="20"/>
      <c r="M86" s="12">
        <f t="shared" si="53"/>
        <v>0</v>
      </c>
      <c r="N86" s="20"/>
      <c r="O86" s="20"/>
      <c r="P86" s="20"/>
      <c r="Q86" s="12">
        <f t="shared" si="54"/>
        <v>0</v>
      </c>
      <c r="R86" s="21">
        <f t="shared" si="55"/>
        <v>0</v>
      </c>
    </row>
    <row r="87" spans="1:18" ht="12.75" outlineLevel="2">
      <c r="A87" s="22" t="s">
        <v>47</v>
      </c>
      <c r="B87" s="3">
        <f aca="true" t="shared" si="56" ref="B87:Q87">SUM(B80:B86)</f>
        <v>0</v>
      </c>
      <c r="C87" s="3">
        <f t="shared" si="56"/>
        <v>0</v>
      </c>
      <c r="D87" s="3">
        <f t="shared" si="56"/>
        <v>0</v>
      </c>
      <c r="E87" s="32">
        <f t="shared" si="56"/>
        <v>0</v>
      </c>
      <c r="F87" s="33">
        <f t="shared" si="56"/>
        <v>0</v>
      </c>
      <c r="G87" s="33">
        <f t="shared" si="56"/>
        <v>380.81</v>
      </c>
      <c r="H87" s="33">
        <f t="shared" si="56"/>
        <v>0</v>
      </c>
      <c r="I87" s="32">
        <f t="shared" si="56"/>
        <v>380.81</v>
      </c>
      <c r="J87" s="33">
        <f t="shared" si="56"/>
        <v>0</v>
      </c>
      <c r="K87" s="33">
        <f t="shared" si="56"/>
        <v>61</v>
      </c>
      <c r="L87" s="33">
        <f t="shared" si="56"/>
        <v>14</v>
      </c>
      <c r="M87" s="32">
        <f t="shared" si="56"/>
        <v>75</v>
      </c>
      <c r="N87" s="33">
        <f t="shared" si="56"/>
        <v>0</v>
      </c>
      <c r="O87" s="33">
        <f t="shared" si="56"/>
        <v>0</v>
      </c>
      <c r="P87" s="33">
        <f t="shared" si="56"/>
        <v>0</v>
      </c>
      <c r="Q87" s="32">
        <f t="shared" si="56"/>
        <v>0</v>
      </c>
      <c r="R87" s="34">
        <f t="shared" si="55"/>
        <v>455.81</v>
      </c>
    </row>
    <row r="88" spans="1:18" ht="12.75" outlineLevel="3">
      <c r="A88" s="23" t="s">
        <v>15</v>
      </c>
      <c r="B88" s="3"/>
      <c r="C88" s="3"/>
      <c r="D88" s="3"/>
      <c r="E88" s="35">
        <f>SUM(B88:D88)</f>
        <v>0</v>
      </c>
      <c r="F88" s="37"/>
      <c r="G88" s="37">
        <v>40.44</v>
      </c>
      <c r="H88" s="37">
        <v>40.2</v>
      </c>
      <c r="I88" s="35">
        <f>SUM(F88:H88)</f>
        <v>80.64</v>
      </c>
      <c r="J88" s="37">
        <v>40.2</v>
      </c>
      <c r="K88" s="37">
        <v>39.84</v>
      </c>
      <c r="L88" s="37">
        <v>39.72</v>
      </c>
      <c r="M88" s="35">
        <f>SUM(J88:L88)</f>
        <v>119.76</v>
      </c>
      <c r="N88" s="37">
        <v>40</v>
      </c>
      <c r="O88" s="37">
        <v>40.32</v>
      </c>
      <c r="P88" s="38">
        <v>40</v>
      </c>
      <c r="Q88" s="35">
        <f>SUM(N88:P88)</f>
        <v>120.32</v>
      </c>
      <c r="R88" s="34">
        <f>Q88+M88+I88+E88</f>
        <v>320.71999999999997</v>
      </c>
    </row>
    <row r="89" spans="1:18" ht="12.75" outlineLevel="3">
      <c r="A89" s="23" t="s">
        <v>16</v>
      </c>
      <c r="B89" s="3"/>
      <c r="C89" s="3"/>
      <c r="D89" s="3"/>
      <c r="E89" s="35">
        <f aca="true" t="shared" si="57" ref="E89:E95">SUM(B89:D89)</f>
        <v>0</v>
      </c>
      <c r="F89" s="37"/>
      <c r="G89" s="37"/>
      <c r="H89" s="37"/>
      <c r="I89" s="35">
        <f aca="true" t="shared" si="58" ref="I89:I95">SUM(F89:H89)</f>
        <v>0</v>
      </c>
      <c r="J89" s="37"/>
      <c r="K89" s="37">
        <v>22</v>
      </c>
      <c r="L89" s="37">
        <v>22</v>
      </c>
      <c r="M89" s="35">
        <f aca="true" t="shared" si="59" ref="M89:M95">SUM(J89:L89)</f>
        <v>44</v>
      </c>
      <c r="N89" s="37">
        <v>22</v>
      </c>
      <c r="O89" s="37">
        <v>22</v>
      </c>
      <c r="P89" s="38">
        <v>22</v>
      </c>
      <c r="Q89" s="35">
        <f aca="true" t="shared" si="60" ref="Q89:Q95">SUM(N89:P89)</f>
        <v>66</v>
      </c>
      <c r="R89" s="34">
        <f aca="true" t="shared" si="61" ref="R89:R96">Q89+M89+I89+E89</f>
        <v>110</v>
      </c>
    </row>
    <row r="90" spans="1:18" ht="12.75" outlineLevel="3">
      <c r="A90" s="23" t="s">
        <v>17</v>
      </c>
      <c r="B90" s="3"/>
      <c r="C90" s="3"/>
      <c r="D90" s="3"/>
      <c r="E90" s="35">
        <f t="shared" si="57"/>
        <v>0</v>
      </c>
      <c r="F90" s="37"/>
      <c r="G90" s="37"/>
      <c r="H90" s="37">
        <v>4.52</v>
      </c>
      <c r="I90" s="35">
        <f t="shared" si="58"/>
        <v>4.52</v>
      </c>
      <c r="J90" s="37">
        <v>5.65</v>
      </c>
      <c r="K90" s="37">
        <v>4.52</v>
      </c>
      <c r="L90" s="37">
        <v>2.26</v>
      </c>
      <c r="M90" s="35">
        <f t="shared" si="59"/>
        <v>12.43</v>
      </c>
      <c r="N90" s="37">
        <v>6.78</v>
      </c>
      <c r="O90" s="37">
        <v>4.52</v>
      </c>
      <c r="P90" s="38">
        <v>1</v>
      </c>
      <c r="Q90" s="35">
        <f t="shared" si="60"/>
        <v>12.3</v>
      </c>
      <c r="R90" s="34">
        <f t="shared" si="61"/>
        <v>29.25</v>
      </c>
    </row>
    <row r="91" spans="1:18" ht="12.75" outlineLevel="3">
      <c r="A91" s="25" t="s">
        <v>18</v>
      </c>
      <c r="B91" s="3"/>
      <c r="C91" s="3"/>
      <c r="D91" s="3"/>
      <c r="E91" s="35">
        <f t="shared" si="57"/>
        <v>0</v>
      </c>
      <c r="F91" s="37"/>
      <c r="G91" s="37"/>
      <c r="H91" s="37">
        <f>27.27+1.39</f>
        <v>28.66</v>
      </c>
      <c r="I91" s="35">
        <f t="shared" si="58"/>
        <v>28.66</v>
      </c>
      <c r="J91" s="37">
        <f>16.82+1.45</f>
        <v>18.27</v>
      </c>
      <c r="K91" s="37"/>
      <c r="L91" s="37">
        <f>15.09+1.21</f>
        <v>16.3</v>
      </c>
      <c r="M91" s="35">
        <f t="shared" si="59"/>
        <v>34.57</v>
      </c>
      <c r="N91" s="37">
        <f>15.28+1.14+5.41+0.77</f>
        <v>22.599999999999998</v>
      </c>
      <c r="O91" s="37">
        <v>5</v>
      </c>
      <c r="P91" s="38">
        <f>4.5+0.74+2.6+0.72</f>
        <v>8.56</v>
      </c>
      <c r="Q91" s="35">
        <f t="shared" si="60"/>
        <v>36.16</v>
      </c>
      <c r="R91" s="34">
        <f t="shared" si="61"/>
        <v>99.38999999999999</v>
      </c>
    </row>
    <row r="92" spans="1:18" ht="12.75" outlineLevel="3">
      <c r="A92" s="23" t="s">
        <v>19</v>
      </c>
      <c r="B92" s="3"/>
      <c r="C92" s="3"/>
      <c r="D92" s="3"/>
      <c r="E92" s="35">
        <f t="shared" si="57"/>
        <v>0</v>
      </c>
      <c r="F92" s="37"/>
      <c r="G92" s="37">
        <v>0.93</v>
      </c>
      <c r="H92" s="37"/>
      <c r="I92" s="35">
        <f t="shared" si="58"/>
        <v>0.93</v>
      </c>
      <c r="J92" s="37">
        <v>0.93</v>
      </c>
      <c r="K92" s="37"/>
      <c r="L92" s="37">
        <v>0.93</v>
      </c>
      <c r="M92" s="35">
        <f t="shared" si="59"/>
        <v>1.86</v>
      </c>
      <c r="N92" s="37"/>
      <c r="O92" s="37"/>
      <c r="P92" s="38"/>
      <c r="Q92" s="35">
        <f t="shared" si="60"/>
        <v>0</v>
      </c>
      <c r="R92" s="34">
        <f t="shared" si="61"/>
        <v>2.79</v>
      </c>
    </row>
    <row r="93" spans="1:18" ht="12.75" outlineLevel="3">
      <c r="A93" s="23" t="s">
        <v>20</v>
      </c>
      <c r="B93" s="3"/>
      <c r="C93" s="3"/>
      <c r="D93" s="3"/>
      <c r="E93" s="35">
        <f t="shared" si="57"/>
        <v>0</v>
      </c>
      <c r="F93" s="37"/>
      <c r="G93" s="37">
        <v>3</v>
      </c>
      <c r="H93" s="37">
        <v>1</v>
      </c>
      <c r="I93" s="35">
        <f t="shared" si="58"/>
        <v>4</v>
      </c>
      <c r="J93" s="37">
        <v>1.5</v>
      </c>
      <c r="K93" s="37">
        <v>1.5</v>
      </c>
      <c r="L93" s="37">
        <v>1</v>
      </c>
      <c r="M93" s="35">
        <f t="shared" si="59"/>
        <v>4</v>
      </c>
      <c r="N93" s="37">
        <v>1</v>
      </c>
      <c r="O93" s="37">
        <v>0.5</v>
      </c>
      <c r="P93" s="38">
        <v>1</v>
      </c>
      <c r="Q93" s="35">
        <f t="shared" si="60"/>
        <v>2.5</v>
      </c>
      <c r="R93" s="34">
        <f t="shared" si="61"/>
        <v>10.5</v>
      </c>
    </row>
    <row r="94" spans="1:18" ht="12.75" outlineLevel="3">
      <c r="A94" s="23" t="s">
        <v>21</v>
      </c>
      <c r="B94" s="3"/>
      <c r="C94" s="3"/>
      <c r="D94" s="3"/>
      <c r="E94" s="35">
        <f t="shared" si="57"/>
        <v>0</v>
      </c>
      <c r="F94" s="37"/>
      <c r="G94" s="37"/>
      <c r="H94" s="37"/>
      <c r="I94" s="35">
        <f t="shared" si="58"/>
        <v>0</v>
      </c>
      <c r="J94" s="37"/>
      <c r="K94" s="37"/>
      <c r="L94" s="37"/>
      <c r="M94" s="35">
        <f t="shared" si="59"/>
        <v>0</v>
      </c>
      <c r="N94" s="37"/>
      <c r="O94" s="37"/>
      <c r="P94" s="38"/>
      <c r="Q94" s="35">
        <f t="shared" si="60"/>
        <v>0</v>
      </c>
      <c r="R94" s="34">
        <f t="shared" si="61"/>
        <v>0</v>
      </c>
    </row>
    <row r="95" spans="1:18" ht="12.75" outlineLevel="3">
      <c r="A95" s="23" t="s">
        <v>22</v>
      </c>
      <c r="B95" s="3"/>
      <c r="C95" s="3"/>
      <c r="D95" s="3"/>
      <c r="E95" s="35">
        <f t="shared" si="57"/>
        <v>0</v>
      </c>
      <c r="F95" s="37"/>
      <c r="G95" s="37"/>
      <c r="H95" s="37"/>
      <c r="I95" s="35">
        <f t="shared" si="58"/>
        <v>0</v>
      </c>
      <c r="J95" s="37"/>
      <c r="K95" s="37"/>
      <c r="L95" s="37"/>
      <c r="M95" s="35">
        <f t="shared" si="59"/>
        <v>0</v>
      </c>
      <c r="N95" s="37"/>
      <c r="O95" s="37"/>
      <c r="P95" s="38"/>
      <c r="Q95" s="35">
        <f t="shared" si="60"/>
        <v>0</v>
      </c>
      <c r="R95" s="34">
        <f t="shared" si="61"/>
        <v>0</v>
      </c>
    </row>
    <row r="96" spans="1:18" ht="12.75" outlineLevel="2">
      <c r="A96" s="28" t="s">
        <v>50</v>
      </c>
      <c r="B96" s="5">
        <f aca="true" t="shared" si="62" ref="B96:Q96">SUM(B88:B95)</f>
        <v>0</v>
      </c>
      <c r="C96" s="5">
        <f t="shared" si="62"/>
        <v>0</v>
      </c>
      <c r="D96" s="5">
        <f t="shared" si="62"/>
        <v>0</v>
      </c>
      <c r="E96" s="42">
        <f t="shared" si="62"/>
        <v>0</v>
      </c>
      <c r="F96" s="43">
        <f t="shared" si="62"/>
        <v>0</v>
      </c>
      <c r="G96" s="43">
        <f t="shared" si="62"/>
        <v>44.37</v>
      </c>
      <c r="H96" s="43">
        <f t="shared" si="62"/>
        <v>74.38</v>
      </c>
      <c r="I96" s="42">
        <f t="shared" si="62"/>
        <v>118.75</v>
      </c>
      <c r="J96" s="43">
        <f t="shared" si="62"/>
        <v>66.55000000000001</v>
      </c>
      <c r="K96" s="43">
        <f t="shared" si="62"/>
        <v>67.86</v>
      </c>
      <c r="L96" s="43">
        <f t="shared" si="62"/>
        <v>82.21000000000001</v>
      </c>
      <c r="M96" s="42">
        <f t="shared" si="62"/>
        <v>216.62</v>
      </c>
      <c r="N96" s="43">
        <f t="shared" si="62"/>
        <v>92.38</v>
      </c>
      <c r="O96" s="43">
        <f t="shared" si="62"/>
        <v>72.34</v>
      </c>
      <c r="P96" s="43">
        <f t="shared" si="62"/>
        <v>72.56</v>
      </c>
      <c r="Q96" s="42">
        <f t="shared" si="62"/>
        <v>237.28</v>
      </c>
      <c r="R96" s="44">
        <f t="shared" si="61"/>
        <v>572.65</v>
      </c>
    </row>
    <row r="97" spans="1:18" ht="13.5" outlineLevel="1" thickBot="1">
      <c r="A97" s="26" t="s">
        <v>48</v>
      </c>
      <c r="B97" s="4">
        <f aca="true" t="shared" si="63" ref="B97:R97">B96+B87</f>
        <v>0</v>
      </c>
      <c r="C97" s="4">
        <f t="shared" si="63"/>
        <v>0</v>
      </c>
      <c r="D97" s="4">
        <f t="shared" si="63"/>
        <v>0</v>
      </c>
      <c r="E97" s="45">
        <f t="shared" si="63"/>
        <v>0</v>
      </c>
      <c r="F97" s="46">
        <f t="shared" si="63"/>
        <v>0</v>
      </c>
      <c r="G97" s="46">
        <f t="shared" si="63"/>
        <v>425.18</v>
      </c>
      <c r="H97" s="46">
        <f t="shared" si="63"/>
        <v>74.38</v>
      </c>
      <c r="I97" s="45">
        <f t="shared" si="63"/>
        <v>499.56</v>
      </c>
      <c r="J97" s="46">
        <f t="shared" si="63"/>
        <v>66.55000000000001</v>
      </c>
      <c r="K97" s="46">
        <f t="shared" si="63"/>
        <v>128.86</v>
      </c>
      <c r="L97" s="46">
        <f t="shared" si="63"/>
        <v>96.21000000000001</v>
      </c>
      <c r="M97" s="45">
        <f t="shared" si="63"/>
        <v>291.62</v>
      </c>
      <c r="N97" s="46">
        <f t="shared" si="63"/>
        <v>92.38</v>
      </c>
      <c r="O97" s="46">
        <f t="shared" si="63"/>
        <v>72.34</v>
      </c>
      <c r="P97" s="46">
        <f t="shared" si="63"/>
        <v>72.56</v>
      </c>
      <c r="Q97" s="45">
        <f t="shared" si="63"/>
        <v>237.28</v>
      </c>
      <c r="R97" s="47">
        <f t="shared" si="63"/>
        <v>1028.46</v>
      </c>
    </row>
    <row r="98" spans="1:18" ht="13.5" outlineLevel="1" thickTop="1">
      <c r="A98" s="16" t="s">
        <v>31</v>
      </c>
      <c r="B98" s="17"/>
      <c r="C98" s="17"/>
      <c r="D98" s="17"/>
      <c r="E98" s="14"/>
      <c r="F98" s="17"/>
      <c r="G98" s="17"/>
      <c r="H98" s="17"/>
      <c r="I98" s="14"/>
      <c r="J98" s="17"/>
      <c r="K98" s="17"/>
      <c r="L98" s="17"/>
      <c r="M98" s="14"/>
      <c r="N98" s="17"/>
      <c r="O98" s="17"/>
      <c r="P98" s="17"/>
      <c r="Q98" s="14"/>
      <c r="R98" s="27"/>
    </row>
    <row r="99" spans="1:18" ht="12.75" outlineLevel="3">
      <c r="A99" s="19" t="s">
        <v>40</v>
      </c>
      <c r="B99" s="20"/>
      <c r="C99" s="20"/>
      <c r="D99" s="20"/>
      <c r="E99" s="12">
        <f aca="true" t="shared" si="64" ref="E99:E105">SUM(B99:D99)</f>
        <v>0</v>
      </c>
      <c r="F99" s="20"/>
      <c r="G99" s="20"/>
      <c r="H99" s="20"/>
      <c r="I99" s="12">
        <f aca="true" t="shared" si="65" ref="I99:I105">SUM(F99:H99)</f>
        <v>0</v>
      </c>
      <c r="J99" s="20"/>
      <c r="K99" s="20"/>
      <c r="L99" s="20"/>
      <c r="M99" s="12">
        <f aca="true" t="shared" si="66" ref="M99:M105">SUM(J99:L99)</f>
        <v>0</v>
      </c>
      <c r="N99" s="20"/>
      <c r="O99" s="20"/>
      <c r="P99" s="20"/>
      <c r="Q99" s="12">
        <f aca="true" t="shared" si="67" ref="Q99:Q105">SUM(N99:P99)</f>
        <v>0</v>
      </c>
      <c r="R99" s="21">
        <f aca="true" t="shared" si="68" ref="R99:R106">Q99+M99+I99+E99</f>
        <v>0</v>
      </c>
    </row>
    <row r="100" spans="1:18" ht="12.75" outlineLevel="3">
      <c r="A100" s="19" t="s">
        <v>41</v>
      </c>
      <c r="B100" s="20"/>
      <c r="C100" s="20"/>
      <c r="D100" s="20"/>
      <c r="E100" s="12">
        <f t="shared" si="64"/>
        <v>0</v>
      </c>
      <c r="F100" s="20"/>
      <c r="G100" s="20"/>
      <c r="H100" s="20"/>
      <c r="I100" s="12">
        <f t="shared" si="65"/>
        <v>0</v>
      </c>
      <c r="J100" s="20"/>
      <c r="K100" s="20">
        <v>112</v>
      </c>
      <c r="L100" s="20"/>
      <c r="M100" s="12">
        <f t="shared" si="66"/>
        <v>112</v>
      </c>
      <c r="N100" s="20"/>
      <c r="O100" s="20"/>
      <c r="P100" s="20"/>
      <c r="Q100" s="12">
        <f t="shared" si="67"/>
        <v>0</v>
      </c>
      <c r="R100" s="21">
        <f t="shared" si="68"/>
        <v>112</v>
      </c>
    </row>
    <row r="101" spans="1:18" ht="12.75" outlineLevel="3">
      <c r="A101" s="19" t="s">
        <v>42</v>
      </c>
      <c r="B101" s="20"/>
      <c r="C101" s="20"/>
      <c r="D101" s="20"/>
      <c r="E101" s="12">
        <f t="shared" si="64"/>
        <v>0</v>
      </c>
      <c r="F101" s="20"/>
      <c r="G101" s="20"/>
      <c r="H101" s="20"/>
      <c r="I101" s="12">
        <f t="shared" si="65"/>
        <v>0</v>
      </c>
      <c r="J101" s="20"/>
      <c r="K101" s="20"/>
      <c r="L101" s="20"/>
      <c r="M101" s="12">
        <f t="shared" si="66"/>
        <v>0</v>
      </c>
      <c r="N101" s="20"/>
      <c r="O101" s="20"/>
      <c r="P101" s="20"/>
      <c r="Q101" s="12">
        <f t="shared" si="67"/>
        <v>0</v>
      </c>
      <c r="R101" s="21">
        <f t="shared" si="68"/>
        <v>0</v>
      </c>
    </row>
    <row r="102" spans="1:18" ht="12.75" outlineLevel="3">
      <c r="A102" s="19" t="s">
        <v>43</v>
      </c>
      <c r="B102" s="20"/>
      <c r="C102" s="20"/>
      <c r="D102" s="20"/>
      <c r="E102" s="12">
        <f t="shared" si="64"/>
        <v>0</v>
      </c>
      <c r="F102" s="20"/>
      <c r="G102" s="20"/>
      <c r="H102" s="20"/>
      <c r="I102" s="12">
        <f t="shared" si="65"/>
        <v>0</v>
      </c>
      <c r="J102" s="20">
        <v>653.14</v>
      </c>
      <c r="K102" s="20"/>
      <c r="L102" s="20"/>
      <c r="M102" s="12">
        <f t="shared" si="66"/>
        <v>653.14</v>
      </c>
      <c r="N102" s="20"/>
      <c r="O102" s="20"/>
      <c r="P102" s="20"/>
      <c r="Q102" s="12">
        <f t="shared" si="67"/>
        <v>0</v>
      </c>
      <c r="R102" s="21">
        <f t="shared" si="68"/>
        <v>653.14</v>
      </c>
    </row>
    <row r="103" spans="1:18" ht="12.75" outlineLevel="3">
      <c r="A103" s="19" t="s">
        <v>44</v>
      </c>
      <c r="B103" s="20"/>
      <c r="C103" s="20"/>
      <c r="D103" s="20"/>
      <c r="E103" s="12">
        <f t="shared" si="64"/>
        <v>0</v>
      </c>
      <c r="F103" s="20"/>
      <c r="G103" s="20"/>
      <c r="H103" s="20"/>
      <c r="I103" s="12">
        <f t="shared" si="65"/>
        <v>0</v>
      </c>
      <c r="J103" s="20"/>
      <c r="K103" s="20"/>
      <c r="L103" s="20"/>
      <c r="M103" s="12">
        <f t="shared" si="66"/>
        <v>0</v>
      </c>
      <c r="N103" s="20"/>
      <c r="O103" s="20"/>
      <c r="P103" s="20"/>
      <c r="Q103" s="12">
        <f t="shared" si="67"/>
        <v>0</v>
      </c>
      <c r="R103" s="21">
        <f t="shared" si="68"/>
        <v>0</v>
      </c>
    </row>
    <row r="104" spans="1:18" ht="12.75" outlineLevel="3">
      <c r="A104" s="19" t="s">
        <v>45</v>
      </c>
      <c r="B104" s="20"/>
      <c r="C104" s="20"/>
      <c r="D104" s="20"/>
      <c r="E104" s="12">
        <f t="shared" si="64"/>
        <v>0</v>
      </c>
      <c r="F104" s="20"/>
      <c r="G104" s="20"/>
      <c r="H104" s="20"/>
      <c r="I104" s="12">
        <f t="shared" si="65"/>
        <v>0</v>
      </c>
      <c r="J104" s="20"/>
      <c r="K104" s="20"/>
      <c r="L104" s="20">
        <v>24</v>
      </c>
      <c r="M104" s="12">
        <f t="shared" si="66"/>
        <v>24</v>
      </c>
      <c r="N104" s="20"/>
      <c r="O104" s="20"/>
      <c r="P104" s="20"/>
      <c r="Q104" s="12">
        <f t="shared" si="67"/>
        <v>0</v>
      </c>
      <c r="R104" s="21">
        <f t="shared" si="68"/>
        <v>24</v>
      </c>
    </row>
    <row r="105" spans="1:18" ht="12.75" outlineLevel="3">
      <c r="A105" s="19" t="s">
        <v>46</v>
      </c>
      <c r="B105" s="20"/>
      <c r="C105" s="20"/>
      <c r="D105" s="20"/>
      <c r="E105" s="12">
        <f t="shared" si="64"/>
        <v>0</v>
      </c>
      <c r="F105" s="20"/>
      <c r="G105" s="20"/>
      <c r="H105" s="20"/>
      <c r="I105" s="12">
        <f t="shared" si="65"/>
        <v>0</v>
      </c>
      <c r="J105" s="20"/>
      <c r="K105" s="20"/>
      <c r="L105" s="20"/>
      <c r="M105" s="12">
        <f t="shared" si="66"/>
        <v>0</v>
      </c>
      <c r="N105" s="20"/>
      <c r="O105" s="20"/>
      <c r="P105" s="20"/>
      <c r="Q105" s="12">
        <f t="shared" si="67"/>
        <v>0</v>
      </c>
      <c r="R105" s="21">
        <f t="shared" si="68"/>
        <v>0</v>
      </c>
    </row>
    <row r="106" spans="1:18" ht="12.75" outlineLevel="2">
      <c r="A106" s="22" t="s">
        <v>47</v>
      </c>
      <c r="B106" s="33">
        <f aca="true" t="shared" si="69" ref="B106:Q106">SUM(B99:B105)</f>
        <v>0</v>
      </c>
      <c r="C106" s="33">
        <f t="shared" si="69"/>
        <v>0</v>
      </c>
      <c r="D106" s="33">
        <f t="shared" si="69"/>
        <v>0</v>
      </c>
      <c r="E106" s="32">
        <f t="shared" si="69"/>
        <v>0</v>
      </c>
      <c r="F106" s="33">
        <f t="shared" si="69"/>
        <v>0</v>
      </c>
      <c r="G106" s="33">
        <f t="shared" si="69"/>
        <v>0</v>
      </c>
      <c r="H106" s="33">
        <f t="shared" si="69"/>
        <v>0</v>
      </c>
      <c r="I106" s="32">
        <f t="shared" si="69"/>
        <v>0</v>
      </c>
      <c r="J106" s="33">
        <f t="shared" si="69"/>
        <v>653.14</v>
      </c>
      <c r="K106" s="33">
        <f t="shared" si="69"/>
        <v>112</v>
      </c>
      <c r="L106" s="33">
        <f t="shared" si="69"/>
        <v>24</v>
      </c>
      <c r="M106" s="32">
        <f t="shared" si="69"/>
        <v>789.14</v>
      </c>
      <c r="N106" s="33">
        <f t="shared" si="69"/>
        <v>0</v>
      </c>
      <c r="O106" s="33">
        <f t="shared" si="69"/>
        <v>0</v>
      </c>
      <c r="P106" s="33">
        <f t="shared" si="69"/>
        <v>0</v>
      </c>
      <c r="Q106" s="32">
        <f t="shared" si="69"/>
        <v>0</v>
      </c>
      <c r="R106" s="34">
        <f t="shared" si="68"/>
        <v>789.14</v>
      </c>
    </row>
    <row r="107" spans="1:18" ht="12.75" outlineLevel="3">
      <c r="A107" s="23" t="s">
        <v>15</v>
      </c>
      <c r="B107" s="3"/>
      <c r="C107" s="3"/>
      <c r="D107" s="3"/>
      <c r="E107" s="35">
        <f>SUM(B107:D107)</f>
        <v>0</v>
      </c>
      <c r="F107" s="37"/>
      <c r="G107" s="37"/>
      <c r="H107" s="37"/>
      <c r="I107" s="35">
        <f>SUM(F107:H107)</f>
        <v>0</v>
      </c>
      <c r="J107" s="37">
        <v>69.36</v>
      </c>
      <c r="K107" s="37">
        <v>69.12</v>
      </c>
      <c r="L107" s="37">
        <v>69.6</v>
      </c>
      <c r="M107" s="35">
        <f>SUM(J107:L107)</f>
        <v>208.08</v>
      </c>
      <c r="N107" s="37">
        <v>69.24</v>
      </c>
      <c r="O107" s="37">
        <v>69</v>
      </c>
      <c r="P107" s="38">
        <v>68</v>
      </c>
      <c r="Q107" s="35">
        <f>SUM(N107:P107)</f>
        <v>206.24</v>
      </c>
      <c r="R107" s="34">
        <f>Q107+M107+I107+E107</f>
        <v>414.32000000000005</v>
      </c>
    </row>
    <row r="108" spans="1:18" ht="12.75" outlineLevel="3">
      <c r="A108" s="23" t="s">
        <v>16</v>
      </c>
      <c r="B108" s="3"/>
      <c r="C108" s="3"/>
      <c r="D108" s="3"/>
      <c r="E108" s="35">
        <f aca="true" t="shared" si="70" ref="E108:E114">SUM(B108:D108)</f>
        <v>0</v>
      </c>
      <c r="F108" s="37"/>
      <c r="G108" s="37"/>
      <c r="H108" s="37"/>
      <c r="I108" s="35">
        <f aca="true" t="shared" si="71" ref="I108:I114">SUM(F108:H108)</f>
        <v>0</v>
      </c>
      <c r="J108" s="37"/>
      <c r="K108" s="37">
        <v>22</v>
      </c>
      <c r="L108" s="37">
        <v>22</v>
      </c>
      <c r="M108" s="35">
        <f aca="true" t="shared" si="72" ref="M108:M114">SUM(J108:L108)</f>
        <v>44</v>
      </c>
      <c r="N108" s="37">
        <v>22</v>
      </c>
      <c r="O108" s="37">
        <v>22</v>
      </c>
      <c r="P108" s="38">
        <v>22</v>
      </c>
      <c r="Q108" s="35">
        <f aca="true" t="shared" si="73" ref="Q108:Q114">SUM(N108:P108)</f>
        <v>66</v>
      </c>
      <c r="R108" s="34">
        <f aca="true" t="shared" si="74" ref="R108:R115">Q108+M108+I108+E108</f>
        <v>110</v>
      </c>
    </row>
    <row r="109" spans="1:18" ht="12.75" outlineLevel="3">
      <c r="A109" s="23" t="s">
        <v>17</v>
      </c>
      <c r="B109" s="3"/>
      <c r="C109" s="3"/>
      <c r="D109" s="3"/>
      <c r="E109" s="35">
        <f t="shared" si="70"/>
        <v>0</v>
      </c>
      <c r="F109" s="37"/>
      <c r="G109" s="37"/>
      <c r="H109" s="37"/>
      <c r="I109" s="35">
        <f t="shared" si="71"/>
        <v>0</v>
      </c>
      <c r="J109" s="37">
        <v>2.26</v>
      </c>
      <c r="K109" s="37">
        <v>10.17</v>
      </c>
      <c r="L109" s="37">
        <v>19.21</v>
      </c>
      <c r="M109" s="35">
        <f t="shared" si="72"/>
        <v>31.64</v>
      </c>
      <c r="N109" s="37">
        <v>12.43</v>
      </c>
      <c r="O109" s="37">
        <v>14</v>
      </c>
      <c r="P109" s="38">
        <v>5.65</v>
      </c>
      <c r="Q109" s="35">
        <f t="shared" si="73"/>
        <v>32.08</v>
      </c>
      <c r="R109" s="34">
        <f t="shared" si="74"/>
        <v>63.72</v>
      </c>
    </row>
    <row r="110" spans="1:18" ht="12.75" outlineLevel="3">
      <c r="A110" s="25" t="s">
        <v>18</v>
      </c>
      <c r="B110" s="3"/>
      <c r="C110" s="3"/>
      <c r="D110" s="3"/>
      <c r="E110" s="35">
        <f t="shared" si="70"/>
        <v>0</v>
      </c>
      <c r="F110" s="37"/>
      <c r="G110" s="37"/>
      <c r="H110" s="37"/>
      <c r="I110" s="35">
        <f t="shared" si="71"/>
        <v>0</v>
      </c>
      <c r="J110" s="37"/>
      <c r="K110" s="37"/>
      <c r="L110" s="37"/>
      <c r="M110" s="35">
        <f t="shared" si="72"/>
        <v>0</v>
      </c>
      <c r="N110" s="37">
        <f>9.74+0.76</f>
        <v>10.5</v>
      </c>
      <c r="O110" s="37">
        <v>8</v>
      </c>
      <c r="P110" s="38">
        <f>8.1+0.74+4.68+0.72</f>
        <v>14.24</v>
      </c>
      <c r="Q110" s="35">
        <f t="shared" si="73"/>
        <v>32.74</v>
      </c>
      <c r="R110" s="34">
        <f t="shared" si="74"/>
        <v>32.74</v>
      </c>
    </row>
    <row r="111" spans="1:18" ht="12.75" outlineLevel="3">
      <c r="A111" s="23" t="s">
        <v>19</v>
      </c>
      <c r="B111" s="3"/>
      <c r="C111" s="3"/>
      <c r="D111" s="3"/>
      <c r="E111" s="35">
        <f t="shared" si="70"/>
        <v>0</v>
      </c>
      <c r="F111" s="37"/>
      <c r="G111" s="37"/>
      <c r="H111" s="37"/>
      <c r="I111" s="35">
        <f t="shared" si="71"/>
        <v>0</v>
      </c>
      <c r="J111" s="37"/>
      <c r="K111" s="37"/>
      <c r="L111" s="37"/>
      <c r="M111" s="35">
        <f t="shared" si="72"/>
        <v>0</v>
      </c>
      <c r="N111" s="37"/>
      <c r="O111" s="37"/>
      <c r="P111" s="38"/>
      <c r="Q111" s="35">
        <f t="shared" si="73"/>
        <v>0</v>
      </c>
      <c r="R111" s="34">
        <f t="shared" si="74"/>
        <v>0</v>
      </c>
    </row>
    <row r="112" spans="1:18" ht="12.75" outlineLevel="3">
      <c r="A112" s="23" t="s">
        <v>20</v>
      </c>
      <c r="B112" s="3"/>
      <c r="C112" s="3"/>
      <c r="D112" s="3"/>
      <c r="E112" s="35">
        <f t="shared" si="70"/>
        <v>0</v>
      </c>
      <c r="F112" s="37"/>
      <c r="G112" s="37"/>
      <c r="H112" s="37"/>
      <c r="I112" s="35">
        <f t="shared" si="71"/>
        <v>0</v>
      </c>
      <c r="J112" s="37"/>
      <c r="K112" s="37"/>
      <c r="L112" s="37"/>
      <c r="M112" s="35">
        <f t="shared" si="72"/>
        <v>0</v>
      </c>
      <c r="N112" s="37"/>
      <c r="O112" s="37"/>
      <c r="P112" s="38">
        <v>2.5</v>
      </c>
      <c r="Q112" s="35">
        <f t="shared" si="73"/>
        <v>2.5</v>
      </c>
      <c r="R112" s="34">
        <f t="shared" si="74"/>
        <v>2.5</v>
      </c>
    </row>
    <row r="113" spans="1:18" ht="12.75" outlineLevel="3">
      <c r="A113" s="23" t="s">
        <v>21</v>
      </c>
      <c r="B113" s="3"/>
      <c r="C113" s="3"/>
      <c r="D113" s="3"/>
      <c r="E113" s="35">
        <f t="shared" si="70"/>
        <v>0</v>
      </c>
      <c r="F113" s="37"/>
      <c r="G113" s="37"/>
      <c r="H113" s="37"/>
      <c r="I113" s="35">
        <f t="shared" si="71"/>
        <v>0</v>
      </c>
      <c r="J113" s="37"/>
      <c r="K113" s="37"/>
      <c r="L113" s="37"/>
      <c r="M113" s="35">
        <f t="shared" si="72"/>
        <v>0</v>
      </c>
      <c r="N113" s="37"/>
      <c r="O113" s="37"/>
      <c r="P113" s="38"/>
      <c r="Q113" s="35">
        <f t="shared" si="73"/>
        <v>0</v>
      </c>
      <c r="R113" s="34">
        <f t="shared" si="74"/>
        <v>0</v>
      </c>
    </row>
    <row r="114" spans="1:18" ht="12.75" outlineLevel="3">
      <c r="A114" s="23" t="s">
        <v>22</v>
      </c>
      <c r="B114" s="3"/>
      <c r="C114" s="3"/>
      <c r="D114" s="3"/>
      <c r="E114" s="35">
        <f t="shared" si="70"/>
        <v>0</v>
      </c>
      <c r="F114" s="37"/>
      <c r="G114" s="37"/>
      <c r="H114" s="37"/>
      <c r="I114" s="35">
        <f t="shared" si="71"/>
        <v>0</v>
      </c>
      <c r="J114" s="37"/>
      <c r="K114" s="37"/>
      <c r="L114" s="37"/>
      <c r="M114" s="35">
        <f t="shared" si="72"/>
        <v>0</v>
      </c>
      <c r="N114" s="37"/>
      <c r="O114" s="37">
        <v>4.26</v>
      </c>
      <c r="P114" s="38"/>
      <c r="Q114" s="35">
        <f t="shared" si="73"/>
        <v>4.26</v>
      </c>
      <c r="R114" s="34">
        <f t="shared" si="74"/>
        <v>4.26</v>
      </c>
    </row>
    <row r="115" spans="1:18" ht="12.75" outlineLevel="2">
      <c r="A115" s="28" t="s">
        <v>50</v>
      </c>
      <c r="B115" s="43">
        <f aca="true" t="shared" si="75" ref="B115:Q115">SUM(B107:B114)</f>
        <v>0</v>
      </c>
      <c r="C115" s="43">
        <f t="shared" si="75"/>
        <v>0</v>
      </c>
      <c r="D115" s="43">
        <f t="shared" si="75"/>
        <v>0</v>
      </c>
      <c r="E115" s="42">
        <f t="shared" si="75"/>
        <v>0</v>
      </c>
      <c r="F115" s="43">
        <f t="shared" si="75"/>
        <v>0</v>
      </c>
      <c r="G115" s="43">
        <f t="shared" si="75"/>
        <v>0</v>
      </c>
      <c r="H115" s="43">
        <f t="shared" si="75"/>
        <v>0</v>
      </c>
      <c r="I115" s="42">
        <f t="shared" si="75"/>
        <v>0</v>
      </c>
      <c r="J115" s="43">
        <f t="shared" si="75"/>
        <v>71.62</v>
      </c>
      <c r="K115" s="43">
        <f t="shared" si="75"/>
        <v>101.29</v>
      </c>
      <c r="L115" s="43">
        <f t="shared" si="75"/>
        <v>110.81</v>
      </c>
      <c r="M115" s="42">
        <f t="shared" si="75"/>
        <v>283.72</v>
      </c>
      <c r="N115" s="43">
        <f t="shared" si="75"/>
        <v>114.16999999999999</v>
      </c>
      <c r="O115" s="43">
        <f t="shared" si="75"/>
        <v>117.26</v>
      </c>
      <c r="P115" s="43">
        <f t="shared" si="75"/>
        <v>112.39</v>
      </c>
      <c r="Q115" s="42">
        <f t="shared" si="75"/>
        <v>343.82</v>
      </c>
      <c r="R115" s="44">
        <f t="shared" si="74"/>
        <v>627.54</v>
      </c>
    </row>
    <row r="116" spans="1:18" ht="13.5" outlineLevel="1" thickBot="1">
      <c r="A116" s="22" t="s">
        <v>48</v>
      </c>
      <c r="B116" s="46">
        <f aca="true" t="shared" si="76" ref="B116:R116">B115+B106</f>
        <v>0</v>
      </c>
      <c r="C116" s="46">
        <f t="shared" si="76"/>
        <v>0</v>
      </c>
      <c r="D116" s="46">
        <f t="shared" si="76"/>
        <v>0</v>
      </c>
      <c r="E116" s="45">
        <f t="shared" si="76"/>
        <v>0</v>
      </c>
      <c r="F116" s="46">
        <f t="shared" si="76"/>
        <v>0</v>
      </c>
      <c r="G116" s="46">
        <f t="shared" si="76"/>
        <v>0</v>
      </c>
      <c r="H116" s="46">
        <f t="shared" si="76"/>
        <v>0</v>
      </c>
      <c r="I116" s="45">
        <f t="shared" si="76"/>
        <v>0</v>
      </c>
      <c r="J116" s="46">
        <f t="shared" si="76"/>
        <v>724.76</v>
      </c>
      <c r="K116" s="46">
        <f t="shared" si="76"/>
        <v>213.29000000000002</v>
      </c>
      <c r="L116" s="46">
        <f t="shared" si="76"/>
        <v>134.81</v>
      </c>
      <c r="M116" s="45">
        <f t="shared" si="76"/>
        <v>1072.8600000000001</v>
      </c>
      <c r="N116" s="46">
        <f t="shared" si="76"/>
        <v>114.16999999999999</v>
      </c>
      <c r="O116" s="46">
        <f t="shared" si="76"/>
        <v>117.26</v>
      </c>
      <c r="P116" s="46">
        <f t="shared" si="76"/>
        <v>112.39</v>
      </c>
      <c r="Q116" s="45">
        <f t="shared" si="76"/>
        <v>343.82</v>
      </c>
      <c r="R116" s="47">
        <f t="shared" si="76"/>
        <v>1416.6799999999998</v>
      </c>
    </row>
    <row r="117" spans="1:18" ht="13.5" outlineLevel="1" thickTop="1">
      <c r="A117" s="16" t="s">
        <v>32</v>
      </c>
      <c r="B117" s="17"/>
      <c r="C117" s="17"/>
      <c r="D117" s="17"/>
      <c r="E117" s="14"/>
      <c r="F117" s="17"/>
      <c r="G117" s="17"/>
      <c r="H117" s="17"/>
      <c r="I117" s="14"/>
      <c r="J117" s="17"/>
      <c r="K117" s="17"/>
      <c r="L117" s="17"/>
      <c r="M117" s="14"/>
      <c r="N117" s="17"/>
      <c r="O117" s="17"/>
      <c r="P117" s="17"/>
      <c r="Q117" s="14"/>
      <c r="R117" s="27"/>
    </row>
    <row r="118" spans="1:18" ht="12.75" outlineLevel="3">
      <c r="A118" s="19" t="s">
        <v>40</v>
      </c>
      <c r="B118" s="20"/>
      <c r="C118" s="20"/>
      <c r="D118" s="20"/>
      <c r="E118" s="12">
        <f aca="true" t="shared" si="77" ref="E118:E124">SUM(B118:D118)</f>
        <v>0</v>
      </c>
      <c r="F118" s="20"/>
      <c r="G118" s="20"/>
      <c r="H118" s="20"/>
      <c r="I118" s="12">
        <f aca="true" t="shared" si="78" ref="I118:I124">SUM(F118:H118)</f>
        <v>0</v>
      </c>
      <c r="J118" s="20"/>
      <c r="K118" s="20"/>
      <c r="L118" s="20"/>
      <c r="M118" s="12">
        <f aca="true" t="shared" si="79" ref="M118:M124">SUM(J118:L118)</f>
        <v>0</v>
      </c>
      <c r="N118" s="20"/>
      <c r="O118" s="20"/>
      <c r="P118" s="20"/>
      <c r="Q118" s="12">
        <f aca="true" t="shared" si="80" ref="Q118:Q124">SUM(N118:P118)</f>
        <v>0</v>
      </c>
      <c r="R118" s="21">
        <f aca="true" t="shared" si="81" ref="R118:R125">Q118+M118+I118+E118</f>
        <v>0</v>
      </c>
    </row>
    <row r="119" spans="1:18" ht="12.75" outlineLevel="3">
      <c r="A119" s="19" t="s">
        <v>41</v>
      </c>
      <c r="B119" s="20"/>
      <c r="C119" s="20"/>
      <c r="D119" s="20"/>
      <c r="E119" s="12">
        <f t="shared" si="77"/>
        <v>0</v>
      </c>
      <c r="F119" s="20"/>
      <c r="G119" s="20"/>
      <c r="H119" s="20"/>
      <c r="I119" s="12">
        <f t="shared" si="78"/>
        <v>0</v>
      </c>
      <c r="J119" s="20"/>
      <c r="K119" s="20"/>
      <c r="L119" s="20"/>
      <c r="M119" s="12">
        <f t="shared" si="79"/>
        <v>0</v>
      </c>
      <c r="N119" s="20"/>
      <c r="O119" s="20"/>
      <c r="P119" s="20"/>
      <c r="Q119" s="12">
        <f t="shared" si="80"/>
        <v>0</v>
      </c>
      <c r="R119" s="21">
        <f t="shared" si="81"/>
        <v>0</v>
      </c>
    </row>
    <row r="120" spans="1:18" ht="12.75" outlineLevel="3">
      <c r="A120" s="19" t="s">
        <v>42</v>
      </c>
      <c r="B120" s="20"/>
      <c r="C120" s="20"/>
      <c r="D120" s="20"/>
      <c r="E120" s="12">
        <f t="shared" si="77"/>
        <v>0</v>
      </c>
      <c r="F120" s="20"/>
      <c r="G120" s="20"/>
      <c r="H120" s="20"/>
      <c r="I120" s="12">
        <f t="shared" si="78"/>
        <v>0</v>
      </c>
      <c r="J120" s="20"/>
      <c r="K120" s="20"/>
      <c r="L120" s="20"/>
      <c r="M120" s="12">
        <f t="shared" si="79"/>
        <v>0</v>
      </c>
      <c r="N120" s="20"/>
      <c r="O120" s="20"/>
      <c r="P120" s="20"/>
      <c r="Q120" s="12">
        <f t="shared" si="80"/>
        <v>0</v>
      </c>
      <c r="R120" s="21">
        <f t="shared" si="81"/>
        <v>0</v>
      </c>
    </row>
    <row r="121" spans="1:18" ht="12.75" outlineLevel="3">
      <c r="A121" s="19" t="s">
        <v>43</v>
      </c>
      <c r="B121" s="20"/>
      <c r="C121" s="20"/>
      <c r="D121" s="20"/>
      <c r="E121" s="12">
        <f t="shared" si="77"/>
        <v>0</v>
      </c>
      <c r="F121" s="20"/>
      <c r="G121" s="20"/>
      <c r="H121" s="20"/>
      <c r="I121" s="12">
        <f t="shared" si="78"/>
        <v>0</v>
      </c>
      <c r="J121" s="20"/>
      <c r="K121" s="20"/>
      <c r="L121" s="20"/>
      <c r="M121" s="12">
        <f t="shared" si="79"/>
        <v>0</v>
      </c>
      <c r="N121" s="20"/>
      <c r="O121" s="20"/>
      <c r="P121" s="20"/>
      <c r="Q121" s="12">
        <f t="shared" si="80"/>
        <v>0</v>
      </c>
      <c r="R121" s="21">
        <f t="shared" si="81"/>
        <v>0</v>
      </c>
    </row>
    <row r="122" spans="1:18" ht="12.75" outlineLevel="3">
      <c r="A122" s="19" t="s">
        <v>44</v>
      </c>
      <c r="B122" s="20"/>
      <c r="C122" s="20"/>
      <c r="D122" s="20"/>
      <c r="E122" s="12">
        <f t="shared" si="77"/>
        <v>0</v>
      </c>
      <c r="F122" s="20"/>
      <c r="G122" s="20"/>
      <c r="H122" s="20"/>
      <c r="I122" s="12">
        <f t="shared" si="78"/>
        <v>0</v>
      </c>
      <c r="J122" s="20"/>
      <c r="K122" s="20"/>
      <c r="L122" s="20"/>
      <c r="M122" s="12">
        <f t="shared" si="79"/>
        <v>0</v>
      </c>
      <c r="N122" s="20"/>
      <c r="O122" s="20"/>
      <c r="P122" s="20"/>
      <c r="Q122" s="12">
        <f t="shared" si="80"/>
        <v>0</v>
      </c>
      <c r="R122" s="21">
        <f t="shared" si="81"/>
        <v>0</v>
      </c>
    </row>
    <row r="123" spans="1:18" ht="12.75" outlineLevel="3">
      <c r="A123" s="19" t="s">
        <v>45</v>
      </c>
      <c r="B123" s="20"/>
      <c r="C123" s="20"/>
      <c r="D123" s="20"/>
      <c r="E123" s="12">
        <f t="shared" si="77"/>
        <v>0</v>
      </c>
      <c r="F123" s="20"/>
      <c r="G123" s="20"/>
      <c r="H123" s="20"/>
      <c r="I123" s="12">
        <f t="shared" si="78"/>
        <v>0</v>
      </c>
      <c r="J123" s="20"/>
      <c r="K123" s="20"/>
      <c r="L123" s="20">
        <v>39</v>
      </c>
      <c r="M123" s="12">
        <f t="shared" si="79"/>
        <v>39</v>
      </c>
      <c r="N123" s="20"/>
      <c r="O123" s="20"/>
      <c r="P123" s="20"/>
      <c r="Q123" s="12">
        <f t="shared" si="80"/>
        <v>0</v>
      </c>
      <c r="R123" s="21">
        <f t="shared" si="81"/>
        <v>39</v>
      </c>
    </row>
    <row r="124" spans="1:18" ht="12.75" outlineLevel="3">
      <c r="A124" s="19" t="s">
        <v>46</v>
      </c>
      <c r="B124" s="20"/>
      <c r="C124" s="20"/>
      <c r="D124" s="20"/>
      <c r="E124" s="12">
        <f t="shared" si="77"/>
        <v>0</v>
      </c>
      <c r="F124" s="20"/>
      <c r="G124" s="20"/>
      <c r="H124" s="20"/>
      <c r="I124" s="12">
        <f t="shared" si="78"/>
        <v>0</v>
      </c>
      <c r="J124" s="20"/>
      <c r="K124" s="20"/>
      <c r="L124" s="20"/>
      <c r="M124" s="12">
        <f t="shared" si="79"/>
        <v>0</v>
      </c>
      <c r="N124" s="20"/>
      <c r="O124" s="20"/>
      <c r="P124" s="20"/>
      <c r="Q124" s="12">
        <f t="shared" si="80"/>
        <v>0</v>
      </c>
      <c r="R124" s="21">
        <f t="shared" si="81"/>
        <v>0</v>
      </c>
    </row>
    <row r="125" spans="1:18" ht="12.75" outlineLevel="2">
      <c r="A125" s="22" t="s">
        <v>47</v>
      </c>
      <c r="B125" s="33">
        <f aca="true" t="shared" si="82" ref="B125:Q125">SUM(B118:B124)</f>
        <v>0</v>
      </c>
      <c r="C125" s="33">
        <f t="shared" si="82"/>
        <v>0</v>
      </c>
      <c r="D125" s="33">
        <f t="shared" si="82"/>
        <v>0</v>
      </c>
      <c r="E125" s="32">
        <f t="shared" si="82"/>
        <v>0</v>
      </c>
      <c r="F125" s="33">
        <f t="shared" si="82"/>
        <v>0</v>
      </c>
      <c r="G125" s="33">
        <f t="shared" si="82"/>
        <v>0</v>
      </c>
      <c r="H125" s="33">
        <f t="shared" si="82"/>
        <v>0</v>
      </c>
      <c r="I125" s="32">
        <f t="shared" si="82"/>
        <v>0</v>
      </c>
      <c r="J125" s="33">
        <f t="shared" si="82"/>
        <v>0</v>
      </c>
      <c r="K125" s="33">
        <f t="shared" si="82"/>
        <v>0</v>
      </c>
      <c r="L125" s="33">
        <f t="shared" si="82"/>
        <v>39</v>
      </c>
      <c r="M125" s="32">
        <f t="shared" si="82"/>
        <v>39</v>
      </c>
      <c r="N125" s="33">
        <f t="shared" si="82"/>
        <v>0</v>
      </c>
      <c r="O125" s="33">
        <f t="shared" si="82"/>
        <v>0</v>
      </c>
      <c r="P125" s="33">
        <f t="shared" si="82"/>
        <v>0</v>
      </c>
      <c r="Q125" s="32">
        <f t="shared" si="82"/>
        <v>0</v>
      </c>
      <c r="R125" s="34">
        <f t="shared" si="81"/>
        <v>39</v>
      </c>
    </row>
    <row r="126" spans="1:18" ht="12.75" outlineLevel="3">
      <c r="A126" s="23" t="s">
        <v>15</v>
      </c>
      <c r="B126" s="3"/>
      <c r="C126" s="3"/>
      <c r="D126" s="3"/>
      <c r="E126" s="35">
        <f>SUM(B126:D126)</f>
        <v>0</v>
      </c>
      <c r="F126" s="37"/>
      <c r="G126" s="37"/>
      <c r="H126" s="37"/>
      <c r="I126" s="35">
        <f>SUM(F126:H126)</f>
        <v>0</v>
      </c>
      <c r="J126" s="37"/>
      <c r="K126" s="37">
        <v>114.84</v>
      </c>
      <c r="L126" s="37">
        <v>114.72</v>
      </c>
      <c r="M126" s="35">
        <f>SUM(J126:L126)</f>
        <v>229.56</v>
      </c>
      <c r="N126" s="33">
        <v>113.76</v>
      </c>
      <c r="O126" s="33">
        <v>113.76</v>
      </c>
      <c r="P126" s="36">
        <v>112.56</v>
      </c>
      <c r="Q126" s="35">
        <f>SUM(N126:P126)</f>
        <v>340.08000000000004</v>
      </c>
      <c r="R126" s="34">
        <f>Q126+M126+I126+E126</f>
        <v>569.6400000000001</v>
      </c>
    </row>
    <row r="127" spans="1:18" ht="12.75" outlineLevel="3">
      <c r="A127" s="23" t="s">
        <v>16</v>
      </c>
      <c r="B127" s="3"/>
      <c r="C127" s="3"/>
      <c r="D127" s="3"/>
      <c r="E127" s="35">
        <f aca="true" t="shared" si="83" ref="E127:E133">SUM(B127:D127)</f>
        <v>0</v>
      </c>
      <c r="F127" s="37"/>
      <c r="G127" s="37"/>
      <c r="H127" s="37"/>
      <c r="I127" s="35">
        <f aca="true" t="shared" si="84" ref="I127:I133">SUM(F127:H127)</f>
        <v>0</v>
      </c>
      <c r="J127" s="37"/>
      <c r="K127" s="37">
        <v>22</v>
      </c>
      <c r="L127" s="37">
        <v>22</v>
      </c>
      <c r="M127" s="35">
        <f aca="true" t="shared" si="85" ref="M127:M133">SUM(J127:L127)</f>
        <v>44</v>
      </c>
      <c r="N127" s="33">
        <v>22</v>
      </c>
      <c r="O127" s="33">
        <v>22</v>
      </c>
      <c r="P127" s="36">
        <v>22</v>
      </c>
      <c r="Q127" s="35">
        <f aca="true" t="shared" si="86" ref="Q127:Q133">SUM(N127:P127)</f>
        <v>66</v>
      </c>
      <c r="R127" s="34">
        <f aca="true" t="shared" si="87" ref="R127:R134">Q127+M127+I127+E127</f>
        <v>110</v>
      </c>
    </row>
    <row r="128" spans="1:18" ht="12.75" outlineLevel="3">
      <c r="A128" s="23" t="s">
        <v>17</v>
      </c>
      <c r="B128" s="3"/>
      <c r="C128" s="3"/>
      <c r="D128" s="3"/>
      <c r="E128" s="35">
        <f t="shared" si="83"/>
        <v>0</v>
      </c>
      <c r="F128" s="37"/>
      <c r="G128" s="37"/>
      <c r="H128" s="37"/>
      <c r="I128" s="35">
        <f t="shared" si="84"/>
        <v>0</v>
      </c>
      <c r="J128" s="37"/>
      <c r="K128" s="37">
        <v>14.69</v>
      </c>
      <c r="L128" s="37">
        <v>11.3</v>
      </c>
      <c r="M128" s="35">
        <f t="shared" si="85"/>
        <v>25.990000000000002</v>
      </c>
      <c r="N128" s="33">
        <v>4.52</v>
      </c>
      <c r="O128" s="33">
        <v>11.3</v>
      </c>
      <c r="P128" s="36">
        <v>3.39</v>
      </c>
      <c r="Q128" s="35">
        <f t="shared" si="86"/>
        <v>19.21</v>
      </c>
      <c r="R128" s="34">
        <f t="shared" si="87"/>
        <v>45.2</v>
      </c>
    </row>
    <row r="129" spans="1:18" ht="12.75" outlineLevel="3">
      <c r="A129" s="25" t="s">
        <v>18</v>
      </c>
      <c r="B129" s="3"/>
      <c r="C129" s="3"/>
      <c r="D129" s="3"/>
      <c r="E129" s="35">
        <f t="shared" si="83"/>
        <v>0</v>
      </c>
      <c r="F129" s="37"/>
      <c r="G129" s="37"/>
      <c r="H129" s="37"/>
      <c r="I129" s="35">
        <f t="shared" si="84"/>
        <v>0</v>
      </c>
      <c r="J129" s="37"/>
      <c r="K129" s="37"/>
      <c r="L129" s="37"/>
      <c r="M129" s="35">
        <f t="shared" si="85"/>
        <v>0</v>
      </c>
      <c r="N129" s="33">
        <v>17</v>
      </c>
      <c r="O129" s="33">
        <v>14</v>
      </c>
      <c r="P129" s="36">
        <f>13.5+0.74+7.81+0.72</f>
        <v>22.77</v>
      </c>
      <c r="Q129" s="35">
        <f t="shared" si="86"/>
        <v>53.769999999999996</v>
      </c>
      <c r="R129" s="34">
        <f t="shared" si="87"/>
        <v>53.769999999999996</v>
      </c>
    </row>
    <row r="130" spans="1:18" ht="12.75" outlineLevel="3">
      <c r="A130" s="23" t="s">
        <v>19</v>
      </c>
      <c r="B130" s="3"/>
      <c r="C130" s="3"/>
      <c r="D130" s="3"/>
      <c r="E130" s="35">
        <f t="shared" si="83"/>
        <v>0</v>
      </c>
      <c r="F130" s="37"/>
      <c r="G130" s="37"/>
      <c r="H130" s="37"/>
      <c r="I130" s="35">
        <f t="shared" si="84"/>
        <v>0</v>
      </c>
      <c r="J130" s="37"/>
      <c r="K130" s="37">
        <v>0.93</v>
      </c>
      <c r="L130" s="37">
        <v>2.79</v>
      </c>
      <c r="M130" s="35">
        <f t="shared" si="85"/>
        <v>3.72</v>
      </c>
      <c r="N130" s="33">
        <v>1.86</v>
      </c>
      <c r="O130" s="33"/>
      <c r="P130" s="36">
        <v>1.86</v>
      </c>
      <c r="Q130" s="35">
        <f t="shared" si="86"/>
        <v>3.72</v>
      </c>
      <c r="R130" s="34">
        <f t="shared" si="87"/>
        <v>7.44</v>
      </c>
    </row>
    <row r="131" spans="1:18" ht="12.75" outlineLevel="3">
      <c r="A131" s="23" t="s">
        <v>20</v>
      </c>
      <c r="B131" s="3"/>
      <c r="C131" s="3"/>
      <c r="D131" s="3"/>
      <c r="E131" s="35">
        <f t="shared" si="83"/>
        <v>0</v>
      </c>
      <c r="F131" s="37"/>
      <c r="G131" s="37"/>
      <c r="H131" s="37"/>
      <c r="I131" s="35">
        <f t="shared" si="84"/>
        <v>0</v>
      </c>
      <c r="J131" s="37"/>
      <c r="K131" s="37">
        <v>32</v>
      </c>
      <c r="L131" s="37">
        <v>1</v>
      </c>
      <c r="M131" s="35">
        <f t="shared" si="85"/>
        <v>33</v>
      </c>
      <c r="N131" s="33">
        <v>1</v>
      </c>
      <c r="O131" s="33">
        <v>2.5</v>
      </c>
      <c r="P131" s="36">
        <v>3</v>
      </c>
      <c r="Q131" s="35">
        <f t="shared" si="86"/>
        <v>6.5</v>
      </c>
      <c r="R131" s="34">
        <f t="shared" si="87"/>
        <v>39.5</v>
      </c>
    </row>
    <row r="132" spans="1:18" ht="12.75" outlineLevel="3">
      <c r="A132" s="23" t="s">
        <v>21</v>
      </c>
      <c r="B132" s="3"/>
      <c r="C132" s="3"/>
      <c r="D132" s="3"/>
      <c r="E132" s="35">
        <f t="shared" si="83"/>
        <v>0</v>
      </c>
      <c r="F132" s="37"/>
      <c r="G132" s="37"/>
      <c r="H132" s="37"/>
      <c r="I132" s="35">
        <f t="shared" si="84"/>
        <v>0</v>
      </c>
      <c r="J132" s="37"/>
      <c r="K132" s="37"/>
      <c r="L132" s="37"/>
      <c r="M132" s="35">
        <f t="shared" si="85"/>
        <v>0</v>
      </c>
      <c r="N132" s="33"/>
      <c r="O132" s="33"/>
      <c r="P132" s="36"/>
      <c r="Q132" s="35">
        <f t="shared" si="86"/>
        <v>0</v>
      </c>
      <c r="R132" s="34">
        <f t="shared" si="87"/>
        <v>0</v>
      </c>
    </row>
    <row r="133" spans="1:18" ht="12.75" outlineLevel="3">
      <c r="A133" s="23" t="s">
        <v>22</v>
      </c>
      <c r="B133" s="3"/>
      <c r="C133" s="3"/>
      <c r="D133" s="3"/>
      <c r="E133" s="35">
        <f t="shared" si="83"/>
        <v>0</v>
      </c>
      <c r="F133" s="37"/>
      <c r="G133" s="37"/>
      <c r="H133" s="37"/>
      <c r="I133" s="35">
        <f t="shared" si="84"/>
        <v>0</v>
      </c>
      <c r="J133" s="37"/>
      <c r="K133" s="37"/>
      <c r="L133" s="37"/>
      <c r="M133" s="35">
        <f t="shared" si="85"/>
        <v>0</v>
      </c>
      <c r="N133" s="33"/>
      <c r="O133" s="33"/>
      <c r="P133" s="36"/>
      <c r="Q133" s="35">
        <f t="shared" si="86"/>
        <v>0</v>
      </c>
      <c r="R133" s="34">
        <f t="shared" si="87"/>
        <v>0</v>
      </c>
    </row>
    <row r="134" spans="1:18" ht="12.75" outlineLevel="2">
      <c r="A134" s="28" t="s">
        <v>50</v>
      </c>
      <c r="B134" s="43">
        <f aca="true" t="shared" si="88" ref="B134:Q134">SUM(B126:B133)</f>
        <v>0</v>
      </c>
      <c r="C134" s="43">
        <f t="shared" si="88"/>
        <v>0</v>
      </c>
      <c r="D134" s="43">
        <f t="shared" si="88"/>
        <v>0</v>
      </c>
      <c r="E134" s="42">
        <f t="shared" si="88"/>
        <v>0</v>
      </c>
      <c r="F134" s="43">
        <f t="shared" si="88"/>
        <v>0</v>
      </c>
      <c r="G134" s="43">
        <f t="shared" si="88"/>
        <v>0</v>
      </c>
      <c r="H134" s="43">
        <f t="shared" si="88"/>
        <v>0</v>
      </c>
      <c r="I134" s="42">
        <f t="shared" si="88"/>
        <v>0</v>
      </c>
      <c r="J134" s="43">
        <f t="shared" si="88"/>
        <v>0</v>
      </c>
      <c r="K134" s="43">
        <f t="shared" si="88"/>
        <v>184.46</v>
      </c>
      <c r="L134" s="43">
        <f t="shared" si="88"/>
        <v>151.81</v>
      </c>
      <c r="M134" s="42">
        <f t="shared" si="88"/>
        <v>336.27000000000004</v>
      </c>
      <c r="N134" s="43">
        <f t="shared" si="88"/>
        <v>160.14000000000001</v>
      </c>
      <c r="O134" s="43">
        <f t="shared" si="88"/>
        <v>163.56</v>
      </c>
      <c r="P134" s="43">
        <f t="shared" si="88"/>
        <v>165.58</v>
      </c>
      <c r="Q134" s="42">
        <f t="shared" si="88"/>
        <v>489.28000000000003</v>
      </c>
      <c r="R134" s="44">
        <f t="shared" si="87"/>
        <v>825.5500000000001</v>
      </c>
    </row>
    <row r="135" spans="1:18" ht="13.5" outlineLevel="1" thickBot="1">
      <c r="A135" s="26" t="s">
        <v>48</v>
      </c>
      <c r="B135" s="46">
        <f aca="true" t="shared" si="89" ref="B135:R135">B134+B125</f>
        <v>0</v>
      </c>
      <c r="C135" s="46">
        <f t="shared" si="89"/>
        <v>0</v>
      </c>
      <c r="D135" s="46">
        <f t="shared" si="89"/>
        <v>0</v>
      </c>
      <c r="E135" s="45">
        <f t="shared" si="89"/>
        <v>0</v>
      </c>
      <c r="F135" s="46">
        <f t="shared" si="89"/>
        <v>0</v>
      </c>
      <c r="G135" s="46">
        <f t="shared" si="89"/>
        <v>0</v>
      </c>
      <c r="H135" s="46">
        <f t="shared" si="89"/>
        <v>0</v>
      </c>
      <c r="I135" s="45">
        <f t="shared" si="89"/>
        <v>0</v>
      </c>
      <c r="J135" s="46">
        <f t="shared" si="89"/>
        <v>0</v>
      </c>
      <c r="K135" s="46">
        <f t="shared" si="89"/>
        <v>184.46</v>
      </c>
      <c r="L135" s="46">
        <f t="shared" si="89"/>
        <v>190.81</v>
      </c>
      <c r="M135" s="45">
        <f t="shared" si="89"/>
        <v>375.27000000000004</v>
      </c>
      <c r="N135" s="46">
        <f t="shared" si="89"/>
        <v>160.14000000000001</v>
      </c>
      <c r="O135" s="46">
        <f t="shared" si="89"/>
        <v>163.56</v>
      </c>
      <c r="P135" s="46">
        <f t="shared" si="89"/>
        <v>165.58</v>
      </c>
      <c r="Q135" s="45">
        <f t="shared" si="89"/>
        <v>489.28000000000003</v>
      </c>
      <c r="R135" s="47">
        <f t="shared" si="89"/>
        <v>864.5500000000001</v>
      </c>
    </row>
    <row r="136" spans="1:18" ht="13.5" outlineLevel="1" thickTop="1">
      <c r="A136" s="16" t="s">
        <v>33</v>
      </c>
      <c r="B136" s="17"/>
      <c r="C136" s="17"/>
      <c r="D136" s="17"/>
      <c r="E136" s="14"/>
      <c r="F136" s="17"/>
      <c r="G136" s="17"/>
      <c r="H136" s="17"/>
      <c r="I136" s="14"/>
      <c r="J136" s="17"/>
      <c r="K136" s="17"/>
      <c r="L136" s="17"/>
      <c r="M136" s="14"/>
      <c r="N136" s="17"/>
      <c r="O136" s="17"/>
      <c r="P136" s="17"/>
      <c r="Q136" s="14"/>
      <c r="R136" s="27"/>
    </row>
    <row r="137" spans="1:18" ht="12.75" outlineLevel="3">
      <c r="A137" s="19" t="s">
        <v>40</v>
      </c>
      <c r="B137" s="20"/>
      <c r="C137" s="20"/>
      <c r="D137" s="20"/>
      <c r="E137" s="12">
        <f aca="true" t="shared" si="90" ref="E137:E143">SUM(B137:D137)</f>
        <v>0</v>
      </c>
      <c r="F137" s="20"/>
      <c r="G137" s="20"/>
      <c r="H137" s="20"/>
      <c r="I137" s="12">
        <f aca="true" t="shared" si="91" ref="I137:I143">SUM(F137:H137)</f>
        <v>0</v>
      </c>
      <c r="J137" s="20"/>
      <c r="K137" s="20"/>
      <c r="L137" s="20"/>
      <c r="M137" s="12">
        <f aca="true" t="shared" si="92" ref="M137:M143">SUM(J137:L137)</f>
        <v>0</v>
      </c>
      <c r="N137" s="20"/>
      <c r="O137" s="20"/>
      <c r="P137" s="20"/>
      <c r="Q137" s="12">
        <f aca="true" t="shared" si="93" ref="Q137:Q143">SUM(N137:P137)</f>
        <v>0</v>
      </c>
      <c r="R137" s="21">
        <f aca="true" t="shared" si="94" ref="R137:R144">Q137+M137+I137+E137</f>
        <v>0</v>
      </c>
    </row>
    <row r="138" spans="1:18" ht="12.75" outlineLevel="3">
      <c r="A138" s="19" t="s">
        <v>41</v>
      </c>
      <c r="B138" s="20"/>
      <c r="C138" s="20"/>
      <c r="D138" s="20"/>
      <c r="E138" s="12">
        <f t="shared" si="90"/>
        <v>0</v>
      </c>
      <c r="F138" s="20"/>
      <c r="G138" s="20"/>
      <c r="H138" s="20"/>
      <c r="I138" s="12">
        <f t="shared" si="91"/>
        <v>0</v>
      </c>
      <c r="J138" s="20"/>
      <c r="K138" s="20">
        <v>88</v>
      </c>
      <c r="L138" s="20"/>
      <c r="M138" s="12">
        <f t="shared" si="92"/>
        <v>88</v>
      </c>
      <c r="N138" s="20"/>
      <c r="O138" s="20"/>
      <c r="P138" s="20"/>
      <c r="Q138" s="12">
        <f t="shared" si="93"/>
        <v>0</v>
      </c>
      <c r="R138" s="21">
        <f t="shared" si="94"/>
        <v>88</v>
      </c>
    </row>
    <row r="139" spans="1:18" ht="12.75" outlineLevel="3">
      <c r="A139" s="19" t="s">
        <v>42</v>
      </c>
      <c r="B139" s="20"/>
      <c r="C139" s="20"/>
      <c r="D139" s="20"/>
      <c r="E139" s="12">
        <f t="shared" si="90"/>
        <v>0</v>
      </c>
      <c r="F139" s="20"/>
      <c r="G139" s="20"/>
      <c r="H139" s="20"/>
      <c r="I139" s="12">
        <f t="shared" si="91"/>
        <v>0</v>
      </c>
      <c r="J139" s="20"/>
      <c r="K139" s="20">
        <v>230</v>
      </c>
      <c r="L139" s="20"/>
      <c r="M139" s="12">
        <f t="shared" si="92"/>
        <v>230</v>
      </c>
      <c r="N139" s="20"/>
      <c r="O139" s="20"/>
      <c r="P139" s="20"/>
      <c r="Q139" s="12">
        <f t="shared" si="93"/>
        <v>0</v>
      </c>
      <c r="R139" s="21">
        <f t="shared" si="94"/>
        <v>230</v>
      </c>
    </row>
    <row r="140" spans="1:18" ht="12.75" outlineLevel="3">
      <c r="A140" s="19" t="s">
        <v>43</v>
      </c>
      <c r="B140" s="20"/>
      <c r="C140" s="20"/>
      <c r="D140" s="20"/>
      <c r="E140" s="12">
        <f t="shared" si="90"/>
        <v>0</v>
      </c>
      <c r="F140" s="20"/>
      <c r="G140" s="20"/>
      <c r="H140" s="20"/>
      <c r="I140" s="12">
        <f t="shared" si="91"/>
        <v>0</v>
      </c>
      <c r="J140" s="20">
        <v>462.17</v>
      </c>
      <c r="K140" s="20"/>
      <c r="L140" s="20"/>
      <c r="M140" s="12">
        <f t="shared" si="92"/>
        <v>462.17</v>
      </c>
      <c r="N140" s="20"/>
      <c r="O140" s="20"/>
      <c r="P140" s="20"/>
      <c r="Q140" s="12">
        <f t="shared" si="93"/>
        <v>0</v>
      </c>
      <c r="R140" s="21">
        <f t="shared" si="94"/>
        <v>462.17</v>
      </c>
    </row>
    <row r="141" spans="1:18" ht="12.75" outlineLevel="3">
      <c r="A141" s="19" t="s">
        <v>44</v>
      </c>
      <c r="B141" s="20"/>
      <c r="C141" s="20"/>
      <c r="D141" s="20"/>
      <c r="E141" s="12">
        <f t="shared" si="90"/>
        <v>0</v>
      </c>
      <c r="F141" s="20"/>
      <c r="G141" s="20"/>
      <c r="H141" s="20"/>
      <c r="I141" s="12">
        <f t="shared" si="91"/>
        <v>0</v>
      </c>
      <c r="J141" s="20"/>
      <c r="K141" s="20"/>
      <c r="L141" s="20"/>
      <c r="M141" s="12">
        <f t="shared" si="92"/>
        <v>0</v>
      </c>
      <c r="N141" s="20"/>
      <c r="O141" s="20"/>
      <c r="P141" s="20"/>
      <c r="Q141" s="12">
        <f t="shared" si="93"/>
        <v>0</v>
      </c>
      <c r="R141" s="21">
        <f t="shared" si="94"/>
        <v>0</v>
      </c>
    </row>
    <row r="142" spans="1:18" ht="12.75" outlineLevel="3">
      <c r="A142" s="19" t="s">
        <v>45</v>
      </c>
      <c r="B142" s="20"/>
      <c r="C142" s="20"/>
      <c r="D142" s="20"/>
      <c r="E142" s="12">
        <f t="shared" si="90"/>
        <v>0</v>
      </c>
      <c r="F142" s="20"/>
      <c r="G142" s="20"/>
      <c r="H142" s="20"/>
      <c r="I142" s="12">
        <f t="shared" si="91"/>
        <v>0</v>
      </c>
      <c r="J142" s="20"/>
      <c r="K142" s="20"/>
      <c r="L142" s="20">
        <v>18</v>
      </c>
      <c r="M142" s="12">
        <f t="shared" si="92"/>
        <v>18</v>
      </c>
      <c r="N142" s="20"/>
      <c r="O142" s="20"/>
      <c r="P142" s="20"/>
      <c r="Q142" s="12">
        <f t="shared" si="93"/>
        <v>0</v>
      </c>
      <c r="R142" s="21">
        <f t="shared" si="94"/>
        <v>18</v>
      </c>
    </row>
    <row r="143" spans="1:18" ht="12.75" outlineLevel="3">
      <c r="A143" s="19" t="s">
        <v>46</v>
      </c>
      <c r="B143" s="20"/>
      <c r="C143" s="20"/>
      <c r="D143" s="20"/>
      <c r="E143" s="12">
        <f t="shared" si="90"/>
        <v>0</v>
      </c>
      <c r="F143" s="20"/>
      <c r="G143" s="20"/>
      <c r="H143" s="20"/>
      <c r="I143" s="12">
        <f t="shared" si="91"/>
        <v>0</v>
      </c>
      <c r="J143" s="20"/>
      <c r="K143" s="20"/>
      <c r="L143" s="20"/>
      <c r="M143" s="12">
        <f t="shared" si="92"/>
        <v>0</v>
      </c>
      <c r="N143" s="20"/>
      <c r="O143" s="20"/>
      <c r="P143" s="20"/>
      <c r="Q143" s="12">
        <f t="shared" si="93"/>
        <v>0</v>
      </c>
      <c r="R143" s="21">
        <f t="shared" si="94"/>
        <v>0</v>
      </c>
    </row>
    <row r="144" spans="1:18" ht="12.75" outlineLevel="2">
      <c r="A144" s="22" t="s">
        <v>47</v>
      </c>
      <c r="B144" s="33">
        <f aca="true" t="shared" si="95" ref="B144:Q144">SUM(B137:B143)</f>
        <v>0</v>
      </c>
      <c r="C144" s="33">
        <f t="shared" si="95"/>
        <v>0</v>
      </c>
      <c r="D144" s="33">
        <f t="shared" si="95"/>
        <v>0</v>
      </c>
      <c r="E144" s="32">
        <f t="shared" si="95"/>
        <v>0</v>
      </c>
      <c r="F144" s="33">
        <f t="shared" si="95"/>
        <v>0</v>
      </c>
      <c r="G144" s="33">
        <f t="shared" si="95"/>
        <v>0</v>
      </c>
      <c r="H144" s="33">
        <f t="shared" si="95"/>
        <v>0</v>
      </c>
      <c r="I144" s="32">
        <f t="shared" si="95"/>
        <v>0</v>
      </c>
      <c r="J144" s="33">
        <f t="shared" si="95"/>
        <v>462.17</v>
      </c>
      <c r="K144" s="33">
        <f t="shared" si="95"/>
        <v>318</v>
      </c>
      <c r="L144" s="33">
        <f t="shared" si="95"/>
        <v>18</v>
      </c>
      <c r="M144" s="32">
        <f t="shared" si="95"/>
        <v>798.1700000000001</v>
      </c>
      <c r="N144" s="33">
        <f t="shared" si="95"/>
        <v>0</v>
      </c>
      <c r="O144" s="33">
        <f t="shared" si="95"/>
        <v>0</v>
      </c>
      <c r="P144" s="33">
        <f t="shared" si="95"/>
        <v>0</v>
      </c>
      <c r="Q144" s="32">
        <f t="shared" si="95"/>
        <v>0</v>
      </c>
      <c r="R144" s="34">
        <f t="shared" si="94"/>
        <v>798.1700000000001</v>
      </c>
    </row>
    <row r="145" spans="1:18" ht="12.75" outlineLevel="3">
      <c r="A145" s="23" t="s">
        <v>15</v>
      </c>
      <c r="B145" s="3"/>
      <c r="C145" s="3"/>
      <c r="D145" s="3"/>
      <c r="E145" s="35">
        <f>SUM(B145:D145)</f>
        <v>0</v>
      </c>
      <c r="F145" s="37"/>
      <c r="G145" s="37"/>
      <c r="H145" s="37"/>
      <c r="I145" s="35">
        <f>SUM(F145:H145)</f>
        <v>0</v>
      </c>
      <c r="J145" s="37">
        <v>49.08</v>
      </c>
      <c r="K145" s="37">
        <v>49.8</v>
      </c>
      <c r="L145" s="37">
        <v>50.88</v>
      </c>
      <c r="M145" s="35">
        <f>SUM(J145:L145)</f>
        <v>149.76</v>
      </c>
      <c r="N145" s="37">
        <v>51.6</v>
      </c>
      <c r="O145" s="37">
        <v>52.56</v>
      </c>
      <c r="P145" s="38">
        <v>53.16</v>
      </c>
      <c r="Q145" s="35">
        <f>SUM(N145:P145)</f>
        <v>157.32</v>
      </c>
      <c r="R145" s="34">
        <f>Q145+M145+I145+E145</f>
        <v>307.08</v>
      </c>
    </row>
    <row r="146" spans="1:18" ht="12.75" outlineLevel="3">
      <c r="A146" s="23" t="s">
        <v>16</v>
      </c>
      <c r="B146" s="3"/>
      <c r="C146" s="3"/>
      <c r="D146" s="3"/>
      <c r="E146" s="35">
        <f aca="true" t="shared" si="96" ref="E146:E152">SUM(B146:D146)</f>
        <v>0</v>
      </c>
      <c r="F146" s="37"/>
      <c r="G146" s="37"/>
      <c r="H146" s="37"/>
      <c r="I146" s="35">
        <f aca="true" t="shared" si="97" ref="I146:I152">SUM(F146:H146)</f>
        <v>0</v>
      </c>
      <c r="J146" s="37"/>
      <c r="K146" s="37">
        <v>22</v>
      </c>
      <c r="L146" s="37">
        <v>22</v>
      </c>
      <c r="M146" s="35">
        <f aca="true" t="shared" si="98" ref="M146:M152">SUM(J146:L146)</f>
        <v>44</v>
      </c>
      <c r="N146" s="37">
        <v>22</v>
      </c>
      <c r="O146" s="37">
        <v>22</v>
      </c>
      <c r="P146" s="38">
        <v>22</v>
      </c>
      <c r="Q146" s="35">
        <f aca="true" t="shared" si="99" ref="Q146:Q152">SUM(N146:P146)</f>
        <v>66</v>
      </c>
      <c r="R146" s="34">
        <f aca="true" t="shared" si="100" ref="R146:R153">Q146+M146+I146+E146</f>
        <v>110</v>
      </c>
    </row>
    <row r="147" spans="1:18" ht="12.75" outlineLevel="3">
      <c r="A147" s="23" t="s">
        <v>17</v>
      </c>
      <c r="B147" s="3"/>
      <c r="C147" s="3"/>
      <c r="D147" s="3"/>
      <c r="E147" s="35">
        <f t="shared" si="96"/>
        <v>0</v>
      </c>
      <c r="F147" s="37"/>
      <c r="G147" s="37"/>
      <c r="H147" s="37"/>
      <c r="I147" s="35">
        <f t="shared" si="97"/>
        <v>0</v>
      </c>
      <c r="J147" s="37"/>
      <c r="K147" s="37">
        <v>20.34</v>
      </c>
      <c r="L147" s="37">
        <v>27.12</v>
      </c>
      <c r="M147" s="35">
        <f t="shared" si="98"/>
        <v>47.46</v>
      </c>
      <c r="N147" s="37">
        <v>18</v>
      </c>
      <c r="O147" s="37">
        <v>14.69</v>
      </c>
      <c r="P147" s="38">
        <v>19.21</v>
      </c>
      <c r="Q147" s="35">
        <f t="shared" si="99"/>
        <v>51.9</v>
      </c>
      <c r="R147" s="34">
        <f t="shared" si="100"/>
        <v>99.36</v>
      </c>
    </row>
    <row r="148" spans="1:18" ht="12.75" outlineLevel="3">
      <c r="A148" s="25" t="s">
        <v>18</v>
      </c>
      <c r="B148" s="3"/>
      <c r="C148" s="3"/>
      <c r="D148" s="3"/>
      <c r="E148" s="35">
        <f t="shared" si="96"/>
        <v>0</v>
      </c>
      <c r="F148" s="37"/>
      <c r="G148" s="37"/>
      <c r="H148" s="37"/>
      <c r="I148" s="35">
        <f t="shared" si="97"/>
        <v>0</v>
      </c>
      <c r="J148" s="37"/>
      <c r="K148" s="37"/>
      <c r="L148" s="37"/>
      <c r="M148" s="35">
        <f t="shared" si="98"/>
        <v>0</v>
      </c>
      <c r="N148" s="37">
        <f>7.58+0.76</f>
        <v>8.34</v>
      </c>
      <c r="O148" s="37">
        <v>6.21</v>
      </c>
      <c r="P148" s="38">
        <f>6.3+0.74+3.64+0.72</f>
        <v>11.4</v>
      </c>
      <c r="Q148" s="35">
        <f t="shared" si="99"/>
        <v>25.950000000000003</v>
      </c>
      <c r="R148" s="34">
        <f t="shared" si="100"/>
        <v>25.950000000000003</v>
      </c>
    </row>
    <row r="149" spans="1:18" ht="12.75" outlineLevel="3">
      <c r="A149" s="23" t="s">
        <v>19</v>
      </c>
      <c r="B149" s="3"/>
      <c r="C149" s="3"/>
      <c r="D149" s="3"/>
      <c r="E149" s="35">
        <f t="shared" si="96"/>
        <v>0</v>
      </c>
      <c r="F149" s="37"/>
      <c r="G149" s="37"/>
      <c r="H149" s="37"/>
      <c r="I149" s="35">
        <f t="shared" si="97"/>
        <v>0</v>
      </c>
      <c r="J149" s="37"/>
      <c r="K149" s="37"/>
      <c r="L149" s="37">
        <v>3.72</v>
      </c>
      <c r="M149" s="35">
        <f t="shared" si="98"/>
        <v>3.72</v>
      </c>
      <c r="N149" s="37">
        <v>0.93</v>
      </c>
      <c r="O149" s="37">
        <v>1.86</v>
      </c>
      <c r="P149" s="38">
        <v>1.86</v>
      </c>
      <c r="Q149" s="35">
        <f t="shared" si="99"/>
        <v>4.65</v>
      </c>
      <c r="R149" s="34">
        <f t="shared" si="100"/>
        <v>8.370000000000001</v>
      </c>
    </row>
    <row r="150" spans="1:18" ht="12.75" outlineLevel="3">
      <c r="A150" s="23" t="s">
        <v>20</v>
      </c>
      <c r="B150" s="3"/>
      <c r="C150" s="3"/>
      <c r="D150" s="3"/>
      <c r="E150" s="35">
        <f t="shared" si="96"/>
        <v>0</v>
      </c>
      <c r="F150" s="37"/>
      <c r="G150" s="37"/>
      <c r="H150" s="37"/>
      <c r="I150" s="35">
        <f t="shared" si="97"/>
        <v>0</v>
      </c>
      <c r="J150" s="37"/>
      <c r="K150" s="37"/>
      <c r="L150" s="37"/>
      <c r="M150" s="35">
        <f t="shared" si="98"/>
        <v>0</v>
      </c>
      <c r="N150" s="37"/>
      <c r="O150" s="37"/>
      <c r="P150" s="38"/>
      <c r="Q150" s="35">
        <f t="shared" si="99"/>
        <v>0</v>
      </c>
      <c r="R150" s="34">
        <f t="shared" si="100"/>
        <v>0</v>
      </c>
    </row>
    <row r="151" spans="1:18" ht="12.75" outlineLevel="3">
      <c r="A151" s="23" t="s">
        <v>21</v>
      </c>
      <c r="B151" s="3"/>
      <c r="C151" s="3"/>
      <c r="D151" s="3"/>
      <c r="E151" s="35">
        <f t="shared" si="96"/>
        <v>0</v>
      </c>
      <c r="F151" s="37"/>
      <c r="G151" s="37"/>
      <c r="H151" s="37"/>
      <c r="I151" s="35">
        <f t="shared" si="97"/>
        <v>0</v>
      </c>
      <c r="J151" s="37"/>
      <c r="K151" s="37"/>
      <c r="L151" s="37"/>
      <c r="M151" s="35">
        <f t="shared" si="98"/>
        <v>0</v>
      </c>
      <c r="N151" s="37"/>
      <c r="O151" s="37"/>
      <c r="P151" s="38"/>
      <c r="Q151" s="35">
        <f t="shared" si="99"/>
        <v>0</v>
      </c>
      <c r="R151" s="34">
        <f t="shared" si="100"/>
        <v>0</v>
      </c>
    </row>
    <row r="152" spans="1:18" ht="12.75" outlineLevel="3">
      <c r="A152" s="23" t="s">
        <v>22</v>
      </c>
      <c r="B152" s="3"/>
      <c r="C152" s="3"/>
      <c r="D152" s="3"/>
      <c r="E152" s="35">
        <f t="shared" si="96"/>
        <v>0</v>
      </c>
      <c r="F152" s="37"/>
      <c r="G152" s="37"/>
      <c r="H152" s="37"/>
      <c r="I152" s="35">
        <f t="shared" si="97"/>
        <v>0</v>
      </c>
      <c r="J152" s="37"/>
      <c r="K152" s="37"/>
      <c r="L152" s="37"/>
      <c r="M152" s="35">
        <f t="shared" si="98"/>
        <v>0</v>
      </c>
      <c r="N152" s="37"/>
      <c r="O152" s="37">
        <v>8.52</v>
      </c>
      <c r="P152" s="38"/>
      <c r="Q152" s="35">
        <f t="shared" si="99"/>
        <v>8.52</v>
      </c>
      <c r="R152" s="34">
        <f t="shared" si="100"/>
        <v>8.52</v>
      </c>
    </row>
    <row r="153" spans="1:18" ht="12.75" outlineLevel="2">
      <c r="A153" s="28" t="s">
        <v>50</v>
      </c>
      <c r="B153" s="43">
        <f aca="true" t="shared" si="101" ref="B153:Q153">SUM(B145:B152)</f>
        <v>0</v>
      </c>
      <c r="C153" s="43">
        <f t="shared" si="101"/>
        <v>0</v>
      </c>
      <c r="D153" s="43">
        <f t="shared" si="101"/>
        <v>0</v>
      </c>
      <c r="E153" s="42">
        <f t="shared" si="101"/>
        <v>0</v>
      </c>
      <c r="F153" s="43">
        <f t="shared" si="101"/>
        <v>0</v>
      </c>
      <c r="G153" s="43">
        <f t="shared" si="101"/>
        <v>0</v>
      </c>
      <c r="H153" s="43">
        <f t="shared" si="101"/>
        <v>0</v>
      </c>
      <c r="I153" s="42">
        <f t="shared" si="101"/>
        <v>0</v>
      </c>
      <c r="J153" s="43">
        <f t="shared" si="101"/>
        <v>49.08</v>
      </c>
      <c r="K153" s="43">
        <f t="shared" si="101"/>
        <v>92.14</v>
      </c>
      <c r="L153" s="43">
        <f t="shared" si="101"/>
        <v>103.72</v>
      </c>
      <c r="M153" s="42">
        <f t="shared" si="101"/>
        <v>244.94</v>
      </c>
      <c r="N153" s="43">
        <f t="shared" si="101"/>
        <v>100.87</v>
      </c>
      <c r="O153" s="43">
        <f t="shared" si="101"/>
        <v>105.83999999999999</v>
      </c>
      <c r="P153" s="43">
        <f t="shared" si="101"/>
        <v>107.63000000000001</v>
      </c>
      <c r="Q153" s="42">
        <f t="shared" si="101"/>
        <v>314.3399999999999</v>
      </c>
      <c r="R153" s="44">
        <f t="shared" si="100"/>
        <v>559.28</v>
      </c>
    </row>
    <row r="154" spans="1:18" ht="13.5" outlineLevel="1" thickBot="1">
      <c r="A154" s="26" t="s">
        <v>48</v>
      </c>
      <c r="B154" s="46">
        <f aca="true" t="shared" si="102" ref="B154:R154">B153+B144</f>
        <v>0</v>
      </c>
      <c r="C154" s="46">
        <f t="shared" si="102"/>
        <v>0</v>
      </c>
      <c r="D154" s="46">
        <f t="shared" si="102"/>
        <v>0</v>
      </c>
      <c r="E154" s="45">
        <f t="shared" si="102"/>
        <v>0</v>
      </c>
      <c r="F154" s="46">
        <f t="shared" si="102"/>
        <v>0</v>
      </c>
      <c r="G154" s="46">
        <f t="shared" si="102"/>
        <v>0</v>
      </c>
      <c r="H154" s="46">
        <f t="shared" si="102"/>
        <v>0</v>
      </c>
      <c r="I154" s="45">
        <f t="shared" si="102"/>
        <v>0</v>
      </c>
      <c r="J154" s="46">
        <f t="shared" si="102"/>
        <v>511.25</v>
      </c>
      <c r="K154" s="46">
        <f t="shared" si="102"/>
        <v>410.14</v>
      </c>
      <c r="L154" s="46">
        <f t="shared" si="102"/>
        <v>121.72</v>
      </c>
      <c r="M154" s="45">
        <f t="shared" si="102"/>
        <v>1043.1100000000001</v>
      </c>
      <c r="N154" s="46">
        <f t="shared" si="102"/>
        <v>100.87</v>
      </c>
      <c r="O154" s="46">
        <f t="shared" si="102"/>
        <v>105.83999999999999</v>
      </c>
      <c r="P154" s="46">
        <f t="shared" si="102"/>
        <v>107.63000000000001</v>
      </c>
      <c r="Q154" s="45">
        <f t="shared" si="102"/>
        <v>314.3399999999999</v>
      </c>
      <c r="R154" s="47">
        <f t="shared" si="102"/>
        <v>1357.45</v>
      </c>
    </row>
    <row r="155" spans="1:18" ht="13.5" outlineLevel="1" thickTop="1">
      <c r="A155" s="16" t="s">
        <v>34</v>
      </c>
      <c r="B155" s="17"/>
      <c r="C155" s="17"/>
      <c r="D155" s="17"/>
      <c r="E155" s="14"/>
      <c r="F155" s="17"/>
      <c r="G155" s="17"/>
      <c r="H155" s="17"/>
      <c r="I155" s="14"/>
      <c r="J155" s="17"/>
      <c r="K155" s="17"/>
      <c r="L155" s="17"/>
      <c r="M155" s="14"/>
      <c r="N155" s="17"/>
      <c r="O155" s="17"/>
      <c r="P155" s="17"/>
      <c r="Q155" s="14"/>
      <c r="R155" s="27"/>
    </row>
    <row r="156" spans="1:18" ht="12.75" outlineLevel="3">
      <c r="A156" s="19" t="s">
        <v>40</v>
      </c>
      <c r="B156" s="20"/>
      <c r="C156" s="20"/>
      <c r="D156" s="20"/>
      <c r="E156" s="12">
        <f aca="true" t="shared" si="103" ref="E156:E162">SUM(B156:D156)</f>
        <v>0</v>
      </c>
      <c r="F156" s="20"/>
      <c r="G156" s="20"/>
      <c r="H156" s="20"/>
      <c r="I156" s="12">
        <f aca="true" t="shared" si="104" ref="I156:I162">SUM(F156:H156)</f>
        <v>0</v>
      </c>
      <c r="J156" s="20"/>
      <c r="K156" s="20"/>
      <c r="L156" s="20"/>
      <c r="M156" s="12">
        <f aca="true" t="shared" si="105" ref="M156:M162">SUM(J156:L156)</f>
        <v>0</v>
      </c>
      <c r="N156" s="20"/>
      <c r="O156" s="20"/>
      <c r="P156" s="20"/>
      <c r="Q156" s="12">
        <f aca="true" t="shared" si="106" ref="Q156:Q162">SUM(N156:P156)</f>
        <v>0</v>
      </c>
      <c r="R156" s="21">
        <f aca="true" t="shared" si="107" ref="R156:R163">Q156+M156+I156+E156</f>
        <v>0</v>
      </c>
    </row>
    <row r="157" spans="1:18" ht="12.75" outlineLevel="3">
      <c r="A157" s="19" t="s">
        <v>41</v>
      </c>
      <c r="B157" s="20"/>
      <c r="C157" s="20"/>
      <c r="D157" s="20"/>
      <c r="E157" s="12">
        <f t="shared" si="103"/>
        <v>0</v>
      </c>
      <c r="F157" s="20"/>
      <c r="G157" s="20"/>
      <c r="H157" s="20"/>
      <c r="I157" s="12">
        <f t="shared" si="104"/>
        <v>0</v>
      </c>
      <c r="J157" s="20"/>
      <c r="K157" s="20"/>
      <c r="L157" s="20"/>
      <c r="M157" s="12">
        <f t="shared" si="105"/>
        <v>0</v>
      </c>
      <c r="N157" s="20"/>
      <c r="O157" s="20"/>
      <c r="P157" s="20"/>
      <c r="Q157" s="12">
        <f t="shared" si="106"/>
        <v>0</v>
      </c>
      <c r="R157" s="21">
        <f t="shared" si="107"/>
        <v>0</v>
      </c>
    </row>
    <row r="158" spans="1:18" ht="12.75" outlineLevel="3">
      <c r="A158" s="19" t="s">
        <v>42</v>
      </c>
      <c r="B158" s="20"/>
      <c r="C158" s="20"/>
      <c r="D158" s="20"/>
      <c r="E158" s="12">
        <f t="shared" si="103"/>
        <v>0</v>
      </c>
      <c r="F158" s="20"/>
      <c r="G158" s="20"/>
      <c r="H158" s="20"/>
      <c r="I158" s="12">
        <f t="shared" si="104"/>
        <v>0</v>
      </c>
      <c r="J158" s="20"/>
      <c r="K158" s="20"/>
      <c r="L158" s="20"/>
      <c r="M158" s="12">
        <f t="shared" si="105"/>
        <v>0</v>
      </c>
      <c r="N158" s="20"/>
      <c r="O158" s="20"/>
      <c r="P158" s="20"/>
      <c r="Q158" s="12">
        <f t="shared" si="106"/>
        <v>0</v>
      </c>
      <c r="R158" s="21">
        <f t="shared" si="107"/>
        <v>0</v>
      </c>
    </row>
    <row r="159" spans="1:18" ht="12.75" outlineLevel="3">
      <c r="A159" s="19" t="s">
        <v>43</v>
      </c>
      <c r="B159" s="20"/>
      <c r="C159" s="20"/>
      <c r="D159" s="20"/>
      <c r="E159" s="12">
        <f t="shared" si="103"/>
        <v>0</v>
      </c>
      <c r="F159" s="20"/>
      <c r="G159" s="20"/>
      <c r="H159" s="20"/>
      <c r="I159" s="12">
        <f t="shared" si="104"/>
        <v>0</v>
      </c>
      <c r="J159" s="20"/>
      <c r="K159" s="20"/>
      <c r="L159" s="20"/>
      <c r="M159" s="12">
        <f t="shared" si="105"/>
        <v>0</v>
      </c>
      <c r="N159" s="20"/>
      <c r="O159" s="20"/>
      <c r="P159" s="20"/>
      <c r="Q159" s="12">
        <f t="shared" si="106"/>
        <v>0</v>
      </c>
      <c r="R159" s="21">
        <f t="shared" si="107"/>
        <v>0</v>
      </c>
    </row>
    <row r="160" spans="1:18" ht="12.75" outlineLevel="3">
      <c r="A160" s="19" t="s">
        <v>44</v>
      </c>
      <c r="B160" s="20"/>
      <c r="C160" s="20"/>
      <c r="D160" s="20"/>
      <c r="E160" s="12">
        <f t="shared" si="103"/>
        <v>0</v>
      </c>
      <c r="F160" s="20"/>
      <c r="G160" s="20"/>
      <c r="H160" s="20"/>
      <c r="I160" s="12">
        <f t="shared" si="104"/>
        <v>0</v>
      </c>
      <c r="J160" s="20"/>
      <c r="K160" s="20"/>
      <c r="L160" s="20"/>
      <c r="M160" s="12">
        <f t="shared" si="105"/>
        <v>0</v>
      </c>
      <c r="N160" s="20"/>
      <c r="O160" s="20"/>
      <c r="P160" s="20"/>
      <c r="Q160" s="12">
        <f t="shared" si="106"/>
        <v>0</v>
      </c>
      <c r="R160" s="21">
        <f t="shared" si="107"/>
        <v>0</v>
      </c>
    </row>
    <row r="161" spans="1:18" ht="12.75" outlineLevel="3">
      <c r="A161" s="19" t="s">
        <v>45</v>
      </c>
      <c r="B161" s="20"/>
      <c r="C161" s="20"/>
      <c r="D161" s="20"/>
      <c r="E161" s="12">
        <f t="shared" si="103"/>
        <v>0</v>
      </c>
      <c r="F161" s="20"/>
      <c r="G161" s="20"/>
      <c r="H161" s="20"/>
      <c r="I161" s="12">
        <f t="shared" si="104"/>
        <v>0</v>
      </c>
      <c r="J161" s="20"/>
      <c r="K161" s="20"/>
      <c r="L161" s="20"/>
      <c r="M161" s="12">
        <f t="shared" si="105"/>
        <v>0</v>
      </c>
      <c r="N161" s="20"/>
      <c r="O161" s="20"/>
      <c r="P161" s="20"/>
      <c r="Q161" s="12">
        <f t="shared" si="106"/>
        <v>0</v>
      </c>
      <c r="R161" s="21">
        <f t="shared" si="107"/>
        <v>0</v>
      </c>
    </row>
    <row r="162" spans="1:18" ht="12.75" outlineLevel="3">
      <c r="A162" s="19" t="s">
        <v>46</v>
      </c>
      <c r="B162" s="20"/>
      <c r="C162" s="20"/>
      <c r="D162" s="20"/>
      <c r="E162" s="12">
        <f t="shared" si="103"/>
        <v>0</v>
      </c>
      <c r="F162" s="20"/>
      <c r="G162" s="20"/>
      <c r="H162" s="20"/>
      <c r="I162" s="12">
        <f t="shared" si="104"/>
        <v>0</v>
      </c>
      <c r="J162" s="20"/>
      <c r="K162" s="20"/>
      <c r="L162" s="20"/>
      <c r="M162" s="12">
        <f t="shared" si="105"/>
        <v>0</v>
      </c>
      <c r="N162" s="20"/>
      <c r="O162" s="20"/>
      <c r="P162" s="20"/>
      <c r="Q162" s="12">
        <f t="shared" si="106"/>
        <v>0</v>
      </c>
      <c r="R162" s="21">
        <f t="shared" si="107"/>
        <v>0</v>
      </c>
    </row>
    <row r="163" spans="1:18" ht="12.75" outlineLevel="2">
      <c r="A163" s="22" t="s">
        <v>47</v>
      </c>
      <c r="B163" s="33">
        <f aca="true" t="shared" si="108" ref="B163:Q163">SUM(B156:B162)</f>
        <v>0</v>
      </c>
      <c r="C163" s="33">
        <f t="shared" si="108"/>
        <v>0</v>
      </c>
      <c r="D163" s="33">
        <f t="shared" si="108"/>
        <v>0</v>
      </c>
      <c r="E163" s="32">
        <f t="shared" si="108"/>
        <v>0</v>
      </c>
      <c r="F163" s="33">
        <f t="shared" si="108"/>
        <v>0</v>
      </c>
      <c r="G163" s="33">
        <f t="shared" si="108"/>
        <v>0</v>
      </c>
      <c r="H163" s="33">
        <f t="shared" si="108"/>
        <v>0</v>
      </c>
      <c r="I163" s="32">
        <f t="shared" si="108"/>
        <v>0</v>
      </c>
      <c r="J163" s="33">
        <f t="shared" si="108"/>
        <v>0</v>
      </c>
      <c r="K163" s="33">
        <f t="shared" si="108"/>
        <v>0</v>
      </c>
      <c r="L163" s="33">
        <f t="shared" si="108"/>
        <v>0</v>
      </c>
      <c r="M163" s="32">
        <f t="shared" si="108"/>
        <v>0</v>
      </c>
      <c r="N163" s="33">
        <f t="shared" si="108"/>
        <v>0</v>
      </c>
      <c r="O163" s="33">
        <f t="shared" si="108"/>
        <v>0</v>
      </c>
      <c r="P163" s="33">
        <f t="shared" si="108"/>
        <v>0</v>
      </c>
      <c r="Q163" s="32">
        <f t="shared" si="108"/>
        <v>0</v>
      </c>
      <c r="R163" s="34">
        <f t="shared" si="107"/>
        <v>0</v>
      </c>
    </row>
    <row r="164" spans="1:18" ht="12.75" outlineLevel="3">
      <c r="A164" s="23" t="s">
        <v>15</v>
      </c>
      <c r="B164" s="3"/>
      <c r="C164" s="3"/>
      <c r="D164" s="3"/>
      <c r="E164" s="35">
        <f>SUM(B164:D164)</f>
        <v>0</v>
      </c>
      <c r="F164" s="37"/>
      <c r="G164" s="37"/>
      <c r="H164" s="37"/>
      <c r="I164" s="35">
        <f>SUM(F164:H164)</f>
        <v>0</v>
      </c>
      <c r="J164" s="37"/>
      <c r="K164" s="37"/>
      <c r="L164" s="37"/>
      <c r="M164" s="35">
        <f>SUM(J164:L164)</f>
        <v>0</v>
      </c>
      <c r="N164" s="37"/>
      <c r="O164" s="37"/>
      <c r="P164" s="38"/>
      <c r="Q164" s="35">
        <f>SUM(N164:P164)</f>
        <v>0</v>
      </c>
      <c r="R164" s="34">
        <f>Q164+M164+I164+E164</f>
        <v>0</v>
      </c>
    </row>
    <row r="165" spans="1:18" ht="12.75" outlineLevel="3">
      <c r="A165" s="23" t="s">
        <v>16</v>
      </c>
      <c r="B165" s="3"/>
      <c r="C165" s="3"/>
      <c r="D165" s="3"/>
      <c r="E165" s="35">
        <f aca="true" t="shared" si="109" ref="E165:E171">SUM(B165:D165)</f>
        <v>0</v>
      </c>
      <c r="F165" s="37"/>
      <c r="G165" s="37"/>
      <c r="H165" s="37"/>
      <c r="I165" s="35">
        <f aca="true" t="shared" si="110" ref="I165:I171">SUM(F165:H165)</f>
        <v>0</v>
      </c>
      <c r="J165" s="37"/>
      <c r="K165" s="37"/>
      <c r="L165" s="37"/>
      <c r="M165" s="35">
        <f aca="true" t="shared" si="111" ref="M165:M171">SUM(J165:L165)</f>
        <v>0</v>
      </c>
      <c r="N165" s="37"/>
      <c r="O165" s="37"/>
      <c r="P165" s="38"/>
      <c r="Q165" s="35">
        <f aca="true" t="shared" si="112" ref="Q165:Q171">SUM(N165:P165)</f>
        <v>0</v>
      </c>
      <c r="R165" s="34">
        <f aca="true" t="shared" si="113" ref="R165:R172">Q165+M165+I165+E165</f>
        <v>0</v>
      </c>
    </row>
    <row r="166" spans="1:18" ht="12.75" outlineLevel="3">
      <c r="A166" s="23" t="s">
        <v>17</v>
      </c>
      <c r="B166" s="3"/>
      <c r="C166" s="3"/>
      <c r="D166" s="3"/>
      <c r="E166" s="35">
        <f t="shared" si="109"/>
        <v>0</v>
      </c>
      <c r="F166" s="37"/>
      <c r="G166" s="37"/>
      <c r="H166" s="37"/>
      <c r="I166" s="35">
        <f t="shared" si="110"/>
        <v>0</v>
      </c>
      <c r="J166" s="37"/>
      <c r="K166" s="37"/>
      <c r="L166" s="37"/>
      <c r="M166" s="35">
        <f t="shared" si="111"/>
        <v>0</v>
      </c>
      <c r="N166" s="37"/>
      <c r="O166" s="37"/>
      <c r="P166" s="38"/>
      <c r="Q166" s="35">
        <f t="shared" si="112"/>
        <v>0</v>
      </c>
      <c r="R166" s="34">
        <f t="shared" si="113"/>
        <v>0</v>
      </c>
    </row>
    <row r="167" spans="1:18" ht="12.75" outlineLevel="3">
      <c r="A167" s="25" t="s">
        <v>18</v>
      </c>
      <c r="B167" s="3"/>
      <c r="C167" s="3"/>
      <c r="D167" s="3"/>
      <c r="E167" s="35">
        <f t="shared" si="109"/>
        <v>0</v>
      </c>
      <c r="F167" s="37"/>
      <c r="G167" s="37"/>
      <c r="H167" s="37"/>
      <c r="I167" s="35">
        <f t="shared" si="110"/>
        <v>0</v>
      </c>
      <c r="J167" s="37"/>
      <c r="K167" s="37"/>
      <c r="L167" s="37"/>
      <c r="M167" s="35">
        <f t="shared" si="111"/>
        <v>0</v>
      </c>
      <c r="N167" s="37"/>
      <c r="O167" s="37"/>
      <c r="P167" s="38"/>
      <c r="Q167" s="35">
        <f t="shared" si="112"/>
        <v>0</v>
      </c>
      <c r="R167" s="34">
        <f t="shared" si="113"/>
        <v>0</v>
      </c>
    </row>
    <row r="168" spans="1:18" ht="12.75" outlineLevel="3">
      <c r="A168" s="23" t="s">
        <v>19</v>
      </c>
      <c r="B168" s="3"/>
      <c r="C168" s="3"/>
      <c r="D168" s="3"/>
      <c r="E168" s="35">
        <f t="shared" si="109"/>
        <v>0</v>
      </c>
      <c r="F168" s="37"/>
      <c r="G168" s="37"/>
      <c r="H168" s="37"/>
      <c r="I168" s="35">
        <f t="shared" si="110"/>
        <v>0</v>
      </c>
      <c r="J168" s="37"/>
      <c r="K168" s="37"/>
      <c r="L168" s="37"/>
      <c r="M168" s="35">
        <f t="shared" si="111"/>
        <v>0</v>
      </c>
      <c r="N168" s="37"/>
      <c r="O168" s="37"/>
      <c r="P168" s="38"/>
      <c r="Q168" s="35">
        <f t="shared" si="112"/>
        <v>0</v>
      </c>
      <c r="R168" s="34">
        <f t="shared" si="113"/>
        <v>0</v>
      </c>
    </row>
    <row r="169" spans="1:18" ht="12.75" outlineLevel="3">
      <c r="A169" s="23" t="s">
        <v>20</v>
      </c>
      <c r="B169" s="3"/>
      <c r="C169" s="3"/>
      <c r="D169" s="3"/>
      <c r="E169" s="35">
        <f t="shared" si="109"/>
        <v>0</v>
      </c>
      <c r="F169" s="37"/>
      <c r="G169" s="37"/>
      <c r="H169" s="37"/>
      <c r="I169" s="35">
        <f t="shared" si="110"/>
        <v>0</v>
      </c>
      <c r="J169" s="37"/>
      <c r="K169" s="37"/>
      <c r="L169" s="37"/>
      <c r="M169" s="35">
        <f t="shared" si="111"/>
        <v>0</v>
      </c>
      <c r="N169" s="37"/>
      <c r="O169" s="37"/>
      <c r="P169" s="38"/>
      <c r="Q169" s="35">
        <f t="shared" si="112"/>
        <v>0</v>
      </c>
      <c r="R169" s="34">
        <f t="shared" si="113"/>
        <v>0</v>
      </c>
    </row>
    <row r="170" spans="1:18" ht="12.75" outlineLevel="3">
      <c r="A170" s="23" t="s">
        <v>21</v>
      </c>
      <c r="B170" s="3"/>
      <c r="C170" s="3"/>
      <c r="D170" s="3"/>
      <c r="E170" s="35">
        <f t="shared" si="109"/>
        <v>0</v>
      </c>
      <c r="F170" s="37"/>
      <c r="G170" s="37"/>
      <c r="H170" s="37"/>
      <c r="I170" s="35">
        <f t="shared" si="110"/>
        <v>0</v>
      </c>
      <c r="J170" s="37"/>
      <c r="K170" s="37"/>
      <c r="L170" s="37"/>
      <c r="M170" s="35">
        <f t="shared" si="111"/>
        <v>0</v>
      </c>
      <c r="N170" s="37"/>
      <c r="O170" s="37"/>
      <c r="P170" s="38"/>
      <c r="Q170" s="35">
        <f t="shared" si="112"/>
        <v>0</v>
      </c>
      <c r="R170" s="34">
        <f t="shared" si="113"/>
        <v>0</v>
      </c>
    </row>
    <row r="171" spans="1:18" ht="12.75" outlineLevel="3">
      <c r="A171" s="23" t="s">
        <v>22</v>
      </c>
      <c r="B171" s="3"/>
      <c r="C171" s="3"/>
      <c r="D171" s="3"/>
      <c r="E171" s="35">
        <f t="shared" si="109"/>
        <v>0</v>
      </c>
      <c r="F171" s="37"/>
      <c r="G171" s="37"/>
      <c r="H171" s="37"/>
      <c r="I171" s="35">
        <f t="shared" si="110"/>
        <v>0</v>
      </c>
      <c r="J171" s="37"/>
      <c r="K171" s="37"/>
      <c r="L171" s="37"/>
      <c r="M171" s="35">
        <f t="shared" si="111"/>
        <v>0</v>
      </c>
      <c r="N171" s="37"/>
      <c r="O171" s="37"/>
      <c r="P171" s="38"/>
      <c r="Q171" s="35">
        <f t="shared" si="112"/>
        <v>0</v>
      </c>
      <c r="R171" s="34">
        <f t="shared" si="113"/>
        <v>0</v>
      </c>
    </row>
    <row r="172" spans="1:18" ht="12.75" outlineLevel="2">
      <c r="A172" s="28" t="s">
        <v>50</v>
      </c>
      <c r="B172" s="43">
        <f aca="true" t="shared" si="114" ref="B172:Q172">SUM(B164:B171)</f>
        <v>0</v>
      </c>
      <c r="C172" s="43">
        <f t="shared" si="114"/>
        <v>0</v>
      </c>
      <c r="D172" s="43">
        <f t="shared" si="114"/>
        <v>0</v>
      </c>
      <c r="E172" s="42">
        <f t="shared" si="114"/>
        <v>0</v>
      </c>
      <c r="F172" s="43">
        <f t="shared" si="114"/>
        <v>0</v>
      </c>
      <c r="G172" s="43">
        <f t="shared" si="114"/>
        <v>0</v>
      </c>
      <c r="H172" s="43">
        <f t="shared" si="114"/>
        <v>0</v>
      </c>
      <c r="I172" s="42">
        <f t="shared" si="114"/>
        <v>0</v>
      </c>
      <c r="J172" s="43">
        <f t="shared" si="114"/>
        <v>0</v>
      </c>
      <c r="K172" s="43">
        <f t="shared" si="114"/>
        <v>0</v>
      </c>
      <c r="L172" s="43">
        <f t="shared" si="114"/>
        <v>0</v>
      </c>
      <c r="M172" s="42">
        <f t="shared" si="114"/>
        <v>0</v>
      </c>
      <c r="N172" s="43">
        <f t="shared" si="114"/>
        <v>0</v>
      </c>
      <c r="O172" s="43">
        <f t="shared" si="114"/>
        <v>0</v>
      </c>
      <c r="P172" s="43">
        <f t="shared" si="114"/>
        <v>0</v>
      </c>
      <c r="Q172" s="42">
        <f t="shared" si="114"/>
        <v>0</v>
      </c>
      <c r="R172" s="44">
        <f t="shared" si="113"/>
        <v>0</v>
      </c>
    </row>
    <row r="173" spans="1:18" ht="13.5" outlineLevel="1" thickBot="1">
      <c r="A173" s="22" t="s">
        <v>48</v>
      </c>
      <c r="B173" s="46">
        <f aca="true" t="shared" si="115" ref="B173:R173">B172+B163</f>
        <v>0</v>
      </c>
      <c r="C173" s="46">
        <f t="shared" si="115"/>
        <v>0</v>
      </c>
      <c r="D173" s="46">
        <f t="shared" si="115"/>
        <v>0</v>
      </c>
      <c r="E173" s="45">
        <f t="shared" si="115"/>
        <v>0</v>
      </c>
      <c r="F173" s="46">
        <f t="shared" si="115"/>
        <v>0</v>
      </c>
      <c r="G173" s="46">
        <f t="shared" si="115"/>
        <v>0</v>
      </c>
      <c r="H173" s="46">
        <f t="shared" si="115"/>
        <v>0</v>
      </c>
      <c r="I173" s="45">
        <f t="shared" si="115"/>
        <v>0</v>
      </c>
      <c r="J173" s="46">
        <f t="shared" si="115"/>
        <v>0</v>
      </c>
      <c r="K173" s="46">
        <f t="shared" si="115"/>
        <v>0</v>
      </c>
      <c r="L173" s="46">
        <f t="shared" si="115"/>
        <v>0</v>
      </c>
      <c r="M173" s="45">
        <f t="shared" si="115"/>
        <v>0</v>
      </c>
      <c r="N173" s="46">
        <f t="shared" si="115"/>
        <v>0</v>
      </c>
      <c r="O173" s="46">
        <f t="shared" si="115"/>
        <v>0</v>
      </c>
      <c r="P173" s="46">
        <f t="shared" si="115"/>
        <v>0</v>
      </c>
      <c r="Q173" s="45">
        <f t="shared" si="115"/>
        <v>0</v>
      </c>
      <c r="R173" s="47">
        <f t="shared" si="115"/>
        <v>0</v>
      </c>
    </row>
    <row r="174" spans="1:18" ht="13.5" outlineLevel="1" thickTop="1">
      <c r="A174" s="16" t="s">
        <v>35</v>
      </c>
      <c r="B174" s="17"/>
      <c r="C174" s="17"/>
      <c r="D174" s="17"/>
      <c r="E174" s="14"/>
      <c r="F174" s="17"/>
      <c r="G174" s="17"/>
      <c r="H174" s="17"/>
      <c r="I174" s="14"/>
      <c r="J174" s="17"/>
      <c r="K174" s="17"/>
      <c r="L174" s="17"/>
      <c r="M174" s="14"/>
      <c r="N174" s="17"/>
      <c r="O174" s="17"/>
      <c r="P174" s="17"/>
      <c r="Q174" s="14"/>
      <c r="R174" s="27"/>
    </row>
    <row r="175" spans="1:18" ht="12.75" outlineLevel="3">
      <c r="A175" s="19" t="s">
        <v>40</v>
      </c>
      <c r="B175" s="20"/>
      <c r="C175" s="20"/>
      <c r="D175" s="20"/>
      <c r="E175" s="12">
        <f aca="true" t="shared" si="116" ref="E175:E181">SUM(B175:D175)</f>
        <v>0</v>
      </c>
      <c r="F175" s="20"/>
      <c r="G175" s="20"/>
      <c r="H175" s="20"/>
      <c r="I175" s="12">
        <f aca="true" t="shared" si="117" ref="I175:I181">SUM(F175:H175)</f>
        <v>0</v>
      </c>
      <c r="J175" s="20"/>
      <c r="K175" s="20"/>
      <c r="L175" s="20"/>
      <c r="M175" s="12">
        <f aca="true" t="shared" si="118" ref="M175:M181">SUM(J175:L175)</f>
        <v>0</v>
      </c>
      <c r="N175" s="20"/>
      <c r="O175" s="20"/>
      <c r="P175" s="20"/>
      <c r="Q175" s="12">
        <f aca="true" t="shared" si="119" ref="Q175:Q181">SUM(N175:P175)</f>
        <v>0</v>
      </c>
      <c r="R175" s="21">
        <f aca="true" t="shared" si="120" ref="R175:R182">Q175+M175+I175+E175</f>
        <v>0</v>
      </c>
    </row>
    <row r="176" spans="1:18" ht="12.75" outlineLevel="3">
      <c r="A176" s="19" t="s">
        <v>41</v>
      </c>
      <c r="B176" s="20"/>
      <c r="C176" s="20"/>
      <c r="D176" s="20"/>
      <c r="E176" s="12">
        <f t="shared" si="116"/>
        <v>0</v>
      </c>
      <c r="F176" s="20"/>
      <c r="G176" s="20"/>
      <c r="H176" s="20"/>
      <c r="I176" s="12">
        <f t="shared" si="117"/>
        <v>0</v>
      </c>
      <c r="J176" s="20"/>
      <c r="K176" s="20"/>
      <c r="L176" s="20"/>
      <c r="M176" s="12">
        <f t="shared" si="118"/>
        <v>0</v>
      </c>
      <c r="N176" s="20"/>
      <c r="O176" s="20"/>
      <c r="P176" s="20"/>
      <c r="Q176" s="12">
        <f t="shared" si="119"/>
        <v>0</v>
      </c>
      <c r="R176" s="21">
        <f t="shared" si="120"/>
        <v>0</v>
      </c>
    </row>
    <row r="177" spans="1:18" ht="12.75" outlineLevel="3">
      <c r="A177" s="19" t="s">
        <v>42</v>
      </c>
      <c r="B177" s="20"/>
      <c r="C177" s="20"/>
      <c r="D177" s="20"/>
      <c r="E177" s="12">
        <f t="shared" si="116"/>
        <v>0</v>
      </c>
      <c r="F177" s="20"/>
      <c r="G177" s="20"/>
      <c r="H177" s="20"/>
      <c r="I177" s="12">
        <f t="shared" si="117"/>
        <v>0</v>
      </c>
      <c r="J177" s="20"/>
      <c r="K177" s="20"/>
      <c r="L177" s="20"/>
      <c r="M177" s="12">
        <f t="shared" si="118"/>
        <v>0</v>
      </c>
      <c r="N177" s="20"/>
      <c r="O177" s="20"/>
      <c r="P177" s="20"/>
      <c r="Q177" s="12">
        <f t="shared" si="119"/>
        <v>0</v>
      </c>
      <c r="R177" s="21">
        <f t="shared" si="120"/>
        <v>0</v>
      </c>
    </row>
    <row r="178" spans="1:18" ht="12.75" outlineLevel="3">
      <c r="A178" s="19" t="s">
        <v>43</v>
      </c>
      <c r="B178" s="20"/>
      <c r="C178" s="20"/>
      <c r="D178" s="20"/>
      <c r="E178" s="12">
        <f t="shared" si="116"/>
        <v>0</v>
      </c>
      <c r="F178" s="20"/>
      <c r="G178" s="20"/>
      <c r="H178" s="20"/>
      <c r="I178" s="12">
        <f t="shared" si="117"/>
        <v>0</v>
      </c>
      <c r="J178" s="20"/>
      <c r="K178" s="20"/>
      <c r="L178" s="20"/>
      <c r="M178" s="12">
        <f t="shared" si="118"/>
        <v>0</v>
      </c>
      <c r="N178" s="20"/>
      <c r="O178" s="20"/>
      <c r="P178" s="20"/>
      <c r="Q178" s="12">
        <f t="shared" si="119"/>
        <v>0</v>
      </c>
      <c r="R178" s="21">
        <f t="shared" si="120"/>
        <v>0</v>
      </c>
    </row>
    <row r="179" spans="1:18" ht="12.75" outlineLevel="3">
      <c r="A179" s="19" t="s">
        <v>44</v>
      </c>
      <c r="B179" s="20"/>
      <c r="C179" s="20"/>
      <c r="D179" s="20"/>
      <c r="E179" s="12">
        <f t="shared" si="116"/>
        <v>0</v>
      </c>
      <c r="F179" s="20"/>
      <c r="G179" s="20"/>
      <c r="H179" s="20"/>
      <c r="I179" s="12">
        <f t="shared" si="117"/>
        <v>0</v>
      </c>
      <c r="J179" s="20"/>
      <c r="K179" s="20"/>
      <c r="L179" s="20"/>
      <c r="M179" s="12">
        <f t="shared" si="118"/>
        <v>0</v>
      </c>
      <c r="N179" s="20"/>
      <c r="O179" s="20"/>
      <c r="P179" s="20"/>
      <c r="Q179" s="12">
        <f t="shared" si="119"/>
        <v>0</v>
      </c>
      <c r="R179" s="21">
        <f t="shared" si="120"/>
        <v>0</v>
      </c>
    </row>
    <row r="180" spans="1:18" ht="12.75" outlineLevel="3">
      <c r="A180" s="19" t="s">
        <v>45</v>
      </c>
      <c r="B180" s="20"/>
      <c r="C180" s="20"/>
      <c r="D180" s="20"/>
      <c r="E180" s="12">
        <f t="shared" si="116"/>
        <v>0</v>
      </c>
      <c r="F180" s="20"/>
      <c r="G180" s="20"/>
      <c r="H180" s="20"/>
      <c r="I180" s="12">
        <f t="shared" si="117"/>
        <v>0</v>
      </c>
      <c r="J180" s="20"/>
      <c r="K180" s="20"/>
      <c r="L180" s="20"/>
      <c r="M180" s="12">
        <f t="shared" si="118"/>
        <v>0</v>
      </c>
      <c r="N180" s="20"/>
      <c r="O180" s="20"/>
      <c r="P180" s="20"/>
      <c r="Q180" s="12">
        <f t="shared" si="119"/>
        <v>0</v>
      </c>
      <c r="R180" s="21">
        <f t="shared" si="120"/>
        <v>0</v>
      </c>
    </row>
    <row r="181" spans="1:18" ht="12.75" outlineLevel="3">
      <c r="A181" s="19" t="s">
        <v>46</v>
      </c>
      <c r="B181" s="20"/>
      <c r="C181" s="20"/>
      <c r="D181" s="20"/>
      <c r="E181" s="12">
        <f t="shared" si="116"/>
        <v>0</v>
      </c>
      <c r="F181" s="20"/>
      <c r="G181" s="20"/>
      <c r="H181" s="20"/>
      <c r="I181" s="12">
        <f t="shared" si="117"/>
        <v>0</v>
      </c>
      <c r="J181" s="20"/>
      <c r="K181" s="20"/>
      <c r="L181" s="20"/>
      <c r="M181" s="12">
        <f t="shared" si="118"/>
        <v>0</v>
      </c>
      <c r="N181" s="20"/>
      <c r="O181" s="20"/>
      <c r="P181" s="20"/>
      <c r="Q181" s="12">
        <f t="shared" si="119"/>
        <v>0</v>
      </c>
      <c r="R181" s="21">
        <f t="shared" si="120"/>
        <v>0</v>
      </c>
    </row>
    <row r="182" spans="1:18" ht="12.75" outlineLevel="2">
      <c r="A182" s="22" t="s">
        <v>47</v>
      </c>
      <c r="B182" s="33">
        <f aca="true" t="shared" si="121" ref="B182:Q182">SUM(B175:B181)</f>
        <v>0</v>
      </c>
      <c r="C182" s="33">
        <f t="shared" si="121"/>
        <v>0</v>
      </c>
      <c r="D182" s="33">
        <f t="shared" si="121"/>
        <v>0</v>
      </c>
      <c r="E182" s="32">
        <f t="shared" si="121"/>
        <v>0</v>
      </c>
      <c r="F182" s="33">
        <f t="shared" si="121"/>
        <v>0</v>
      </c>
      <c r="G182" s="33">
        <f t="shared" si="121"/>
        <v>0</v>
      </c>
      <c r="H182" s="33">
        <f t="shared" si="121"/>
        <v>0</v>
      </c>
      <c r="I182" s="32">
        <f t="shared" si="121"/>
        <v>0</v>
      </c>
      <c r="J182" s="33">
        <f t="shared" si="121"/>
        <v>0</v>
      </c>
      <c r="K182" s="33">
        <f t="shared" si="121"/>
        <v>0</v>
      </c>
      <c r="L182" s="33">
        <f t="shared" si="121"/>
        <v>0</v>
      </c>
      <c r="M182" s="32">
        <f t="shared" si="121"/>
        <v>0</v>
      </c>
      <c r="N182" s="33">
        <f t="shared" si="121"/>
        <v>0</v>
      </c>
      <c r="O182" s="33">
        <f t="shared" si="121"/>
        <v>0</v>
      </c>
      <c r="P182" s="33">
        <f t="shared" si="121"/>
        <v>0</v>
      </c>
      <c r="Q182" s="32">
        <f t="shared" si="121"/>
        <v>0</v>
      </c>
      <c r="R182" s="34">
        <f t="shared" si="120"/>
        <v>0</v>
      </c>
    </row>
    <row r="183" spans="1:18" ht="12.75" outlineLevel="3">
      <c r="A183" s="23" t="s">
        <v>15</v>
      </c>
      <c r="B183" s="3"/>
      <c r="C183" s="3"/>
      <c r="D183" s="3"/>
      <c r="E183" s="35">
        <f>SUM(B183:D183)</f>
        <v>0</v>
      </c>
      <c r="F183" s="37"/>
      <c r="G183" s="37"/>
      <c r="H183" s="37"/>
      <c r="I183" s="35">
        <f>SUM(F183:H183)</f>
        <v>0</v>
      </c>
      <c r="J183" s="37"/>
      <c r="K183" s="37"/>
      <c r="L183" s="37"/>
      <c r="M183" s="35">
        <f>SUM(J183:L183)</f>
        <v>0</v>
      </c>
      <c r="N183" s="37"/>
      <c r="O183" s="37"/>
      <c r="P183" s="38"/>
      <c r="Q183" s="35">
        <f>SUM(N183:P183)</f>
        <v>0</v>
      </c>
      <c r="R183" s="34">
        <f>Q183+M183+I183+E183</f>
        <v>0</v>
      </c>
    </row>
    <row r="184" spans="1:18" ht="12.75" outlineLevel="3">
      <c r="A184" s="23" t="s">
        <v>16</v>
      </c>
      <c r="B184" s="3"/>
      <c r="C184" s="3"/>
      <c r="D184" s="3"/>
      <c r="E184" s="35">
        <f aca="true" t="shared" si="122" ref="E184:E190">SUM(B184:D184)</f>
        <v>0</v>
      </c>
      <c r="F184" s="37"/>
      <c r="G184" s="37"/>
      <c r="H184" s="37"/>
      <c r="I184" s="35">
        <f aca="true" t="shared" si="123" ref="I184:I190">SUM(F184:H184)</f>
        <v>0</v>
      </c>
      <c r="J184" s="37"/>
      <c r="K184" s="37"/>
      <c r="L184" s="37"/>
      <c r="M184" s="35">
        <f aca="true" t="shared" si="124" ref="M184:M190">SUM(J184:L184)</f>
        <v>0</v>
      </c>
      <c r="N184" s="37"/>
      <c r="O184" s="37"/>
      <c r="P184" s="38"/>
      <c r="Q184" s="35">
        <f aca="true" t="shared" si="125" ref="Q184:Q190">SUM(N184:P184)</f>
        <v>0</v>
      </c>
      <c r="R184" s="34">
        <f aca="true" t="shared" si="126" ref="R184:R191">Q184+M184+I184+E184</f>
        <v>0</v>
      </c>
    </row>
    <row r="185" spans="1:18" ht="12.75" outlineLevel="3">
      <c r="A185" s="23" t="s">
        <v>17</v>
      </c>
      <c r="B185" s="3"/>
      <c r="C185" s="3"/>
      <c r="D185" s="3"/>
      <c r="E185" s="35">
        <f t="shared" si="122"/>
        <v>0</v>
      </c>
      <c r="F185" s="37"/>
      <c r="G185" s="37"/>
      <c r="H185" s="37"/>
      <c r="I185" s="35">
        <f t="shared" si="123"/>
        <v>0</v>
      </c>
      <c r="J185" s="37"/>
      <c r="K185" s="37"/>
      <c r="L185" s="37"/>
      <c r="M185" s="35">
        <f t="shared" si="124"/>
        <v>0</v>
      </c>
      <c r="N185" s="37"/>
      <c r="O185" s="37"/>
      <c r="P185" s="38"/>
      <c r="Q185" s="35">
        <f t="shared" si="125"/>
        <v>0</v>
      </c>
      <c r="R185" s="34">
        <f t="shared" si="126"/>
        <v>0</v>
      </c>
    </row>
    <row r="186" spans="1:18" ht="12.75" outlineLevel="3">
      <c r="A186" s="25" t="s">
        <v>18</v>
      </c>
      <c r="B186" s="3"/>
      <c r="C186" s="3"/>
      <c r="D186" s="3"/>
      <c r="E186" s="35">
        <f t="shared" si="122"/>
        <v>0</v>
      </c>
      <c r="F186" s="37"/>
      <c r="G186" s="37"/>
      <c r="H186" s="37"/>
      <c r="I186" s="35">
        <f t="shared" si="123"/>
        <v>0</v>
      </c>
      <c r="J186" s="37"/>
      <c r="K186" s="37"/>
      <c r="L186" s="37"/>
      <c r="M186" s="35">
        <f t="shared" si="124"/>
        <v>0</v>
      </c>
      <c r="N186" s="37"/>
      <c r="O186" s="37"/>
      <c r="P186" s="38"/>
      <c r="Q186" s="35">
        <f t="shared" si="125"/>
        <v>0</v>
      </c>
      <c r="R186" s="34">
        <f t="shared" si="126"/>
        <v>0</v>
      </c>
    </row>
    <row r="187" spans="1:18" ht="12.75" outlineLevel="3">
      <c r="A187" s="23" t="s">
        <v>19</v>
      </c>
      <c r="B187" s="3"/>
      <c r="C187" s="3"/>
      <c r="D187" s="3"/>
      <c r="E187" s="35">
        <f t="shared" si="122"/>
        <v>0</v>
      </c>
      <c r="F187" s="37"/>
      <c r="G187" s="37"/>
      <c r="H187" s="37"/>
      <c r="I187" s="35">
        <f t="shared" si="123"/>
        <v>0</v>
      </c>
      <c r="J187" s="37"/>
      <c r="K187" s="37"/>
      <c r="L187" s="37"/>
      <c r="M187" s="35">
        <f t="shared" si="124"/>
        <v>0</v>
      </c>
      <c r="N187" s="37"/>
      <c r="O187" s="37"/>
      <c r="P187" s="38"/>
      <c r="Q187" s="35">
        <f t="shared" si="125"/>
        <v>0</v>
      </c>
      <c r="R187" s="34">
        <f t="shared" si="126"/>
        <v>0</v>
      </c>
    </row>
    <row r="188" spans="1:18" ht="12.75" outlineLevel="3">
      <c r="A188" s="23" t="s">
        <v>20</v>
      </c>
      <c r="B188" s="3"/>
      <c r="C188" s="3"/>
      <c r="D188" s="3"/>
      <c r="E188" s="35">
        <f t="shared" si="122"/>
        <v>0</v>
      </c>
      <c r="F188" s="37"/>
      <c r="G188" s="37"/>
      <c r="H188" s="37"/>
      <c r="I188" s="35">
        <f t="shared" si="123"/>
        <v>0</v>
      </c>
      <c r="J188" s="37"/>
      <c r="K188" s="37"/>
      <c r="L188" s="37"/>
      <c r="M188" s="35">
        <f t="shared" si="124"/>
        <v>0</v>
      </c>
      <c r="N188" s="37"/>
      <c r="O188" s="37"/>
      <c r="P188" s="38"/>
      <c r="Q188" s="35">
        <f t="shared" si="125"/>
        <v>0</v>
      </c>
      <c r="R188" s="34">
        <f t="shared" si="126"/>
        <v>0</v>
      </c>
    </row>
    <row r="189" spans="1:18" ht="12.75" outlineLevel="3">
      <c r="A189" s="23" t="s">
        <v>21</v>
      </c>
      <c r="B189" s="3"/>
      <c r="C189" s="3"/>
      <c r="D189" s="3"/>
      <c r="E189" s="35">
        <f t="shared" si="122"/>
        <v>0</v>
      </c>
      <c r="F189" s="37"/>
      <c r="G189" s="37"/>
      <c r="H189" s="37"/>
      <c r="I189" s="35">
        <f t="shared" si="123"/>
        <v>0</v>
      </c>
      <c r="J189" s="37"/>
      <c r="K189" s="37"/>
      <c r="L189" s="37"/>
      <c r="M189" s="35">
        <f t="shared" si="124"/>
        <v>0</v>
      </c>
      <c r="N189" s="37"/>
      <c r="O189" s="37"/>
      <c r="P189" s="38"/>
      <c r="Q189" s="35">
        <f t="shared" si="125"/>
        <v>0</v>
      </c>
      <c r="R189" s="34">
        <f t="shared" si="126"/>
        <v>0</v>
      </c>
    </row>
    <row r="190" spans="1:18" ht="12.75" outlineLevel="3">
      <c r="A190" s="23" t="s">
        <v>22</v>
      </c>
      <c r="B190" s="3"/>
      <c r="C190" s="3"/>
      <c r="D190" s="3"/>
      <c r="E190" s="35">
        <f t="shared" si="122"/>
        <v>0</v>
      </c>
      <c r="F190" s="37"/>
      <c r="G190" s="37"/>
      <c r="H190" s="37"/>
      <c r="I190" s="35">
        <f t="shared" si="123"/>
        <v>0</v>
      </c>
      <c r="J190" s="37"/>
      <c r="K190" s="37"/>
      <c r="L190" s="37"/>
      <c r="M190" s="35">
        <f t="shared" si="124"/>
        <v>0</v>
      </c>
      <c r="N190" s="37"/>
      <c r="O190" s="37"/>
      <c r="P190" s="38"/>
      <c r="Q190" s="35">
        <f t="shared" si="125"/>
        <v>0</v>
      </c>
      <c r="R190" s="34">
        <f t="shared" si="126"/>
        <v>0</v>
      </c>
    </row>
    <row r="191" spans="1:18" ht="12.75" outlineLevel="2">
      <c r="A191" s="28" t="s">
        <v>50</v>
      </c>
      <c r="B191" s="43">
        <f aca="true" t="shared" si="127" ref="B191:Q191">SUM(B183:B190)</f>
        <v>0</v>
      </c>
      <c r="C191" s="43">
        <f t="shared" si="127"/>
        <v>0</v>
      </c>
      <c r="D191" s="43">
        <f t="shared" si="127"/>
        <v>0</v>
      </c>
      <c r="E191" s="42">
        <f t="shared" si="127"/>
        <v>0</v>
      </c>
      <c r="F191" s="43">
        <f t="shared" si="127"/>
        <v>0</v>
      </c>
      <c r="G191" s="43">
        <f t="shared" si="127"/>
        <v>0</v>
      </c>
      <c r="H191" s="43">
        <f t="shared" si="127"/>
        <v>0</v>
      </c>
      <c r="I191" s="42">
        <f t="shared" si="127"/>
        <v>0</v>
      </c>
      <c r="J191" s="43">
        <f t="shared" si="127"/>
        <v>0</v>
      </c>
      <c r="K191" s="43">
        <f t="shared" si="127"/>
        <v>0</v>
      </c>
      <c r="L191" s="43">
        <f t="shared" si="127"/>
        <v>0</v>
      </c>
      <c r="M191" s="42">
        <f t="shared" si="127"/>
        <v>0</v>
      </c>
      <c r="N191" s="43">
        <f t="shared" si="127"/>
        <v>0</v>
      </c>
      <c r="O191" s="43">
        <f t="shared" si="127"/>
        <v>0</v>
      </c>
      <c r="P191" s="43">
        <f t="shared" si="127"/>
        <v>0</v>
      </c>
      <c r="Q191" s="42">
        <f t="shared" si="127"/>
        <v>0</v>
      </c>
      <c r="R191" s="44">
        <f t="shared" si="126"/>
        <v>0</v>
      </c>
    </row>
    <row r="192" spans="1:18" ht="13.5" outlineLevel="1" thickBot="1">
      <c r="A192" s="22" t="s">
        <v>48</v>
      </c>
      <c r="B192" s="46">
        <f aca="true" t="shared" si="128" ref="B192:R192">B191+B182</f>
        <v>0</v>
      </c>
      <c r="C192" s="46">
        <f t="shared" si="128"/>
        <v>0</v>
      </c>
      <c r="D192" s="46">
        <f t="shared" si="128"/>
        <v>0</v>
      </c>
      <c r="E192" s="45">
        <f t="shared" si="128"/>
        <v>0</v>
      </c>
      <c r="F192" s="46">
        <f t="shared" si="128"/>
        <v>0</v>
      </c>
      <c r="G192" s="46">
        <f t="shared" si="128"/>
        <v>0</v>
      </c>
      <c r="H192" s="46">
        <f t="shared" si="128"/>
        <v>0</v>
      </c>
      <c r="I192" s="45">
        <f t="shared" si="128"/>
        <v>0</v>
      </c>
      <c r="J192" s="46">
        <f t="shared" si="128"/>
        <v>0</v>
      </c>
      <c r="K192" s="46">
        <f t="shared" si="128"/>
        <v>0</v>
      </c>
      <c r="L192" s="46">
        <f t="shared" si="128"/>
        <v>0</v>
      </c>
      <c r="M192" s="45">
        <f t="shared" si="128"/>
        <v>0</v>
      </c>
      <c r="N192" s="46">
        <f t="shared" si="128"/>
        <v>0</v>
      </c>
      <c r="O192" s="46">
        <f t="shared" si="128"/>
        <v>0</v>
      </c>
      <c r="P192" s="46">
        <f t="shared" si="128"/>
        <v>0</v>
      </c>
      <c r="Q192" s="45">
        <f t="shared" si="128"/>
        <v>0</v>
      </c>
      <c r="R192" s="47">
        <f t="shared" si="128"/>
        <v>0</v>
      </c>
    </row>
    <row r="193" spans="1:18" ht="13.5" outlineLevel="1" thickTop="1">
      <c r="A193" s="16" t="s">
        <v>36</v>
      </c>
      <c r="B193" s="17"/>
      <c r="C193" s="17"/>
      <c r="D193" s="17"/>
      <c r="E193" s="14"/>
      <c r="F193" s="17"/>
      <c r="G193" s="17"/>
      <c r="H193" s="17"/>
      <c r="I193" s="14"/>
      <c r="J193" s="17"/>
      <c r="K193" s="17"/>
      <c r="L193" s="17"/>
      <c r="M193" s="14"/>
      <c r="N193" s="17"/>
      <c r="O193" s="17"/>
      <c r="P193" s="17"/>
      <c r="Q193" s="14"/>
      <c r="R193" s="27"/>
    </row>
    <row r="194" spans="1:18" ht="12.75" outlineLevel="3">
      <c r="A194" s="19" t="s">
        <v>40</v>
      </c>
      <c r="B194" s="20"/>
      <c r="C194" s="20"/>
      <c r="D194" s="20"/>
      <c r="E194" s="12">
        <f aca="true" t="shared" si="129" ref="E194:E200">SUM(B194:D194)</f>
        <v>0</v>
      </c>
      <c r="F194" s="20"/>
      <c r="G194" s="20"/>
      <c r="H194" s="20"/>
      <c r="I194" s="12">
        <f aca="true" t="shared" si="130" ref="I194:I200">SUM(F194:H194)</f>
        <v>0</v>
      </c>
      <c r="J194" s="20"/>
      <c r="K194" s="20"/>
      <c r="L194" s="20"/>
      <c r="M194" s="12">
        <f aca="true" t="shared" si="131" ref="M194:M200">SUM(J194:L194)</f>
        <v>0</v>
      </c>
      <c r="N194" s="20"/>
      <c r="O194" s="20"/>
      <c r="P194" s="20"/>
      <c r="Q194" s="12">
        <f aca="true" t="shared" si="132" ref="Q194:Q200">SUM(N194:P194)</f>
        <v>0</v>
      </c>
      <c r="R194" s="21">
        <f aca="true" t="shared" si="133" ref="R194:R201">Q194+M194+I194+E194</f>
        <v>0</v>
      </c>
    </row>
    <row r="195" spans="1:18" ht="12.75" outlineLevel="3">
      <c r="A195" s="19" t="s">
        <v>41</v>
      </c>
      <c r="B195" s="20"/>
      <c r="C195" s="20"/>
      <c r="D195" s="20"/>
      <c r="E195" s="12">
        <f t="shared" si="129"/>
        <v>0</v>
      </c>
      <c r="F195" s="20"/>
      <c r="G195" s="20"/>
      <c r="H195" s="20"/>
      <c r="I195" s="12">
        <f t="shared" si="130"/>
        <v>0</v>
      </c>
      <c r="J195" s="20"/>
      <c r="K195" s="20"/>
      <c r="L195" s="20"/>
      <c r="M195" s="12">
        <f t="shared" si="131"/>
        <v>0</v>
      </c>
      <c r="N195" s="20"/>
      <c r="O195" s="20"/>
      <c r="P195" s="20"/>
      <c r="Q195" s="12">
        <f t="shared" si="132"/>
        <v>0</v>
      </c>
      <c r="R195" s="21">
        <f t="shared" si="133"/>
        <v>0</v>
      </c>
    </row>
    <row r="196" spans="1:18" ht="12.75" outlineLevel="3">
      <c r="A196" s="19" t="s">
        <v>42</v>
      </c>
      <c r="B196" s="20"/>
      <c r="C196" s="20"/>
      <c r="D196" s="20"/>
      <c r="E196" s="12">
        <f t="shared" si="129"/>
        <v>0</v>
      </c>
      <c r="F196" s="20"/>
      <c r="G196" s="20"/>
      <c r="H196" s="20"/>
      <c r="I196" s="12">
        <f t="shared" si="130"/>
        <v>0</v>
      </c>
      <c r="J196" s="20"/>
      <c r="K196" s="20"/>
      <c r="L196" s="20"/>
      <c r="M196" s="12">
        <f t="shared" si="131"/>
        <v>0</v>
      </c>
      <c r="N196" s="20"/>
      <c r="O196" s="20"/>
      <c r="P196" s="20"/>
      <c r="Q196" s="12">
        <f t="shared" si="132"/>
        <v>0</v>
      </c>
      <c r="R196" s="21">
        <f t="shared" si="133"/>
        <v>0</v>
      </c>
    </row>
    <row r="197" spans="1:18" ht="12.75" outlineLevel="3">
      <c r="A197" s="19" t="s">
        <v>43</v>
      </c>
      <c r="B197" s="20"/>
      <c r="C197" s="20"/>
      <c r="D197" s="20"/>
      <c r="E197" s="12">
        <f t="shared" si="129"/>
        <v>0</v>
      </c>
      <c r="F197" s="20"/>
      <c r="G197" s="20"/>
      <c r="H197" s="20"/>
      <c r="I197" s="12">
        <f t="shared" si="130"/>
        <v>0</v>
      </c>
      <c r="J197" s="20"/>
      <c r="K197" s="20"/>
      <c r="L197" s="20"/>
      <c r="M197" s="12">
        <f t="shared" si="131"/>
        <v>0</v>
      </c>
      <c r="N197" s="20"/>
      <c r="O197" s="20"/>
      <c r="P197" s="20"/>
      <c r="Q197" s="12">
        <f t="shared" si="132"/>
        <v>0</v>
      </c>
      <c r="R197" s="21">
        <f t="shared" si="133"/>
        <v>0</v>
      </c>
    </row>
    <row r="198" spans="1:18" ht="12.75" outlineLevel="3">
      <c r="A198" s="19" t="s">
        <v>44</v>
      </c>
      <c r="B198" s="20"/>
      <c r="C198" s="20"/>
      <c r="D198" s="20"/>
      <c r="E198" s="12">
        <f t="shared" si="129"/>
        <v>0</v>
      </c>
      <c r="F198" s="20"/>
      <c r="G198" s="20"/>
      <c r="H198" s="20"/>
      <c r="I198" s="12">
        <f t="shared" si="130"/>
        <v>0</v>
      </c>
      <c r="J198" s="20"/>
      <c r="K198" s="20"/>
      <c r="L198" s="20"/>
      <c r="M198" s="12">
        <f t="shared" si="131"/>
        <v>0</v>
      </c>
      <c r="N198" s="20"/>
      <c r="O198" s="20"/>
      <c r="P198" s="20"/>
      <c r="Q198" s="12">
        <f t="shared" si="132"/>
        <v>0</v>
      </c>
      <c r="R198" s="21">
        <f t="shared" si="133"/>
        <v>0</v>
      </c>
    </row>
    <row r="199" spans="1:18" ht="12.75" outlineLevel="3">
      <c r="A199" s="19" t="s">
        <v>45</v>
      </c>
      <c r="B199" s="20"/>
      <c r="C199" s="20"/>
      <c r="D199" s="20"/>
      <c r="E199" s="12">
        <f t="shared" si="129"/>
        <v>0</v>
      </c>
      <c r="F199" s="20"/>
      <c r="G199" s="20"/>
      <c r="H199" s="20"/>
      <c r="I199" s="12">
        <f t="shared" si="130"/>
        <v>0</v>
      </c>
      <c r="J199" s="20"/>
      <c r="K199" s="20"/>
      <c r="L199" s="20"/>
      <c r="M199" s="12">
        <f t="shared" si="131"/>
        <v>0</v>
      </c>
      <c r="N199" s="20"/>
      <c r="O199" s="20"/>
      <c r="P199" s="20"/>
      <c r="Q199" s="12">
        <f t="shared" si="132"/>
        <v>0</v>
      </c>
      <c r="R199" s="21">
        <f t="shared" si="133"/>
        <v>0</v>
      </c>
    </row>
    <row r="200" spans="1:18" ht="12.75" outlineLevel="3">
      <c r="A200" s="19" t="s">
        <v>46</v>
      </c>
      <c r="B200" s="20"/>
      <c r="C200" s="20"/>
      <c r="D200" s="20"/>
      <c r="E200" s="12">
        <f t="shared" si="129"/>
        <v>0</v>
      </c>
      <c r="F200" s="20"/>
      <c r="G200" s="20"/>
      <c r="H200" s="20"/>
      <c r="I200" s="12">
        <f t="shared" si="130"/>
        <v>0</v>
      </c>
      <c r="J200" s="20"/>
      <c r="K200" s="20"/>
      <c r="L200" s="20"/>
      <c r="M200" s="12">
        <f t="shared" si="131"/>
        <v>0</v>
      </c>
      <c r="N200" s="20"/>
      <c r="O200" s="20"/>
      <c r="P200" s="20"/>
      <c r="Q200" s="12">
        <f t="shared" si="132"/>
        <v>0</v>
      </c>
      <c r="R200" s="21">
        <f t="shared" si="133"/>
        <v>0</v>
      </c>
    </row>
    <row r="201" spans="1:18" ht="12.75" outlineLevel="2">
      <c r="A201" s="22" t="s">
        <v>47</v>
      </c>
      <c r="B201" s="33">
        <f aca="true" t="shared" si="134" ref="B201:Q201">SUM(B194:B200)</f>
        <v>0</v>
      </c>
      <c r="C201" s="33">
        <f t="shared" si="134"/>
        <v>0</v>
      </c>
      <c r="D201" s="33">
        <f t="shared" si="134"/>
        <v>0</v>
      </c>
      <c r="E201" s="32">
        <f t="shared" si="134"/>
        <v>0</v>
      </c>
      <c r="F201" s="33">
        <f t="shared" si="134"/>
        <v>0</v>
      </c>
      <c r="G201" s="33">
        <f t="shared" si="134"/>
        <v>0</v>
      </c>
      <c r="H201" s="33">
        <f t="shared" si="134"/>
        <v>0</v>
      </c>
      <c r="I201" s="32">
        <f t="shared" si="134"/>
        <v>0</v>
      </c>
      <c r="J201" s="33">
        <f t="shared" si="134"/>
        <v>0</v>
      </c>
      <c r="K201" s="33">
        <f t="shared" si="134"/>
        <v>0</v>
      </c>
      <c r="L201" s="33">
        <f t="shared" si="134"/>
        <v>0</v>
      </c>
      <c r="M201" s="32">
        <f t="shared" si="134"/>
        <v>0</v>
      </c>
      <c r="N201" s="33">
        <f t="shared" si="134"/>
        <v>0</v>
      </c>
      <c r="O201" s="33">
        <f t="shared" si="134"/>
        <v>0</v>
      </c>
      <c r="P201" s="33">
        <f t="shared" si="134"/>
        <v>0</v>
      </c>
      <c r="Q201" s="32">
        <f t="shared" si="134"/>
        <v>0</v>
      </c>
      <c r="R201" s="34">
        <f t="shared" si="133"/>
        <v>0</v>
      </c>
    </row>
    <row r="202" spans="1:18" ht="12.75" outlineLevel="3">
      <c r="A202" s="23" t="s">
        <v>15</v>
      </c>
      <c r="B202" s="3"/>
      <c r="C202" s="3"/>
      <c r="D202" s="3"/>
      <c r="E202" s="35">
        <f>SUM(B202:D202)</f>
        <v>0</v>
      </c>
      <c r="F202" s="37"/>
      <c r="G202" s="37"/>
      <c r="H202" s="37"/>
      <c r="I202" s="35">
        <f>SUM(F202:H202)</f>
        <v>0</v>
      </c>
      <c r="J202" s="37"/>
      <c r="K202" s="37"/>
      <c r="L202" s="37"/>
      <c r="M202" s="35">
        <f>SUM(J202:L202)</f>
        <v>0</v>
      </c>
      <c r="N202" s="37"/>
      <c r="O202" s="37"/>
      <c r="P202" s="38"/>
      <c r="Q202" s="35">
        <f>SUM(N202:P202)</f>
        <v>0</v>
      </c>
      <c r="R202" s="34">
        <f>Q202+M202+I202+E202</f>
        <v>0</v>
      </c>
    </row>
    <row r="203" spans="1:18" ht="12.75" outlineLevel="3">
      <c r="A203" s="23" t="s">
        <v>16</v>
      </c>
      <c r="B203" s="3"/>
      <c r="C203" s="3"/>
      <c r="D203" s="3"/>
      <c r="E203" s="35">
        <f aca="true" t="shared" si="135" ref="E203:E209">SUM(B203:D203)</f>
        <v>0</v>
      </c>
      <c r="F203" s="37"/>
      <c r="G203" s="37"/>
      <c r="H203" s="37"/>
      <c r="I203" s="35">
        <f aca="true" t="shared" si="136" ref="I203:I209">SUM(F203:H203)</f>
        <v>0</v>
      </c>
      <c r="J203" s="37"/>
      <c r="K203" s="37"/>
      <c r="L203" s="37"/>
      <c r="M203" s="35">
        <f aca="true" t="shared" si="137" ref="M203:M209">SUM(J203:L203)</f>
        <v>0</v>
      </c>
      <c r="N203" s="37"/>
      <c r="O203" s="37"/>
      <c r="P203" s="38"/>
      <c r="Q203" s="35">
        <f aca="true" t="shared" si="138" ref="Q203:Q209">SUM(N203:P203)</f>
        <v>0</v>
      </c>
      <c r="R203" s="34">
        <f aca="true" t="shared" si="139" ref="R203:R210">Q203+M203+I203+E203</f>
        <v>0</v>
      </c>
    </row>
    <row r="204" spans="1:18" ht="12.75" outlineLevel="3">
      <c r="A204" s="23" t="s">
        <v>17</v>
      </c>
      <c r="B204" s="3"/>
      <c r="C204" s="3"/>
      <c r="D204" s="3"/>
      <c r="E204" s="35">
        <f t="shared" si="135"/>
        <v>0</v>
      </c>
      <c r="F204" s="37"/>
      <c r="G204" s="37"/>
      <c r="H204" s="37"/>
      <c r="I204" s="35">
        <f t="shared" si="136"/>
        <v>0</v>
      </c>
      <c r="J204" s="37"/>
      <c r="K204" s="37"/>
      <c r="L204" s="37"/>
      <c r="M204" s="35">
        <f t="shared" si="137"/>
        <v>0</v>
      </c>
      <c r="N204" s="37"/>
      <c r="O204" s="37"/>
      <c r="P204" s="38"/>
      <c r="Q204" s="35">
        <f t="shared" si="138"/>
        <v>0</v>
      </c>
      <c r="R204" s="34">
        <f t="shared" si="139"/>
        <v>0</v>
      </c>
    </row>
    <row r="205" spans="1:18" ht="12.75" outlineLevel="3">
      <c r="A205" s="25" t="s">
        <v>18</v>
      </c>
      <c r="B205" s="3"/>
      <c r="C205" s="3"/>
      <c r="D205" s="3"/>
      <c r="E205" s="35">
        <f t="shared" si="135"/>
        <v>0</v>
      </c>
      <c r="F205" s="37"/>
      <c r="G205" s="37"/>
      <c r="H205" s="37"/>
      <c r="I205" s="35">
        <f t="shared" si="136"/>
        <v>0</v>
      </c>
      <c r="J205" s="37"/>
      <c r="K205" s="37"/>
      <c r="L205" s="37"/>
      <c r="M205" s="35">
        <f t="shared" si="137"/>
        <v>0</v>
      </c>
      <c r="N205" s="37"/>
      <c r="O205" s="37"/>
      <c r="P205" s="38"/>
      <c r="Q205" s="35">
        <f t="shared" si="138"/>
        <v>0</v>
      </c>
      <c r="R205" s="34">
        <f t="shared" si="139"/>
        <v>0</v>
      </c>
    </row>
    <row r="206" spans="1:18" ht="12.75" outlineLevel="3">
      <c r="A206" s="23" t="s">
        <v>19</v>
      </c>
      <c r="B206" s="3"/>
      <c r="C206" s="3"/>
      <c r="D206" s="3"/>
      <c r="E206" s="35">
        <f t="shared" si="135"/>
        <v>0</v>
      </c>
      <c r="F206" s="37"/>
      <c r="G206" s="37"/>
      <c r="H206" s="37"/>
      <c r="I206" s="35">
        <f t="shared" si="136"/>
        <v>0</v>
      </c>
      <c r="J206" s="37"/>
      <c r="K206" s="37"/>
      <c r="L206" s="37"/>
      <c r="M206" s="35">
        <f t="shared" si="137"/>
        <v>0</v>
      </c>
      <c r="N206" s="37"/>
      <c r="O206" s="37"/>
      <c r="P206" s="38"/>
      <c r="Q206" s="35">
        <f t="shared" si="138"/>
        <v>0</v>
      </c>
      <c r="R206" s="34">
        <f t="shared" si="139"/>
        <v>0</v>
      </c>
    </row>
    <row r="207" spans="1:18" ht="12.75" outlineLevel="3">
      <c r="A207" s="23" t="s">
        <v>20</v>
      </c>
      <c r="B207" s="3"/>
      <c r="C207" s="3"/>
      <c r="D207" s="3"/>
      <c r="E207" s="35">
        <f t="shared" si="135"/>
        <v>0</v>
      </c>
      <c r="F207" s="37"/>
      <c r="G207" s="37"/>
      <c r="H207" s="37"/>
      <c r="I207" s="35">
        <f t="shared" si="136"/>
        <v>0</v>
      </c>
      <c r="J207" s="37"/>
      <c r="K207" s="37"/>
      <c r="L207" s="37"/>
      <c r="M207" s="35">
        <f t="shared" si="137"/>
        <v>0</v>
      </c>
      <c r="N207" s="37"/>
      <c r="O207" s="37"/>
      <c r="P207" s="38"/>
      <c r="Q207" s="35">
        <f t="shared" si="138"/>
        <v>0</v>
      </c>
      <c r="R207" s="34">
        <f t="shared" si="139"/>
        <v>0</v>
      </c>
    </row>
    <row r="208" spans="1:18" ht="12.75" outlineLevel="3">
      <c r="A208" s="23" t="s">
        <v>21</v>
      </c>
      <c r="B208" s="3"/>
      <c r="C208" s="3"/>
      <c r="D208" s="3"/>
      <c r="E208" s="35">
        <f t="shared" si="135"/>
        <v>0</v>
      </c>
      <c r="F208" s="37"/>
      <c r="G208" s="37"/>
      <c r="H208" s="37"/>
      <c r="I208" s="35">
        <f t="shared" si="136"/>
        <v>0</v>
      </c>
      <c r="J208" s="37"/>
      <c r="K208" s="37"/>
      <c r="L208" s="37"/>
      <c r="M208" s="35">
        <f t="shared" si="137"/>
        <v>0</v>
      </c>
      <c r="N208" s="37"/>
      <c r="O208" s="37"/>
      <c r="P208" s="38"/>
      <c r="Q208" s="35">
        <f t="shared" si="138"/>
        <v>0</v>
      </c>
      <c r="R208" s="34">
        <f t="shared" si="139"/>
        <v>0</v>
      </c>
    </row>
    <row r="209" spans="1:18" ht="12.75" outlineLevel="3">
      <c r="A209" s="23" t="s">
        <v>22</v>
      </c>
      <c r="B209" s="3"/>
      <c r="C209" s="3"/>
      <c r="D209" s="3"/>
      <c r="E209" s="35">
        <f t="shared" si="135"/>
        <v>0</v>
      </c>
      <c r="F209" s="37"/>
      <c r="G209" s="37"/>
      <c r="H209" s="37"/>
      <c r="I209" s="35">
        <f t="shared" si="136"/>
        <v>0</v>
      </c>
      <c r="J209" s="37"/>
      <c r="K209" s="37"/>
      <c r="L209" s="37"/>
      <c r="M209" s="35">
        <f t="shared" si="137"/>
        <v>0</v>
      </c>
      <c r="N209" s="37"/>
      <c r="O209" s="37"/>
      <c r="P209" s="38"/>
      <c r="Q209" s="35">
        <f t="shared" si="138"/>
        <v>0</v>
      </c>
      <c r="R209" s="34">
        <f t="shared" si="139"/>
        <v>0</v>
      </c>
    </row>
    <row r="210" spans="1:18" ht="12.75" outlineLevel="2">
      <c r="A210" s="28" t="s">
        <v>50</v>
      </c>
      <c r="B210" s="43">
        <f aca="true" t="shared" si="140" ref="B210:Q210">SUM(B202:B209)</f>
        <v>0</v>
      </c>
      <c r="C210" s="43">
        <f t="shared" si="140"/>
        <v>0</v>
      </c>
      <c r="D210" s="43">
        <f t="shared" si="140"/>
        <v>0</v>
      </c>
      <c r="E210" s="42">
        <f t="shared" si="140"/>
        <v>0</v>
      </c>
      <c r="F210" s="43">
        <f t="shared" si="140"/>
        <v>0</v>
      </c>
      <c r="G210" s="43">
        <f t="shared" si="140"/>
        <v>0</v>
      </c>
      <c r="H210" s="43">
        <f t="shared" si="140"/>
        <v>0</v>
      </c>
      <c r="I210" s="42">
        <f t="shared" si="140"/>
        <v>0</v>
      </c>
      <c r="J210" s="43">
        <f t="shared" si="140"/>
        <v>0</v>
      </c>
      <c r="K210" s="43">
        <f t="shared" si="140"/>
        <v>0</v>
      </c>
      <c r="L210" s="43">
        <f t="shared" si="140"/>
        <v>0</v>
      </c>
      <c r="M210" s="42">
        <f t="shared" si="140"/>
        <v>0</v>
      </c>
      <c r="N210" s="43">
        <f t="shared" si="140"/>
        <v>0</v>
      </c>
      <c r="O210" s="43">
        <f t="shared" si="140"/>
        <v>0</v>
      </c>
      <c r="P210" s="43">
        <f t="shared" si="140"/>
        <v>0</v>
      </c>
      <c r="Q210" s="42">
        <f t="shared" si="140"/>
        <v>0</v>
      </c>
      <c r="R210" s="44">
        <f t="shared" si="139"/>
        <v>0</v>
      </c>
    </row>
    <row r="211" spans="1:18" ht="13.5" outlineLevel="1" thickBot="1">
      <c r="A211" s="26" t="s">
        <v>48</v>
      </c>
      <c r="B211" s="46">
        <f aca="true" t="shared" si="141" ref="B211:R211">B210+B201</f>
        <v>0</v>
      </c>
      <c r="C211" s="46">
        <f t="shared" si="141"/>
        <v>0</v>
      </c>
      <c r="D211" s="46">
        <f t="shared" si="141"/>
        <v>0</v>
      </c>
      <c r="E211" s="45">
        <f t="shared" si="141"/>
        <v>0</v>
      </c>
      <c r="F211" s="46">
        <f t="shared" si="141"/>
        <v>0</v>
      </c>
      <c r="G211" s="46">
        <f t="shared" si="141"/>
        <v>0</v>
      </c>
      <c r="H211" s="46">
        <f t="shared" si="141"/>
        <v>0</v>
      </c>
      <c r="I211" s="45">
        <f t="shared" si="141"/>
        <v>0</v>
      </c>
      <c r="J211" s="46">
        <f t="shared" si="141"/>
        <v>0</v>
      </c>
      <c r="K211" s="46">
        <f t="shared" si="141"/>
        <v>0</v>
      </c>
      <c r="L211" s="46">
        <f t="shared" si="141"/>
        <v>0</v>
      </c>
      <c r="M211" s="45">
        <f t="shared" si="141"/>
        <v>0</v>
      </c>
      <c r="N211" s="46">
        <f t="shared" si="141"/>
        <v>0</v>
      </c>
      <c r="O211" s="46">
        <f t="shared" si="141"/>
        <v>0</v>
      </c>
      <c r="P211" s="46">
        <f t="shared" si="141"/>
        <v>0</v>
      </c>
      <c r="Q211" s="45">
        <f t="shared" si="141"/>
        <v>0</v>
      </c>
      <c r="R211" s="47">
        <f t="shared" si="141"/>
        <v>0</v>
      </c>
    </row>
    <row r="212" spans="1:18" ht="13.5" outlineLevel="1" thickTop="1">
      <c r="A212" s="16" t="s">
        <v>37</v>
      </c>
      <c r="B212" s="17"/>
      <c r="C212" s="17"/>
      <c r="D212" s="17"/>
      <c r="E212" s="14"/>
      <c r="F212" s="17"/>
      <c r="G212" s="17"/>
      <c r="H212" s="17"/>
      <c r="I212" s="14"/>
      <c r="J212" s="17"/>
      <c r="K212" s="17"/>
      <c r="L212" s="17"/>
      <c r="M212" s="14"/>
      <c r="N212" s="17"/>
      <c r="O212" s="17"/>
      <c r="P212" s="17"/>
      <c r="Q212" s="14"/>
      <c r="R212" s="27"/>
    </row>
    <row r="213" spans="1:18" ht="12.75" outlineLevel="3">
      <c r="A213" s="19" t="s">
        <v>40</v>
      </c>
      <c r="B213" s="20"/>
      <c r="C213" s="20"/>
      <c r="D213" s="20"/>
      <c r="E213" s="12">
        <f aca="true" t="shared" si="142" ref="E213:E219">SUM(B213:D213)</f>
        <v>0</v>
      </c>
      <c r="F213" s="20"/>
      <c r="G213" s="20"/>
      <c r="H213" s="20"/>
      <c r="I213" s="12">
        <f aca="true" t="shared" si="143" ref="I213:I219">SUM(F213:H213)</f>
        <v>0</v>
      </c>
      <c r="J213" s="20"/>
      <c r="K213" s="20"/>
      <c r="L213" s="20"/>
      <c r="M213" s="12">
        <f aca="true" t="shared" si="144" ref="M213:M219">SUM(J213:L213)</f>
        <v>0</v>
      </c>
      <c r="N213" s="20"/>
      <c r="O213" s="20"/>
      <c r="P213" s="20"/>
      <c r="Q213" s="12">
        <f aca="true" t="shared" si="145" ref="Q213:Q219">SUM(N213:P213)</f>
        <v>0</v>
      </c>
      <c r="R213" s="21">
        <f aca="true" t="shared" si="146" ref="R213:R220">Q213+M213+I213+E213</f>
        <v>0</v>
      </c>
    </row>
    <row r="214" spans="1:18" ht="12.75" outlineLevel="3">
      <c r="A214" s="19" t="s">
        <v>41</v>
      </c>
      <c r="B214" s="20"/>
      <c r="C214" s="20"/>
      <c r="D214" s="20"/>
      <c r="E214" s="12">
        <f t="shared" si="142"/>
        <v>0</v>
      </c>
      <c r="F214" s="20"/>
      <c r="G214" s="20"/>
      <c r="H214" s="20"/>
      <c r="I214" s="12">
        <f t="shared" si="143"/>
        <v>0</v>
      </c>
      <c r="J214" s="20"/>
      <c r="K214" s="20"/>
      <c r="L214" s="20"/>
      <c r="M214" s="12">
        <f t="shared" si="144"/>
        <v>0</v>
      </c>
      <c r="N214" s="20"/>
      <c r="O214" s="20"/>
      <c r="P214" s="20"/>
      <c r="Q214" s="12">
        <f t="shared" si="145"/>
        <v>0</v>
      </c>
      <c r="R214" s="21">
        <f t="shared" si="146"/>
        <v>0</v>
      </c>
    </row>
    <row r="215" spans="1:18" ht="12.75" outlineLevel="3">
      <c r="A215" s="19" t="s">
        <v>42</v>
      </c>
      <c r="B215" s="20"/>
      <c r="C215" s="20"/>
      <c r="D215" s="20"/>
      <c r="E215" s="12">
        <f t="shared" si="142"/>
        <v>0</v>
      </c>
      <c r="F215" s="20"/>
      <c r="G215" s="20"/>
      <c r="H215" s="20"/>
      <c r="I215" s="12">
        <f t="shared" si="143"/>
        <v>0</v>
      </c>
      <c r="J215" s="20"/>
      <c r="K215" s="20"/>
      <c r="L215" s="20"/>
      <c r="M215" s="12">
        <f t="shared" si="144"/>
        <v>0</v>
      </c>
      <c r="N215" s="20"/>
      <c r="O215" s="20"/>
      <c r="P215" s="20"/>
      <c r="Q215" s="12">
        <f t="shared" si="145"/>
        <v>0</v>
      </c>
      <c r="R215" s="21">
        <f t="shared" si="146"/>
        <v>0</v>
      </c>
    </row>
    <row r="216" spans="1:18" ht="12.75" outlineLevel="3">
      <c r="A216" s="19" t="s">
        <v>43</v>
      </c>
      <c r="B216" s="20"/>
      <c r="C216" s="20"/>
      <c r="D216" s="20"/>
      <c r="E216" s="12">
        <f t="shared" si="142"/>
        <v>0</v>
      </c>
      <c r="F216" s="20"/>
      <c r="G216" s="20"/>
      <c r="H216" s="20"/>
      <c r="I216" s="12">
        <f t="shared" si="143"/>
        <v>0</v>
      </c>
      <c r="J216" s="20"/>
      <c r="K216" s="20"/>
      <c r="L216" s="20"/>
      <c r="M216" s="12">
        <f t="shared" si="144"/>
        <v>0</v>
      </c>
      <c r="N216" s="20"/>
      <c r="O216" s="20"/>
      <c r="P216" s="20"/>
      <c r="Q216" s="12">
        <f t="shared" si="145"/>
        <v>0</v>
      </c>
      <c r="R216" s="21">
        <f t="shared" si="146"/>
        <v>0</v>
      </c>
    </row>
    <row r="217" spans="1:18" ht="12.75" outlineLevel="3">
      <c r="A217" s="19" t="s">
        <v>44</v>
      </c>
      <c r="B217" s="20"/>
      <c r="C217" s="20"/>
      <c r="D217" s="20"/>
      <c r="E217" s="12">
        <f t="shared" si="142"/>
        <v>0</v>
      </c>
      <c r="F217" s="20"/>
      <c r="G217" s="20"/>
      <c r="H217" s="20"/>
      <c r="I217" s="12">
        <f t="shared" si="143"/>
        <v>0</v>
      </c>
      <c r="J217" s="20"/>
      <c r="K217" s="20"/>
      <c r="L217" s="20"/>
      <c r="M217" s="12">
        <f t="shared" si="144"/>
        <v>0</v>
      </c>
      <c r="N217" s="20"/>
      <c r="O217" s="20"/>
      <c r="P217" s="20"/>
      <c r="Q217" s="12">
        <f t="shared" si="145"/>
        <v>0</v>
      </c>
      <c r="R217" s="21">
        <f t="shared" si="146"/>
        <v>0</v>
      </c>
    </row>
    <row r="218" spans="1:18" ht="12.75" outlineLevel="3">
      <c r="A218" s="19" t="s">
        <v>45</v>
      </c>
      <c r="B218" s="20"/>
      <c r="C218" s="20"/>
      <c r="D218" s="20"/>
      <c r="E218" s="12">
        <f t="shared" si="142"/>
        <v>0</v>
      </c>
      <c r="F218" s="20"/>
      <c r="G218" s="20"/>
      <c r="H218" s="20"/>
      <c r="I218" s="12">
        <f t="shared" si="143"/>
        <v>0</v>
      </c>
      <c r="J218" s="20"/>
      <c r="K218" s="20"/>
      <c r="L218" s="20"/>
      <c r="M218" s="12">
        <f t="shared" si="144"/>
        <v>0</v>
      </c>
      <c r="N218" s="20"/>
      <c r="O218" s="20"/>
      <c r="P218" s="20"/>
      <c r="Q218" s="12">
        <f t="shared" si="145"/>
        <v>0</v>
      </c>
      <c r="R218" s="21">
        <f t="shared" si="146"/>
        <v>0</v>
      </c>
    </row>
    <row r="219" spans="1:18" ht="12.75" outlineLevel="3">
      <c r="A219" s="19" t="s">
        <v>46</v>
      </c>
      <c r="B219" s="20"/>
      <c r="C219" s="20"/>
      <c r="D219" s="20"/>
      <c r="E219" s="12">
        <f t="shared" si="142"/>
        <v>0</v>
      </c>
      <c r="F219" s="20"/>
      <c r="G219" s="20"/>
      <c r="H219" s="20"/>
      <c r="I219" s="12">
        <f t="shared" si="143"/>
        <v>0</v>
      </c>
      <c r="J219" s="20"/>
      <c r="K219" s="20"/>
      <c r="L219" s="20"/>
      <c r="M219" s="12">
        <f t="shared" si="144"/>
        <v>0</v>
      </c>
      <c r="N219" s="20"/>
      <c r="O219" s="20"/>
      <c r="P219" s="20"/>
      <c r="Q219" s="12">
        <f t="shared" si="145"/>
        <v>0</v>
      </c>
      <c r="R219" s="21">
        <f t="shared" si="146"/>
        <v>0</v>
      </c>
    </row>
    <row r="220" spans="1:18" ht="12.75" outlineLevel="2">
      <c r="A220" s="22" t="s">
        <v>47</v>
      </c>
      <c r="B220" s="33">
        <f aca="true" t="shared" si="147" ref="B220:Q220">SUM(B213:B219)</f>
        <v>0</v>
      </c>
      <c r="C220" s="33">
        <f t="shared" si="147"/>
        <v>0</v>
      </c>
      <c r="D220" s="33">
        <f t="shared" si="147"/>
        <v>0</v>
      </c>
      <c r="E220" s="32">
        <f t="shared" si="147"/>
        <v>0</v>
      </c>
      <c r="F220" s="33">
        <f t="shared" si="147"/>
        <v>0</v>
      </c>
      <c r="G220" s="33">
        <f t="shared" si="147"/>
        <v>0</v>
      </c>
      <c r="H220" s="33">
        <f t="shared" si="147"/>
        <v>0</v>
      </c>
      <c r="I220" s="32">
        <f t="shared" si="147"/>
        <v>0</v>
      </c>
      <c r="J220" s="33">
        <f t="shared" si="147"/>
        <v>0</v>
      </c>
      <c r="K220" s="33">
        <f t="shared" si="147"/>
        <v>0</v>
      </c>
      <c r="L220" s="33">
        <f t="shared" si="147"/>
        <v>0</v>
      </c>
      <c r="M220" s="32">
        <f t="shared" si="147"/>
        <v>0</v>
      </c>
      <c r="N220" s="33">
        <f t="shared" si="147"/>
        <v>0</v>
      </c>
      <c r="O220" s="33">
        <f t="shared" si="147"/>
        <v>0</v>
      </c>
      <c r="P220" s="33">
        <f t="shared" si="147"/>
        <v>0</v>
      </c>
      <c r="Q220" s="32">
        <f t="shared" si="147"/>
        <v>0</v>
      </c>
      <c r="R220" s="34">
        <f t="shared" si="146"/>
        <v>0</v>
      </c>
    </row>
    <row r="221" spans="1:18" ht="12.75" outlineLevel="3">
      <c r="A221" s="23" t="s">
        <v>15</v>
      </c>
      <c r="B221" s="3"/>
      <c r="C221" s="3"/>
      <c r="D221" s="3"/>
      <c r="E221" s="35">
        <f>SUM(B221:D221)</f>
        <v>0</v>
      </c>
      <c r="F221" s="37"/>
      <c r="G221" s="37"/>
      <c r="H221" s="37"/>
      <c r="I221" s="35">
        <f>SUM(F221:H221)</f>
        <v>0</v>
      </c>
      <c r="J221" s="37"/>
      <c r="K221" s="37"/>
      <c r="L221" s="37"/>
      <c r="M221" s="35">
        <f>SUM(J221:L221)</f>
        <v>0</v>
      </c>
      <c r="N221" s="37"/>
      <c r="O221" s="37"/>
      <c r="P221" s="38"/>
      <c r="Q221" s="35">
        <f>SUM(N221:P221)</f>
        <v>0</v>
      </c>
      <c r="R221" s="34">
        <f>Q221+M221+I221+E221</f>
        <v>0</v>
      </c>
    </row>
    <row r="222" spans="1:18" ht="12.75" outlineLevel="3">
      <c r="A222" s="23" t="s">
        <v>16</v>
      </c>
      <c r="B222" s="3"/>
      <c r="C222" s="3"/>
      <c r="D222" s="3"/>
      <c r="E222" s="35">
        <f aca="true" t="shared" si="148" ref="E222:E228">SUM(B222:D222)</f>
        <v>0</v>
      </c>
      <c r="F222" s="37"/>
      <c r="G222" s="37"/>
      <c r="H222" s="37"/>
      <c r="I222" s="35">
        <f aca="true" t="shared" si="149" ref="I222:I228">SUM(F222:H222)</f>
        <v>0</v>
      </c>
      <c r="J222" s="37"/>
      <c r="K222" s="37"/>
      <c r="L222" s="37"/>
      <c r="M222" s="35">
        <f aca="true" t="shared" si="150" ref="M222:M228">SUM(J222:L222)</f>
        <v>0</v>
      </c>
      <c r="N222" s="37"/>
      <c r="O222" s="37"/>
      <c r="P222" s="38"/>
      <c r="Q222" s="35">
        <f aca="true" t="shared" si="151" ref="Q222:Q228">SUM(N222:P222)</f>
        <v>0</v>
      </c>
      <c r="R222" s="34">
        <f aca="true" t="shared" si="152" ref="R222:R229">Q222+M222+I222+E222</f>
        <v>0</v>
      </c>
    </row>
    <row r="223" spans="1:18" ht="12.75" outlineLevel="3">
      <c r="A223" s="23" t="s">
        <v>17</v>
      </c>
      <c r="B223" s="3"/>
      <c r="C223" s="3"/>
      <c r="D223" s="3"/>
      <c r="E223" s="35">
        <f t="shared" si="148"/>
        <v>0</v>
      </c>
      <c r="F223" s="37"/>
      <c r="G223" s="37"/>
      <c r="H223" s="37"/>
      <c r="I223" s="35">
        <f t="shared" si="149"/>
        <v>0</v>
      </c>
      <c r="J223" s="37"/>
      <c r="K223" s="37"/>
      <c r="L223" s="37"/>
      <c r="M223" s="35">
        <f t="shared" si="150"/>
        <v>0</v>
      </c>
      <c r="N223" s="37"/>
      <c r="O223" s="37"/>
      <c r="P223" s="38"/>
      <c r="Q223" s="35">
        <f t="shared" si="151"/>
        <v>0</v>
      </c>
      <c r="R223" s="34">
        <f t="shared" si="152"/>
        <v>0</v>
      </c>
    </row>
    <row r="224" spans="1:18" ht="12.75" outlineLevel="3">
      <c r="A224" s="25" t="s">
        <v>18</v>
      </c>
      <c r="B224" s="3"/>
      <c r="C224" s="3"/>
      <c r="D224" s="3"/>
      <c r="E224" s="35">
        <f t="shared" si="148"/>
        <v>0</v>
      </c>
      <c r="F224" s="37"/>
      <c r="G224" s="37"/>
      <c r="H224" s="37"/>
      <c r="I224" s="35">
        <f t="shared" si="149"/>
        <v>0</v>
      </c>
      <c r="J224" s="37"/>
      <c r="K224" s="37"/>
      <c r="L224" s="37"/>
      <c r="M224" s="35">
        <f t="shared" si="150"/>
        <v>0</v>
      </c>
      <c r="N224" s="37"/>
      <c r="O224" s="37"/>
      <c r="P224" s="38"/>
      <c r="Q224" s="35">
        <f t="shared" si="151"/>
        <v>0</v>
      </c>
      <c r="R224" s="34">
        <f t="shared" si="152"/>
        <v>0</v>
      </c>
    </row>
    <row r="225" spans="1:18" ht="12.75" outlineLevel="3">
      <c r="A225" s="23" t="s">
        <v>19</v>
      </c>
      <c r="B225" s="3"/>
      <c r="C225" s="3"/>
      <c r="D225" s="3"/>
      <c r="E225" s="35">
        <f t="shared" si="148"/>
        <v>0</v>
      </c>
      <c r="F225" s="37"/>
      <c r="G225" s="37"/>
      <c r="H225" s="37"/>
      <c r="I225" s="35">
        <f t="shared" si="149"/>
        <v>0</v>
      </c>
      <c r="J225" s="37"/>
      <c r="K225" s="37"/>
      <c r="L225" s="37"/>
      <c r="M225" s="35">
        <f t="shared" si="150"/>
        <v>0</v>
      </c>
      <c r="N225" s="37"/>
      <c r="O225" s="37"/>
      <c r="P225" s="38"/>
      <c r="Q225" s="35">
        <f t="shared" si="151"/>
        <v>0</v>
      </c>
      <c r="R225" s="34">
        <f t="shared" si="152"/>
        <v>0</v>
      </c>
    </row>
    <row r="226" spans="1:18" ht="12.75" outlineLevel="3">
      <c r="A226" s="23" t="s">
        <v>20</v>
      </c>
      <c r="B226" s="3"/>
      <c r="C226" s="3"/>
      <c r="D226" s="3"/>
      <c r="E226" s="35">
        <f t="shared" si="148"/>
        <v>0</v>
      </c>
      <c r="F226" s="37"/>
      <c r="G226" s="37"/>
      <c r="H226" s="37"/>
      <c r="I226" s="35">
        <f t="shared" si="149"/>
        <v>0</v>
      </c>
      <c r="J226" s="37"/>
      <c r="K226" s="37"/>
      <c r="L226" s="37"/>
      <c r="M226" s="35">
        <f t="shared" si="150"/>
        <v>0</v>
      </c>
      <c r="N226" s="37"/>
      <c r="O226" s="37"/>
      <c r="P226" s="38"/>
      <c r="Q226" s="35">
        <f t="shared" si="151"/>
        <v>0</v>
      </c>
      <c r="R226" s="34">
        <f t="shared" si="152"/>
        <v>0</v>
      </c>
    </row>
    <row r="227" spans="1:18" ht="12.75" outlineLevel="3">
      <c r="A227" s="23" t="s">
        <v>21</v>
      </c>
      <c r="B227" s="3"/>
      <c r="C227" s="3"/>
      <c r="D227" s="3"/>
      <c r="E227" s="35">
        <f t="shared" si="148"/>
        <v>0</v>
      </c>
      <c r="F227" s="37"/>
      <c r="G227" s="37"/>
      <c r="H227" s="37"/>
      <c r="I227" s="35">
        <f t="shared" si="149"/>
        <v>0</v>
      </c>
      <c r="J227" s="37"/>
      <c r="K227" s="37"/>
      <c r="L227" s="37"/>
      <c r="M227" s="35">
        <f t="shared" si="150"/>
        <v>0</v>
      </c>
      <c r="N227" s="37"/>
      <c r="O227" s="37"/>
      <c r="P227" s="38"/>
      <c r="Q227" s="35">
        <f t="shared" si="151"/>
        <v>0</v>
      </c>
      <c r="R227" s="34">
        <f t="shared" si="152"/>
        <v>0</v>
      </c>
    </row>
    <row r="228" spans="1:18" ht="12.75" outlineLevel="3">
      <c r="A228" s="23" t="s">
        <v>22</v>
      </c>
      <c r="B228" s="3"/>
      <c r="C228" s="3"/>
      <c r="D228" s="3"/>
      <c r="E228" s="35">
        <f t="shared" si="148"/>
        <v>0</v>
      </c>
      <c r="F228" s="37"/>
      <c r="G228" s="37"/>
      <c r="H228" s="37"/>
      <c r="I228" s="35">
        <f t="shared" si="149"/>
        <v>0</v>
      </c>
      <c r="J228" s="37"/>
      <c r="K228" s="37"/>
      <c r="L228" s="37"/>
      <c r="M228" s="35">
        <f t="shared" si="150"/>
        <v>0</v>
      </c>
      <c r="N228" s="37"/>
      <c r="O228" s="37"/>
      <c r="P228" s="38"/>
      <c r="Q228" s="35">
        <f t="shared" si="151"/>
        <v>0</v>
      </c>
      <c r="R228" s="34">
        <f t="shared" si="152"/>
        <v>0</v>
      </c>
    </row>
    <row r="229" spans="1:18" ht="12.75" outlineLevel="2">
      <c r="A229" s="28" t="s">
        <v>50</v>
      </c>
      <c r="B229" s="43">
        <f aca="true" t="shared" si="153" ref="B229:Q229">SUM(B221:B228)</f>
        <v>0</v>
      </c>
      <c r="C229" s="43">
        <f t="shared" si="153"/>
        <v>0</v>
      </c>
      <c r="D229" s="43">
        <f t="shared" si="153"/>
        <v>0</v>
      </c>
      <c r="E229" s="42">
        <f t="shared" si="153"/>
        <v>0</v>
      </c>
      <c r="F229" s="43">
        <f t="shared" si="153"/>
        <v>0</v>
      </c>
      <c r="G229" s="43">
        <f t="shared" si="153"/>
        <v>0</v>
      </c>
      <c r="H229" s="43">
        <f t="shared" si="153"/>
        <v>0</v>
      </c>
      <c r="I229" s="42">
        <f t="shared" si="153"/>
        <v>0</v>
      </c>
      <c r="J229" s="43">
        <f t="shared" si="153"/>
        <v>0</v>
      </c>
      <c r="K229" s="43">
        <f t="shared" si="153"/>
        <v>0</v>
      </c>
      <c r="L229" s="43">
        <f t="shared" si="153"/>
        <v>0</v>
      </c>
      <c r="M229" s="42">
        <f t="shared" si="153"/>
        <v>0</v>
      </c>
      <c r="N229" s="43">
        <f t="shared" si="153"/>
        <v>0</v>
      </c>
      <c r="O229" s="43">
        <f t="shared" si="153"/>
        <v>0</v>
      </c>
      <c r="P229" s="43">
        <f t="shared" si="153"/>
        <v>0</v>
      </c>
      <c r="Q229" s="42">
        <f t="shared" si="153"/>
        <v>0</v>
      </c>
      <c r="R229" s="44">
        <f t="shared" si="152"/>
        <v>0</v>
      </c>
    </row>
    <row r="230" spans="1:18" ht="13.5" outlineLevel="1" thickBot="1">
      <c r="A230" s="26" t="s">
        <v>48</v>
      </c>
      <c r="B230" s="46">
        <f aca="true" t="shared" si="154" ref="B230:R230">B229+B220</f>
        <v>0</v>
      </c>
      <c r="C230" s="46">
        <f t="shared" si="154"/>
        <v>0</v>
      </c>
      <c r="D230" s="46">
        <f t="shared" si="154"/>
        <v>0</v>
      </c>
      <c r="E230" s="45">
        <f t="shared" si="154"/>
        <v>0</v>
      </c>
      <c r="F230" s="46">
        <f t="shared" si="154"/>
        <v>0</v>
      </c>
      <c r="G230" s="46">
        <f t="shared" si="154"/>
        <v>0</v>
      </c>
      <c r="H230" s="46">
        <f t="shared" si="154"/>
        <v>0</v>
      </c>
      <c r="I230" s="45">
        <f t="shared" si="154"/>
        <v>0</v>
      </c>
      <c r="J230" s="46">
        <f t="shared" si="154"/>
        <v>0</v>
      </c>
      <c r="K230" s="46">
        <f t="shared" si="154"/>
        <v>0</v>
      </c>
      <c r="L230" s="46">
        <f t="shared" si="154"/>
        <v>0</v>
      </c>
      <c r="M230" s="45">
        <f t="shared" si="154"/>
        <v>0</v>
      </c>
      <c r="N230" s="46">
        <f t="shared" si="154"/>
        <v>0</v>
      </c>
      <c r="O230" s="46">
        <f t="shared" si="154"/>
        <v>0</v>
      </c>
      <c r="P230" s="46">
        <f t="shared" si="154"/>
        <v>0</v>
      </c>
      <c r="Q230" s="45">
        <f t="shared" si="154"/>
        <v>0</v>
      </c>
      <c r="R230" s="47">
        <f t="shared" si="154"/>
        <v>0</v>
      </c>
    </row>
    <row r="231" spans="1:18" ht="13.5" thickTop="1">
      <c r="A231" s="16" t="s">
        <v>38</v>
      </c>
      <c r="B231" s="17"/>
      <c r="C231" s="17"/>
      <c r="D231" s="17"/>
      <c r="E231" s="14"/>
      <c r="F231" s="17"/>
      <c r="G231" s="17"/>
      <c r="H231" s="17"/>
      <c r="I231" s="14"/>
      <c r="J231" s="17"/>
      <c r="K231" s="17"/>
      <c r="L231" s="17"/>
      <c r="M231" s="14"/>
      <c r="N231" s="17"/>
      <c r="O231" s="17"/>
      <c r="P231" s="17"/>
      <c r="Q231" s="14"/>
      <c r="R231" s="27"/>
    </row>
    <row r="232" spans="1:18" ht="12.75" outlineLevel="1">
      <c r="A232" s="19" t="s">
        <v>40</v>
      </c>
      <c r="B232" s="3">
        <f aca="true" t="shared" si="155" ref="B232:C237">B213+B194+B175+B156+B137+B118+B99+B80+B61+B42+B23+B4</f>
        <v>0</v>
      </c>
      <c r="C232" s="3">
        <f t="shared" si="155"/>
        <v>0</v>
      </c>
      <c r="D232" s="3">
        <f aca="true" t="shared" si="156" ref="D232:D238">D213+D194+D175+D156+D137+D118+D99+D80+D61+D42+D23+D4</f>
        <v>0</v>
      </c>
      <c r="E232" s="12">
        <f aca="true" t="shared" si="157" ref="E232:E238">SUM(B232:D232)</f>
        <v>0</v>
      </c>
      <c r="F232" s="3">
        <f aca="true" t="shared" si="158" ref="F232:H238">F213+F194+F175+F156+F137+F118+F99+F80+F61+F42+F23+F4</f>
        <v>0</v>
      </c>
      <c r="G232" s="3">
        <f t="shared" si="158"/>
        <v>0</v>
      </c>
      <c r="H232" s="3">
        <f t="shared" si="158"/>
        <v>0</v>
      </c>
      <c r="I232" s="12">
        <f aca="true" t="shared" si="159" ref="I232:I238">SUM(F232:H232)</f>
        <v>0</v>
      </c>
      <c r="J232" s="3">
        <f aca="true" t="shared" si="160" ref="J232:L238">J213+J194+J175+J156+J137+J118+J99+J80+J61+J42+J23+J4</f>
        <v>0</v>
      </c>
      <c r="K232" s="3">
        <f t="shared" si="160"/>
        <v>0</v>
      </c>
      <c r="L232" s="3">
        <f t="shared" si="160"/>
        <v>0</v>
      </c>
      <c r="M232" s="12">
        <f aca="true" t="shared" si="161" ref="M232:M238">SUM(J232:L232)</f>
        <v>0</v>
      </c>
      <c r="N232" s="3">
        <f aca="true" t="shared" si="162" ref="N232:P238">N213+N194+N175+N156+N137+N118+N99+N80+N61+N42+N23+N4</f>
        <v>0</v>
      </c>
      <c r="O232" s="3">
        <f t="shared" si="162"/>
        <v>0</v>
      </c>
      <c r="P232" s="3">
        <f t="shared" si="162"/>
        <v>0</v>
      </c>
      <c r="Q232" s="12">
        <f aca="true" t="shared" si="163" ref="Q232:Q238">SUM(N232:P232)</f>
        <v>0</v>
      </c>
      <c r="R232" s="21">
        <f aca="true" t="shared" si="164" ref="R232:R239">Q232+M232+I232+E232</f>
        <v>0</v>
      </c>
    </row>
    <row r="233" spans="1:18" ht="12.75" outlineLevel="1">
      <c r="A233" s="19" t="s">
        <v>41</v>
      </c>
      <c r="B233" s="3">
        <f t="shared" si="155"/>
        <v>0</v>
      </c>
      <c r="C233" s="3">
        <f t="shared" si="155"/>
        <v>0</v>
      </c>
      <c r="D233" s="3">
        <f t="shared" si="156"/>
        <v>0</v>
      </c>
      <c r="E233" s="12">
        <f t="shared" si="157"/>
        <v>0</v>
      </c>
      <c r="F233" s="3">
        <f t="shared" si="158"/>
        <v>0</v>
      </c>
      <c r="G233" s="3">
        <f t="shared" si="158"/>
        <v>0</v>
      </c>
      <c r="H233" s="3">
        <f t="shared" si="158"/>
        <v>-10.8</v>
      </c>
      <c r="I233" s="12">
        <f t="shared" si="159"/>
        <v>-10.8</v>
      </c>
      <c r="J233" s="3">
        <f t="shared" si="160"/>
        <v>0</v>
      </c>
      <c r="K233" s="3">
        <f t="shared" si="160"/>
        <v>1391.8</v>
      </c>
      <c r="L233" s="3">
        <f t="shared" si="160"/>
        <v>0</v>
      </c>
      <c r="M233" s="12">
        <f t="shared" si="161"/>
        <v>1391.8</v>
      </c>
      <c r="N233" s="3">
        <f t="shared" si="162"/>
        <v>0</v>
      </c>
      <c r="O233" s="3">
        <f t="shared" si="162"/>
        <v>0</v>
      </c>
      <c r="P233" s="3">
        <f t="shared" si="162"/>
        <v>0</v>
      </c>
      <c r="Q233" s="12">
        <f t="shared" si="163"/>
        <v>0</v>
      </c>
      <c r="R233" s="21">
        <f t="shared" si="164"/>
        <v>1381</v>
      </c>
    </row>
    <row r="234" spans="1:18" ht="12.75" outlineLevel="1">
      <c r="A234" s="19" t="s">
        <v>42</v>
      </c>
      <c r="B234" s="3">
        <f t="shared" si="155"/>
        <v>1768.8</v>
      </c>
      <c r="C234" s="3">
        <f t="shared" si="155"/>
        <v>0</v>
      </c>
      <c r="D234" s="3">
        <f t="shared" si="156"/>
        <v>0</v>
      </c>
      <c r="E234" s="12">
        <f t="shared" si="157"/>
        <v>1768.8</v>
      </c>
      <c r="F234" s="3">
        <f t="shared" si="158"/>
        <v>0</v>
      </c>
      <c r="G234" s="3">
        <f t="shared" si="158"/>
        <v>0</v>
      </c>
      <c r="H234" s="3">
        <f t="shared" si="158"/>
        <v>-629</v>
      </c>
      <c r="I234" s="12">
        <f t="shared" si="159"/>
        <v>-629</v>
      </c>
      <c r="J234" s="3">
        <f t="shared" si="160"/>
        <v>0</v>
      </c>
      <c r="K234" s="3">
        <f t="shared" si="160"/>
        <v>230</v>
      </c>
      <c r="L234" s="3">
        <f t="shared" si="160"/>
        <v>0</v>
      </c>
      <c r="M234" s="12">
        <f t="shared" si="161"/>
        <v>230</v>
      </c>
      <c r="N234" s="3">
        <f t="shared" si="162"/>
        <v>0</v>
      </c>
      <c r="O234" s="3">
        <f t="shared" si="162"/>
        <v>0</v>
      </c>
      <c r="P234" s="3">
        <f t="shared" si="162"/>
        <v>0</v>
      </c>
      <c r="Q234" s="12">
        <f t="shared" si="163"/>
        <v>0</v>
      </c>
      <c r="R234" s="21">
        <f t="shared" si="164"/>
        <v>1369.8</v>
      </c>
    </row>
    <row r="235" spans="1:18" ht="12.75" outlineLevel="1">
      <c r="A235" s="19" t="s">
        <v>43</v>
      </c>
      <c r="B235" s="3">
        <f t="shared" si="155"/>
        <v>0</v>
      </c>
      <c r="C235" s="3">
        <f t="shared" si="155"/>
        <v>0</v>
      </c>
      <c r="D235" s="3">
        <f t="shared" si="156"/>
        <v>0</v>
      </c>
      <c r="E235" s="12">
        <f t="shared" si="157"/>
        <v>0</v>
      </c>
      <c r="F235" s="3">
        <f t="shared" si="158"/>
        <v>0</v>
      </c>
      <c r="G235" s="3">
        <f t="shared" si="158"/>
        <v>398.89</v>
      </c>
      <c r="H235" s="3">
        <f t="shared" si="158"/>
        <v>0</v>
      </c>
      <c r="I235" s="12">
        <f t="shared" si="159"/>
        <v>398.89</v>
      </c>
      <c r="J235" s="3">
        <f t="shared" si="160"/>
        <v>7511.110000000001</v>
      </c>
      <c r="K235" s="3">
        <f t="shared" si="160"/>
        <v>0</v>
      </c>
      <c r="L235" s="3">
        <f t="shared" si="160"/>
        <v>0</v>
      </c>
      <c r="M235" s="12">
        <f t="shared" si="161"/>
        <v>7511.110000000001</v>
      </c>
      <c r="N235" s="3">
        <f t="shared" si="162"/>
        <v>0</v>
      </c>
      <c r="O235" s="3">
        <f t="shared" si="162"/>
        <v>0</v>
      </c>
      <c r="P235" s="3">
        <f t="shared" si="162"/>
        <v>0</v>
      </c>
      <c r="Q235" s="12">
        <f t="shared" si="163"/>
        <v>0</v>
      </c>
      <c r="R235" s="21">
        <f t="shared" si="164"/>
        <v>7910.000000000001</v>
      </c>
    </row>
    <row r="236" spans="1:18" ht="12.75" outlineLevel="1">
      <c r="A236" s="19" t="s">
        <v>44</v>
      </c>
      <c r="B236" s="3">
        <f t="shared" si="155"/>
        <v>0</v>
      </c>
      <c r="C236" s="3">
        <f t="shared" si="155"/>
        <v>0</v>
      </c>
      <c r="D236" s="3">
        <f t="shared" si="156"/>
        <v>0</v>
      </c>
      <c r="E236" s="12">
        <f t="shared" si="157"/>
        <v>0</v>
      </c>
      <c r="F236" s="3">
        <f t="shared" si="158"/>
        <v>0</v>
      </c>
      <c r="G236" s="3">
        <f t="shared" si="158"/>
        <v>0</v>
      </c>
      <c r="H236" s="3">
        <f t="shared" si="158"/>
        <v>0</v>
      </c>
      <c r="I236" s="12">
        <f t="shared" si="159"/>
        <v>0</v>
      </c>
      <c r="J236" s="3">
        <f t="shared" si="160"/>
        <v>0</v>
      </c>
      <c r="K236" s="3">
        <f t="shared" si="160"/>
        <v>0</v>
      </c>
      <c r="L236" s="3">
        <f t="shared" si="160"/>
        <v>0</v>
      </c>
      <c r="M236" s="12">
        <f t="shared" si="161"/>
        <v>0</v>
      </c>
      <c r="N236" s="3">
        <f t="shared" si="162"/>
        <v>0</v>
      </c>
      <c r="O236" s="3">
        <f t="shared" si="162"/>
        <v>0</v>
      </c>
      <c r="P236" s="3">
        <f t="shared" si="162"/>
        <v>0</v>
      </c>
      <c r="Q236" s="12">
        <f t="shared" si="163"/>
        <v>0</v>
      </c>
      <c r="R236" s="21">
        <f t="shared" si="164"/>
        <v>0</v>
      </c>
    </row>
    <row r="237" spans="1:18" ht="12.75" outlineLevel="1">
      <c r="A237" s="19" t="s">
        <v>45</v>
      </c>
      <c r="B237" s="3">
        <f t="shared" si="155"/>
        <v>0</v>
      </c>
      <c r="C237" s="3">
        <f t="shared" si="155"/>
        <v>667.29</v>
      </c>
      <c r="D237" s="3">
        <f t="shared" si="156"/>
        <v>0</v>
      </c>
      <c r="E237" s="12">
        <f t="shared" si="157"/>
        <v>667.29</v>
      </c>
      <c r="F237" s="3">
        <f t="shared" si="158"/>
        <v>0</v>
      </c>
      <c r="G237" s="3">
        <f t="shared" si="158"/>
        <v>2000</v>
      </c>
      <c r="H237" s="3">
        <f t="shared" si="158"/>
        <v>0</v>
      </c>
      <c r="I237" s="12">
        <f t="shared" si="159"/>
        <v>2000</v>
      </c>
      <c r="J237" s="3">
        <f t="shared" si="160"/>
        <v>0</v>
      </c>
      <c r="K237" s="3">
        <f t="shared" si="160"/>
        <v>0</v>
      </c>
      <c r="L237" s="3">
        <f t="shared" si="160"/>
        <v>2617</v>
      </c>
      <c r="M237" s="12">
        <f t="shared" si="161"/>
        <v>2617</v>
      </c>
      <c r="N237" s="3">
        <f t="shared" si="162"/>
        <v>0</v>
      </c>
      <c r="O237" s="3">
        <f t="shared" si="162"/>
        <v>0</v>
      </c>
      <c r="P237" s="3">
        <f t="shared" si="162"/>
        <v>0</v>
      </c>
      <c r="Q237" s="12">
        <f t="shared" si="163"/>
        <v>0</v>
      </c>
      <c r="R237" s="21">
        <f t="shared" si="164"/>
        <v>5284.29</v>
      </c>
    </row>
    <row r="238" spans="1:18" ht="12.75" outlineLevel="1">
      <c r="A238" s="19" t="s">
        <v>46</v>
      </c>
      <c r="B238" s="3">
        <f>B219+B200+B181+B162+B143+B124+B105+B86+B67+B48+B29+B10</f>
        <v>0</v>
      </c>
      <c r="C238" s="3">
        <f>C219+C200+C181+C162+C143+C124+C105+C86+C67+C48+C29+C10</f>
        <v>0</v>
      </c>
      <c r="D238" s="3">
        <f t="shared" si="156"/>
        <v>0</v>
      </c>
      <c r="E238" s="12">
        <f t="shared" si="157"/>
        <v>0</v>
      </c>
      <c r="F238" s="3">
        <f t="shared" si="158"/>
        <v>0</v>
      </c>
      <c r="G238" s="3">
        <f t="shared" si="158"/>
        <v>0</v>
      </c>
      <c r="H238" s="3">
        <f t="shared" si="158"/>
        <v>0</v>
      </c>
      <c r="I238" s="12">
        <f t="shared" si="159"/>
        <v>0</v>
      </c>
      <c r="J238" s="3">
        <f t="shared" si="160"/>
        <v>0</v>
      </c>
      <c r="K238" s="3">
        <f t="shared" si="160"/>
        <v>0</v>
      </c>
      <c r="L238" s="3">
        <f t="shared" si="160"/>
        <v>0</v>
      </c>
      <c r="M238" s="12">
        <f t="shared" si="161"/>
        <v>0</v>
      </c>
      <c r="N238" s="3">
        <f t="shared" si="162"/>
        <v>0</v>
      </c>
      <c r="O238" s="3">
        <f t="shared" si="162"/>
        <v>0</v>
      </c>
      <c r="P238" s="3">
        <f t="shared" si="162"/>
        <v>0</v>
      </c>
      <c r="Q238" s="12">
        <f t="shared" si="163"/>
        <v>0</v>
      </c>
      <c r="R238" s="21">
        <f t="shared" si="164"/>
        <v>0</v>
      </c>
    </row>
    <row r="239" spans="1:18" ht="12.75" outlineLevel="1" collapsed="1">
      <c r="A239" s="22" t="s">
        <v>47</v>
      </c>
      <c r="B239" s="33">
        <f aca="true" t="shared" si="165" ref="B239:Q239">SUM(B232:B238)</f>
        <v>1768.8</v>
      </c>
      <c r="C239" s="33">
        <f t="shared" si="165"/>
        <v>667.29</v>
      </c>
      <c r="D239" s="33">
        <f t="shared" si="165"/>
        <v>0</v>
      </c>
      <c r="E239" s="42">
        <f t="shared" si="165"/>
        <v>2436.09</v>
      </c>
      <c r="F239" s="43">
        <f t="shared" si="165"/>
        <v>0</v>
      </c>
      <c r="G239" s="43">
        <f t="shared" si="165"/>
        <v>2398.89</v>
      </c>
      <c r="H239" s="43">
        <f t="shared" si="165"/>
        <v>-639.8</v>
      </c>
      <c r="I239" s="42">
        <f t="shared" si="165"/>
        <v>1759.0900000000001</v>
      </c>
      <c r="J239" s="43">
        <f t="shared" si="165"/>
        <v>7511.110000000001</v>
      </c>
      <c r="K239" s="43">
        <f t="shared" si="165"/>
        <v>1621.8</v>
      </c>
      <c r="L239" s="43">
        <f t="shared" si="165"/>
        <v>2617</v>
      </c>
      <c r="M239" s="42">
        <f t="shared" si="165"/>
        <v>11749.91</v>
      </c>
      <c r="N239" s="33">
        <f t="shared" si="165"/>
        <v>0</v>
      </c>
      <c r="O239" s="33">
        <f t="shared" si="165"/>
        <v>0</v>
      </c>
      <c r="P239" s="33">
        <f t="shared" si="165"/>
        <v>0</v>
      </c>
      <c r="Q239" s="32">
        <f t="shared" si="165"/>
        <v>0</v>
      </c>
      <c r="R239" s="21">
        <f t="shared" si="164"/>
        <v>15945.09</v>
      </c>
    </row>
    <row r="240" spans="1:18" ht="12.75" outlineLevel="2">
      <c r="A240" s="23" t="s">
        <v>15</v>
      </c>
      <c r="B240" s="3">
        <f aca="true" t="shared" si="166" ref="B240:R240">B221+B202+B183+B164+B145+B126+B107+B88+B69+B50+B31+B12</f>
        <v>6511.320000000001</v>
      </c>
      <c r="C240" s="3">
        <f t="shared" si="166"/>
        <v>6513.48</v>
      </c>
      <c r="D240" s="3">
        <f t="shared" si="166"/>
        <v>6516.12</v>
      </c>
      <c r="E240" s="13">
        <f t="shared" si="166"/>
        <v>19540.92</v>
      </c>
      <c r="F240" s="3">
        <f t="shared" si="166"/>
        <v>6466.92</v>
      </c>
      <c r="G240" s="3">
        <f t="shared" si="166"/>
        <v>6509.04</v>
      </c>
      <c r="H240" s="3">
        <f t="shared" si="166"/>
        <v>6505.8</v>
      </c>
      <c r="I240" s="13">
        <f t="shared" si="166"/>
        <v>19481.76</v>
      </c>
      <c r="J240" s="3">
        <f t="shared" si="166"/>
        <v>7206.84</v>
      </c>
      <c r="K240" s="3">
        <f t="shared" si="166"/>
        <v>7446.719999999999</v>
      </c>
      <c r="L240" s="3">
        <f t="shared" si="166"/>
        <v>7457.96</v>
      </c>
      <c r="M240" s="13">
        <f t="shared" si="166"/>
        <v>22111.52</v>
      </c>
      <c r="N240" s="3">
        <f t="shared" si="166"/>
        <v>7461.24</v>
      </c>
      <c r="O240" s="3">
        <f t="shared" si="166"/>
        <v>7455.76</v>
      </c>
      <c r="P240" s="3">
        <f t="shared" si="166"/>
        <v>7458.72</v>
      </c>
      <c r="Q240" s="13">
        <f t="shared" si="166"/>
        <v>22375.72</v>
      </c>
      <c r="R240" s="29">
        <f t="shared" si="166"/>
        <v>83509.92</v>
      </c>
    </row>
    <row r="241" spans="1:18" ht="12.75" outlineLevel="2">
      <c r="A241" s="23" t="s">
        <v>16</v>
      </c>
      <c r="B241" s="3">
        <f aca="true" t="shared" si="167" ref="B241:R241">B222+B203+B184+B165+B146+B127+B108+B89+B70+B51+B32+B13</f>
        <v>1100</v>
      </c>
      <c r="C241" s="3">
        <f t="shared" si="167"/>
        <v>1100</v>
      </c>
      <c r="D241" s="3">
        <f t="shared" si="167"/>
        <v>1100</v>
      </c>
      <c r="E241" s="13">
        <f t="shared" si="167"/>
        <v>3300</v>
      </c>
      <c r="F241" s="3">
        <f t="shared" si="167"/>
        <v>1100</v>
      </c>
      <c r="G241" s="3">
        <f t="shared" si="167"/>
        <v>1100</v>
      </c>
      <c r="H241" s="3">
        <f t="shared" si="167"/>
        <v>1100</v>
      </c>
      <c r="I241" s="13">
        <f t="shared" si="167"/>
        <v>3300</v>
      </c>
      <c r="J241" s="3">
        <f t="shared" si="167"/>
        <v>1210</v>
      </c>
      <c r="K241" s="3">
        <f t="shared" si="167"/>
        <v>1320</v>
      </c>
      <c r="L241" s="3">
        <f t="shared" si="167"/>
        <v>1320</v>
      </c>
      <c r="M241" s="13">
        <f t="shared" si="167"/>
        <v>3850</v>
      </c>
      <c r="N241" s="3">
        <f t="shared" si="167"/>
        <v>1320</v>
      </c>
      <c r="O241" s="3">
        <f t="shared" si="167"/>
        <v>1320</v>
      </c>
      <c r="P241" s="3">
        <f t="shared" si="167"/>
        <v>1320</v>
      </c>
      <c r="Q241" s="13">
        <f t="shared" si="167"/>
        <v>3960</v>
      </c>
      <c r="R241" s="29">
        <f t="shared" si="167"/>
        <v>14410</v>
      </c>
    </row>
    <row r="242" spans="1:18" ht="12.75" outlineLevel="2">
      <c r="A242" s="23" t="s">
        <v>17</v>
      </c>
      <c r="B242" s="3">
        <f aca="true" t="shared" si="168" ref="B242:R242">B223+B204+B185+B166+B147+B128+B109+B90+B71+B52+B33+B14</f>
        <v>1157.1200000000001</v>
      </c>
      <c r="C242" s="3">
        <f t="shared" si="168"/>
        <v>1509.68</v>
      </c>
      <c r="D242" s="3">
        <f t="shared" si="168"/>
        <v>1384.25</v>
      </c>
      <c r="E242" s="13">
        <f t="shared" si="168"/>
        <v>4051.0499999999997</v>
      </c>
      <c r="F242" s="3">
        <f t="shared" si="168"/>
        <v>957.11</v>
      </c>
      <c r="G242" s="3">
        <f t="shared" si="168"/>
        <v>616.98</v>
      </c>
      <c r="H242" s="3">
        <f t="shared" si="168"/>
        <v>602.2900000000001</v>
      </c>
      <c r="I242" s="13">
        <f t="shared" si="168"/>
        <v>2176.38</v>
      </c>
      <c r="J242" s="3">
        <f t="shared" si="168"/>
        <v>737.89</v>
      </c>
      <c r="K242" s="3">
        <f t="shared" si="168"/>
        <v>936.77</v>
      </c>
      <c r="L242" s="3">
        <f t="shared" si="168"/>
        <v>1363.91</v>
      </c>
      <c r="M242" s="13">
        <f t="shared" si="168"/>
        <v>3038.5699999999997</v>
      </c>
      <c r="N242" s="3">
        <f t="shared" si="168"/>
        <v>799.8900000000001</v>
      </c>
      <c r="O242" s="3">
        <f t="shared" si="168"/>
        <v>439.90999999999997</v>
      </c>
      <c r="P242" s="3">
        <f t="shared" si="168"/>
        <v>603.25</v>
      </c>
      <c r="Q242" s="13">
        <f t="shared" si="168"/>
        <v>1843.05</v>
      </c>
      <c r="R242" s="29">
        <f t="shared" si="168"/>
        <v>11109.05</v>
      </c>
    </row>
    <row r="243" spans="1:18" ht="12.75" outlineLevel="2">
      <c r="A243" s="25" t="s">
        <v>18</v>
      </c>
      <c r="B243" s="3">
        <f aca="true" t="shared" si="169" ref="B243:R243">B224+B205+B186+B167+B148+B129+B110+B91+B72+B53+B34+B15</f>
        <v>0</v>
      </c>
      <c r="C243" s="3">
        <f t="shared" si="169"/>
        <v>571.6</v>
      </c>
      <c r="D243" s="3">
        <f t="shared" si="169"/>
        <v>631.95</v>
      </c>
      <c r="E243" s="13">
        <f t="shared" si="169"/>
        <v>1203.5500000000002</v>
      </c>
      <c r="F243" s="3">
        <f t="shared" si="169"/>
        <v>3520.63</v>
      </c>
      <c r="G243" s="3">
        <f t="shared" si="169"/>
        <v>0</v>
      </c>
      <c r="H243" s="3">
        <f t="shared" si="169"/>
        <v>1355.3600000000001</v>
      </c>
      <c r="I243" s="13">
        <f t="shared" si="169"/>
        <v>4875.99</v>
      </c>
      <c r="J243" s="3">
        <f t="shared" si="169"/>
        <v>837.03</v>
      </c>
      <c r="K243" s="3">
        <f t="shared" si="169"/>
        <v>0</v>
      </c>
      <c r="L243" s="3">
        <f t="shared" si="169"/>
        <v>760.33</v>
      </c>
      <c r="M243" s="13">
        <f t="shared" si="169"/>
        <v>1597.3600000000001</v>
      </c>
      <c r="N243" s="3">
        <f t="shared" si="169"/>
        <v>1858.3799999999999</v>
      </c>
      <c r="O243" s="3">
        <f t="shared" si="169"/>
        <v>991.27</v>
      </c>
      <c r="P243" s="3">
        <f t="shared" si="169"/>
        <v>1431.97</v>
      </c>
      <c r="Q243" s="13">
        <f t="shared" si="169"/>
        <v>4281.62</v>
      </c>
      <c r="R243" s="29">
        <f t="shared" si="169"/>
        <v>11958.519999999999</v>
      </c>
    </row>
    <row r="244" spans="1:18" ht="12.75" outlineLevel="2">
      <c r="A244" s="23" t="s">
        <v>19</v>
      </c>
      <c r="B244" s="3">
        <f aca="true" t="shared" si="170" ref="B244:R244">B225+B206+B187+B168+B149+B130+B111+B92+B73+B54+B35+B16</f>
        <v>159.96</v>
      </c>
      <c r="C244" s="3">
        <f t="shared" si="170"/>
        <v>337.59</v>
      </c>
      <c r="D244" s="3">
        <f t="shared" si="170"/>
        <v>321.78000000000003</v>
      </c>
      <c r="E244" s="13">
        <f t="shared" si="170"/>
        <v>819.3299999999999</v>
      </c>
      <c r="F244" s="3">
        <f t="shared" si="170"/>
        <v>176.7</v>
      </c>
      <c r="G244" s="3">
        <f t="shared" si="170"/>
        <v>124.62</v>
      </c>
      <c r="H244" s="3">
        <f t="shared" si="170"/>
        <v>124.62</v>
      </c>
      <c r="I244" s="13">
        <f t="shared" si="170"/>
        <v>425.94</v>
      </c>
      <c r="J244" s="3">
        <f t="shared" si="170"/>
        <v>121.83</v>
      </c>
      <c r="K244" s="3">
        <f t="shared" si="170"/>
        <v>139.5</v>
      </c>
      <c r="L244" s="3">
        <f t="shared" si="170"/>
        <v>146.97</v>
      </c>
      <c r="M244" s="13">
        <f t="shared" si="170"/>
        <v>408.29999999999995</v>
      </c>
      <c r="N244" s="3">
        <f t="shared" si="170"/>
        <v>134.88</v>
      </c>
      <c r="O244" s="3">
        <f t="shared" si="170"/>
        <v>81.84</v>
      </c>
      <c r="P244" s="3">
        <f t="shared" si="170"/>
        <v>173.72</v>
      </c>
      <c r="Q244" s="13">
        <f t="shared" si="170"/>
        <v>390.44000000000005</v>
      </c>
      <c r="R244" s="29">
        <f t="shared" si="170"/>
        <v>2044.01</v>
      </c>
    </row>
    <row r="245" spans="1:18" ht="12.75" outlineLevel="2">
      <c r="A245" s="23" t="s">
        <v>20</v>
      </c>
      <c r="B245" s="3">
        <f aca="true" t="shared" si="171" ref="B245:R245">B226+B207+B188+B169+B150+B131+B112+B93+B74+B55+B36+B17</f>
        <v>663.5</v>
      </c>
      <c r="C245" s="3">
        <f t="shared" si="171"/>
        <v>2519.5</v>
      </c>
      <c r="D245" s="3">
        <f t="shared" si="171"/>
        <v>1905.5</v>
      </c>
      <c r="E245" s="13">
        <f t="shared" si="171"/>
        <v>5088.5</v>
      </c>
      <c r="F245" s="3">
        <f t="shared" si="171"/>
        <v>1854</v>
      </c>
      <c r="G245" s="3">
        <f t="shared" si="171"/>
        <v>1075.5</v>
      </c>
      <c r="H245" s="3">
        <f t="shared" si="171"/>
        <v>667</v>
      </c>
      <c r="I245" s="13">
        <f t="shared" si="171"/>
        <v>3596.5</v>
      </c>
      <c r="J245" s="3">
        <f t="shared" si="171"/>
        <v>1537.3</v>
      </c>
      <c r="K245" s="3">
        <f t="shared" si="171"/>
        <v>954.9499999999999</v>
      </c>
      <c r="L245" s="3">
        <f t="shared" si="171"/>
        <v>139.5</v>
      </c>
      <c r="M245" s="13">
        <f t="shared" si="171"/>
        <v>2631.75</v>
      </c>
      <c r="N245" s="3">
        <f t="shared" si="171"/>
        <v>139.5</v>
      </c>
      <c r="O245" s="3">
        <f t="shared" si="171"/>
        <v>201.5</v>
      </c>
      <c r="P245" s="3">
        <f t="shared" si="171"/>
        <v>264.5</v>
      </c>
      <c r="Q245" s="13">
        <f t="shared" si="171"/>
        <v>605.5</v>
      </c>
      <c r="R245" s="29">
        <f t="shared" si="171"/>
        <v>11922.25</v>
      </c>
    </row>
    <row r="246" spans="1:18" ht="12.75" outlineLevel="2">
      <c r="A246" s="23" t="s">
        <v>21</v>
      </c>
      <c r="B246" s="3">
        <f aca="true" t="shared" si="172" ref="B246:R246">B227+B208+B189+B170+B151+B132+B113+B94+B75+B56+B37+B18</f>
        <v>1850</v>
      </c>
      <c r="C246" s="3">
        <f t="shared" si="172"/>
        <v>1850</v>
      </c>
      <c r="D246" s="3">
        <f t="shared" si="172"/>
        <v>1850</v>
      </c>
      <c r="E246" s="13">
        <f t="shared" si="172"/>
        <v>5550</v>
      </c>
      <c r="F246" s="3">
        <f t="shared" si="172"/>
        <v>1850</v>
      </c>
      <c r="G246" s="3">
        <f t="shared" si="172"/>
        <v>1850</v>
      </c>
      <c r="H246" s="3">
        <f t="shared" si="172"/>
        <v>1850</v>
      </c>
      <c r="I246" s="13">
        <f t="shared" si="172"/>
        <v>5550</v>
      </c>
      <c r="J246" s="3">
        <f t="shared" si="172"/>
        <v>1850</v>
      </c>
      <c r="K246" s="3">
        <f t="shared" si="172"/>
        <v>1850</v>
      </c>
      <c r="L246" s="3">
        <f t="shared" si="172"/>
        <v>1850</v>
      </c>
      <c r="M246" s="13">
        <f t="shared" si="172"/>
        <v>5550</v>
      </c>
      <c r="N246" s="3">
        <f t="shared" si="172"/>
        <v>1850</v>
      </c>
      <c r="O246" s="3">
        <f t="shared" si="172"/>
        <v>1850</v>
      </c>
      <c r="P246" s="3">
        <f t="shared" si="172"/>
        <v>1850</v>
      </c>
      <c r="Q246" s="13">
        <f t="shared" si="172"/>
        <v>5550</v>
      </c>
      <c r="R246" s="29">
        <f t="shared" si="172"/>
        <v>22200</v>
      </c>
    </row>
    <row r="247" spans="1:18" ht="12.75" outlineLevel="2">
      <c r="A247" s="23" t="s">
        <v>22</v>
      </c>
      <c r="B247" s="3">
        <f aca="true" t="shared" si="173" ref="B247:R247">B228+B209+B190+B171+B152+B133+B114+B95+B76+B57+B38+B19</f>
        <v>0</v>
      </c>
      <c r="C247" s="3">
        <f t="shared" si="173"/>
        <v>0</v>
      </c>
      <c r="D247" s="3">
        <f t="shared" si="173"/>
        <v>93.72</v>
      </c>
      <c r="E247" s="13">
        <f t="shared" si="173"/>
        <v>93.72</v>
      </c>
      <c r="F247" s="3">
        <f t="shared" si="173"/>
        <v>3335.58</v>
      </c>
      <c r="G247" s="3">
        <f t="shared" si="173"/>
        <v>59.64</v>
      </c>
      <c r="H247" s="3">
        <f t="shared" si="173"/>
        <v>140.58</v>
      </c>
      <c r="I247" s="13">
        <f t="shared" si="173"/>
        <v>3535.7999999999997</v>
      </c>
      <c r="J247" s="3">
        <f t="shared" si="173"/>
        <v>80.94</v>
      </c>
      <c r="K247" s="3">
        <f t="shared" si="173"/>
        <v>68.16</v>
      </c>
      <c r="L247" s="3">
        <f t="shared" si="173"/>
        <v>115</v>
      </c>
      <c r="M247" s="13">
        <f t="shared" si="173"/>
        <v>264.1</v>
      </c>
      <c r="N247" s="3">
        <f t="shared" si="173"/>
        <v>110.78</v>
      </c>
      <c r="O247" s="3">
        <f t="shared" si="173"/>
        <v>144.84</v>
      </c>
      <c r="P247" s="3">
        <f t="shared" si="173"/>
        <v>102</v>
      </c>
      <c r="Q247" s="13">
        <f t="shared" si="173"/>
        <v>357.62</v>
      </c>
      <c r="R247" s="29">
        <f t="shared" si="173"/>
        <v>4251.24</v>
      </c>
    </row>
    <row r="248" spans="1:18" ht="12.75" outlineLevel="1">
      <c r="A248" s="28" t="s">
        <v>50</v>
      </c>
      <c r="B248" s="43">
        <f aca="true" t="shared" si="174" ref="B248:Q248">SUM(B240:B247)</f>
        <v>11441.9</v>
      </c>
      <c r="C248" s="43">
        <f t="shared" si="174"/>
        <v>14401.85</v>
      </c>
      <c r="D248" s="43">
        <f t="shared" si="174"/>
        <v>13803.32</v>
      </c>
      <c r="E248" s="42">
        <f t="shared" si="174"/>
        <v>39647.07</v>
      </c>
      <c r="F248" s="43">
        <f t="shared" si="174"/>
        <v>19260.940000000002</v>
      </c>
      <c r="G248" s="43">
        <f t="shared" si="174"/>
        <v>11335.78</v>
      </c>
      <c r="H248" s="43">
        <f t="shared" si="174"/>
        <v>12345.650000000001</v>
      </c>
      <c r="I248" s="42">
        <f t="shared" si="174"/>
        <v>42942.369999999995</v>
      </c>
      <c r="J248" s="43">
        <f t="shared" si="174"/>
        <v>13581.83</v>
      </c>
      <c r="K248" s="43">
        <f t="shared" si="174"/>
        <v>12716.1</v>
      </c>
      <c r="L248" s="43">
        <f t="shared" si="174"/>
        <v>13153.669999999998</v>
      </c>
      <c r="M248" s="42">
        <f t="shared" si="174"/>
        <v>39451.6</v>
      </c>
      <c r="N248" s="43">
        <f t="shared" si="174"/>
        <v>13674.669999999998</v>
      </c>
      <c r="O248" s="43">
        <f t="shared" si="174"/>
        <v>12485.12</v>
      </c>
      <c r="P248" s="43">
        <f t="shared" si="174"/>
        <v>13204.16</v>
      </c>
      <c r="Q248" s="42">
        <f t="shared" si="174"/>
        <v>39363.950000000004</v>
      </c>
      <c r="R248" s="44">
        <f>Q248+M248+I248+E248</f>
        <v>161404.99</v>
      </c>
    </row>
    <row r="249" spans="1:18" ht="13.5" thickBot="1">
      <c r="A249" s="30" t="s">
        <v>48</v>
      </c>
      <c r="B249" s="31">
        <f aca="true" t="shared" si="175" ref="B249:R249">B248+B239</f>
        <v>13210.699999999999</v>
      </c>
      <c r="C249" s="31">
        <f t="shared" si="175"/>
        <v>15069.14</v>
      </c>
      <c r="D249" s="31">
        <f t="shared" si="175"/>
        <v>13803.32</v>
      </c>
      <c r="E249" s="48">
        <f t="shared" si="175"/>
        <v>42083.16</v>
      </c>
      <c r="F249" s="49">
        <f t="shared" si="175"/>
        <v>19260.940000000002</v>
      </c>
      <c r="G249" s="49">
        <f t="shared" si="175"/>
        <v>13734.67</v>
      </c>
      <c r="H249" s="49">
        <f t="shared" si="175"/>
        <v>11705.850000000002</v>
      </c>
      <c r="I249" s="48">
        <f t="shared" si="175"/>
        <v>44701.45999999999</v>
      </c>
      <c r="J249" s="49">
        <f t="shared" si="175"/>
        <v>21092.940000000002</v>
      </c>
      <c r="K249" s="49">
        <f t="shared" si="175"/>
        <v>14337.9</v>
      </c>
      <c r="L249" s="49">
        <f t="shared" si="175"/>
        <v>15770.669999999998</v>
      </c>
      <c r="M249" s="48">
        <f t="shared" si="175"/>
        <v>51201.509999999995</v>
      </c>
      <c r="N249" s="49">
        <f t="shared" si="175"/>
        <v>13674.669999999998</v>
      </c>
      <c r="O249" s="49">
        <f t="shared" si="175"/>
        <v>12485.12</v>
      </c>
      <c r="P249" s="49">
        <f t="shared" si="175"/>
        <v>13204.16</v>
      </c>
      <c r="Q249" s="48">
        <f t="shared" si="175"/>
        <v>39363.950000000004</v>
      </c>
      <c r="R249" s="50">
        <f t="shared" si="175"/>
        <v>177350.08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2"/>
  <sheetViews>
    <sheetView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22" sqref="V22"/>
    </sheetView>
  </sheetViews>
  <sheetFormatPr defaultColWidth="9.140625" defaultRowHeight="12.75" outlineLevelRow="3" outlineLevelCol="2"/>
  <cols>
    <col min="1" max="1" width="19.28125" style="0" customWidth="1"/>
    <col min="2" max="4" width="8.7109375" style="0" hidden="1" customWidth="1" outlineLevel="2"/>
    <col min="5" max="5" width="8.7109375" style="0" customWidth="1" outlineLevel="1" collapsed="1"/>
    <col min="6" max="7" width="8.7109375" style="0" hidden="1" customWidth="1" outlineLevel="2"/>
    <col min="8" max="8" width="9.7109375" style="0" hidden="1" customWidth="1" outlineLevel="2"/>
    <col min="9" max="9" width="9.7109375" style="0" bestFit="1" customWidth="1" outlineLevel="1" collapsed="1"/>
    <col min="10" max="10" width="8.7109375" style="0" hidden="1" customWidth="1" outlineLevel="2"/>
    <col min="11" max="11" width="9.28125" style="0" hidden="1" customWidth="1" outlineLevel="2"/>
    <col min="12" max="12" width="8.7109375" style="0" hidden="1" customWidth="1" outlineLevel="2"/>
    <col min="13" max="13" width="9.140625" style="0" customWidth="1" outlineLevel="1" collapsed="1"/>
    <col min="14" max="16" width="8.7109375" style="0" hidden="1" customWidth="1" outlineLevel="2"/>
    <col min="17" max="17" width="8.7109375" style="0" customWidth="1" outlineLevel="1" collapsed="1"/>
    <col min="18" max="18" width="9.7109375" style="0" customWidth="1"/>
    <col min="19" max="19" width="10.57421875" style="0" customWidth="1"/>
    <col min="20" max="20" width="9.8515625" style="0" customWidth="1"/>
    <col min="21" max="21" width="8.421875" style="0" customWidth="1"/>
    <col min="22" max="22" width="10.421875" style="0" customWidth="1"/>
  </cols>
  <sheetData>
    <row r="1" ht="18.75" thickBot="1">
      <c r="A1" s="1" t="s">
        <v>0</v>
      </c>
    </row>
    <row r="2" spans="1:22" ht="64.5" thickBot="1">
      <c r="A2" s="15" t="s">
        <v>59</v>
      </c>
      <c r="B2" s="9" t="s">
        <v>5</v>
      </c>
      <c r="C2" s="6" t="s">
        <v>6</v>
      </c>
      <c r="D2" s="10" t="s">
        <v>7</v>
      </c>
      <c r="E2" s="7" t="s">
        <v>23</v>
      </c>
      <c r="F2" s="9" t="s">
        <v>2</v>
      </c>
      <c r="G2" s="10" t="s">
        <v>3</v>
      </c>
      <c r="H2" s="10" t="s">
        <v>8</v>
      </c>
      <c r="I2" s="7" t="s">
        <v>24</v>
      </c>
      <c r="J2" s="9" t="s">
        <v>9</v>
      </c>
      <c r="K2" s="6" t="s">
        <v>10</v>
      </c>
      <c r="L2" s="10" t="s">
        <v>11</v>
      </c>
      <c r="M2" s="7" t="s">
        <v>25</v>
      </c>
      <c r="N2" s="9" t="s">
        <v>12</v>
      </c>
      <c r="O2" s="6" t="s">
        <v>13</v>
      </c>
      <c r="P2" s="10" t="s">
        <v>14</v>
      </c>
      <c r="Q2" s="7" t="s">
        <v>26</v>
      </c>
      <c r="R2" s="8" t="s">
        <v>4</v>
      </c>
      <c r="S2" s="55" t="s">
        <v>53</v>
      </c>
      <c r="T2" s="55" t="s">
        <v>52</v>
      </c>
      <c r="U2" s="57" t="s">
        <v>54</v>
      </c>
      <c r="V2" s="58" t="s">
        <v>55</v>
      </c>
    </row>
    <row r="3" spans="1:18" ht="12.75" outlineLevel="1">
      <c r="A3" s="16" t="s">
        <v>1</v>
      </c>
      <c r="B3" s="17"/>
      <c r="C3" s="17"/>
      <c r="D3" s="17"/>
      <c r="E3" s="11"/>
      <c r="F3" s="17"/>
      <c r="G3" s="17"/>
      <c r="H3" s="17"/>
      <c r="I3" s="11"/>
      <c r="J3" s="17"/>
      <c r="K3" s="17"/>
      <c r="L3" s="17"/>
      <c r="M3" s="11"/>
      <c r="N3" s="17"/>
      <c r="O3" s="17"/>
      <c r="P3" s="17"/>
      <c r="Q3" s="11"/>
      <c r="R3" s="18"/>
    </row>
    <row r="4" spans="1:18" ht="12.75" hidden="1" outlineLevel="3">
      <c r="A4" s="19" t="s">
        <v>40</v>
      </c>
      <c r="B4" s="24"/>
      <c r="C4" s="24"/>
      <c r="D4" s="24"/>
      <c r="E4" s="35">
        <f aca="true" t="shared" si="0" ref="E4:E10">SUM(B4:D4)</f>
        <v>0</v>
      </c>
      <c r="F4" s="52"/>
      <c r="G4" s="52"/>
      <c r="H4" s="52"/>
      <c r="I4" s="35">
        <f aca="true" t="shared" si="1" ref="I4:I10">SUM(F4:H4)</f>
        <v>0</v>
      </c>
      <c r="J4" s="20"/>
      <c r="K4" s="20"/>
      <c r="L4" s="20"/>
      <c r="M4" s="35">
        <f aca="true" t="shared" si="2" ref="M4:M10">SUM(J4:L4)</f>
        <v>0</v>
      </c>
      <c r="N4" s="51"/>
      <c r="O4" s="51"/>
      <c r="P4" s="51"/>
      <c r="Q4" s="35">
        <f aca="true" t="shared" si="3" ref="Q4:Q10">SUM(N4:P4)</f>
        <v>0</v>
      </c>
      <c r="R4" s="34">
        <f aca="true" t="shared" si="4" ref="R4:R21">Q4+M4+I4+E4</f>
        <v>0</v>
      </c>
    </row>
    <row r="5" spans="1:18" ht="12.75" hidden="1" outlineLevel="3">
      <c r="A5" s="19" t="s">
        <v>41</v>
      </c>
      <c r="B5" s="24"/>
      <c r="C5" s="24"/>
      <c r="D5" s="24"/>
      <c r="E5" s="35">
        <f t="shared" si="0"/>
        <v>0</v>
      </c>
      <c r="F5" s="52"/>
      <c r="G5" s="52"/>
      <c r="H5" s="52"/>
      <c r="I5" s="35">
        <f t="shared" si="1"/>
        <v>0</v>
      </c>
      <c r="J5" s="20"/>
      <c r="K5" s="20"/>
      <c r="L5" s="20"/>
      <c r="M5" s="35">
        <f t="shared" si="2"/>
        <v>0</v>
      </c>
      <c r="N5" s="51"/>
      <c r="O5" s="51"/>
      <c r="P5" s="51"/>
      <c r="Q5" s="35">
        <f t="shared" si="3"/>
        <v>0</v>
      </c>
      <c r="R5" s="34">
        <f t="shared" si="4"/>
        <v>0</v>
      </c>
    </row>
    <row r="6" spans="1:18" ht="12.75" hidden="1" outlineLevel="3">
      <c r="A6" s="19" t="s">
        <v>42</v>
      </c>
      <c r="B6" s="24"/>
      <c r="C6" s="24"/>
      <c r="D6" s="24"/>
      <c r="E6" s="35">
        <f t="shared" si="0"/>
        <v>0</v>
      </c>
      <c r="F6" s="52"/>
      <c r="G6" s="52"/>
      <c r="H6" s="52"/>
      <c r="I6" s="35">
        <f t="shared" si="1"/>
        <v>0</v>
      </c>
      <c r="J6" s="20"/>
      <c r="K6" s="20"/>
      <c r="L6" s="20"/>
      <c r="M6" s="35">
        <f t="shared" si="2"/>
        <v>0</v>
      </c>
      <c r="N6" s="51"/>
      <c r="O6" s="51"/>
      <c r="P6" s="51"/>
      <c r="Q6" s="35">
        <f t="shared" si="3"/>
        <v>0</v>
      </c>
      <c r="R6" s="34">
        <f t="shared" si="4"/>
        <v>0</v>
      </c>
    </row>
    <row r="7" spans="1:18" ht="12.75" hidden="1" outlineLevel="3">
      <c r="A7" s="19" t="s">
        <v>43</v>
      </c>
      <c r="B7" s="24"/>
      <c r="C7" s="24"/>
      <c r="D7" s="24"/>
      <c r="E7" s="35">
        <f t="shared" si="0"/>
        <v>0</v>
      </c>
      <c r="F7" s="52"/>
      <c r="G7" s="52"/>
      <c r="H7" s="52"/>
      <c r="I7" s="35">
        <f t="shared" si="1"/>
        <v>0</v>
      </c>
      <c r="J7" s="20"/>
      <c r="K7" s="20"/>
      <c r="L7" s="20"/>
      <c r="M7" s="35">
        <f t="shared" si="2"/>
        <v>0</v>
      </c>
      <c r="N7" s="51"/>
      <c r="O7" s="51"/>
      <c r="P7" s="51"/>
      <c r="Q7" s="35">
        <f t="shared" si="3"/>
        <v>0</v>
      </c>
      <c r="R7" s="34">
        <f t="shared" si="4"/>
        <v>0</v>
      </c>
    </row>
    <row r="8" spans="1:18" ht="12.75" hidden="1" outlineLevel="3">
      <c r="A8" s="19" t="s">
        <v>44</v>
      </c>
      <c r="B8" s="24"/>
      <c r="C8" s="24"/>
      <c r="D8" s="24"/>
      <c r="E8" s="35">
        <f t="shared" si="0"/>
        <v>0</v>
      </c>
      <c r="F8" s="52"/>
      <c r="G8" s="52"/>
      <c r="H8" s="52"/>
      <c r="I8" s="35">
        <f t="shared" si="1"/>
        <v>0</v>
      </c>
      <c r="J8" s="20"/>
      <c r="K8" s="20"/>
      <c r="L8" s="20"/>
      <c r="M8" s="35">
        <f t="shared" si="2"/>
        <v>0</v>
      </c>
      <c r="N8" s="51"/>
      <c r="O8" s="51"/>
      <c r="P8" s="51"/>
      <c r="Q8" s="35">
        <f t="shared" si="3"/>
        <v>0</v>
      </c>
      <c r="R8" s="34">
        <f t="shared" si="4"/>
        <v>0</v>
      </c>
    </row>
    <row r="9" spans="1:18" ht="12.75" hidden="1" outlineLevel="3">
      <c r="A9" s="19" t="s">
        <v>45</v>
      </c>
      <c r="B9" s="24"/>
      <c r="C9" s="24">
        <v>11975.98</v>
      </c>
      <c r="D9" s="24"/>
      <c r="E9" s="35">
        <f t="shared" si="0"/>
        <v>11975.98</v>
      </c>
      <c r="F9" s="52">
        <v>301.11</v>
      </c>
      <c r="G9" s="52"/>
      <c r="H9" s="52"/>
      <c r="I9" s="35">
        <f t="shared" si="1"/>
        <v>301.11</v>
      </c>
      <c r="J9" s="20"/>
      <c r="K9" s="20"/>
      <c r="L9" s="20">
        <v>14585.35</v>
      </c>
      <c r="M9" s="35">
        <f t="shared" si="2"/>
        <v>14585.35</v>
      </c>
      <c r="N9" s="51">
        <v>182.4</v>
      </c>
      <c r="O9" s="51"/>
      <c r="P9" s="51">
        <f>532.66+37.56</f>
        <v>570.22</v>
      </c>
      <c r="Q9" s="35">
        <f t="shared" si="3"/>
        <v>752.62</v>
      </c>
      <c r="R9" s="34">
        <f t="shared" si="4"/>
        <v>27615.06</v>
      </c>
    </row>
    <row r="10" spans="1:18" ht="12.75" hidden="1" outlineLevel="3">
      <c r="A10" s="19" t="s">
        <v>46</v>
      </c>
      <c r="B10" s="24"/>
      <c r="C10" s="24"/>
      <c r="D10" s="24"/>
      <c r="E10" s="35">
        <f t="shared" si="0"/>
        <v>0</v>
      </c>
      <c r="F10" s="52"/>
      <c r="G10" s="52"/>
      <c r="H10" s="52"/>
      <c r="I10" s="35">
        <f t="shared" si="1"/>
        <v>0</v>
      </c>
      <c r="J10" s="20"/>
      <c r="K10" s="20"/>
      <c r="L10" s="20"/>
      <c r="M10" s="35">
        <f t="shared" si="2"/>
        <v>0</v>
      </c>
      <c r="N10" s="51"/>
      <c r="O10" s="51"/>
      <c r="P10" s="51"/>
      <c r="Q10" s="35">
        <f t="shared" si="3"/>
        <v>0</v>
      </c>
      <c r="R10" s="34">
        <f t="shared" si="4"/>
        <v>0</v>
      </c>
    </row>
    <row r="11" spans="1:18" ht="12.75" hidden="1" outlineLevel="3">
      <c r="A11" s="19" t="s">
        <v>58</v>
      </c>
      <c r="B11" s="24"/>
      <c r="C11" s="24"/>
      <c r="D11" s="24"/>
      <c r="E11" s="35">
        <f>SUM(B11:D11)</f>
        <v>0</v>
      </c>
      <c r="F11" s="52"/>
      <c r="G11" s="52"/>
      <c r="H11" s="52"/>
      <c r="I11" s="35">
        <f>SUM(F11:H11)</f>
        <v>0</v>
      </c>
      <c r="J11" s="20"/>
      <c r="K11" s="20"/>
      <c r="L11" s="20"/>
      <c r="M11" s="35">
        <f>SUM(J11:L11)</f>
        <v>0</v>
      </c>
      <c r="N11" s="51"/>
      <c r="O11" s="51"/>
      <c r="P11" s="51"/>
      <c r="Q11" s="35">
        <f>SUM(N11:P11)</f>
        <v>0</v>
      </c>
      <c r="R11" s="34">
        <f>Q11+M11+I11+E11</f>
        <v>0</v>
      </c>
    </row>
    <row r="12" spans="1:18" ht="12.75" hidden="1" outlineLevel="2" collapsed="1">
      <c r="A12" s="22" t="s">
        <v>47</v>
      </c>
      <c r="B12" s="3">
        <f aca="true" t="shared" si="5" ref="B12:Q12">SUM(B4:B11)</f>
        <v>0</v>
      </c>
      <c r="C12" s="3">
        <f t="shared" si="5"/>
        <v>11975.98</v>
      </c>
      <c r="D12" s="3">
        <f t="shared" si="5"/>
        <v>0</v>
      </c>
      <c r="E12" s="33">
        <f t="shared" si="5"/>
        <v>11975.98</v>
      </c>
      <c r="F12" s="33">
        <f t="shared" si="5"/>
        <v>301.11</v>
      </c>
      <c r="G12" s="33">
        <f t="shared" si="5"/>
        <v>0</v>
      </c>
      <c r="H12" s="33">
        <f t="shared" si="5"/>
        <v>0</v>
      </c>
      <c r="I12" s="33">
        <f t="shared" si="5"/>
        <v>301.11</v>
      </c>
      <c r="J12" s="33">
        <f t="shared" si="5"/>
        <v>0</v>
      </c>
      <c r="K12" s="33">
        <f t="shared" si="5"/>
        <v>0</v>
      </c>
      <c r="L12" s="33">
        <f t="shared" si="5"/>
        <v>14585.35</v>
      </c>
      <c r="M12" s="33">
        <f t="shared" si="5"/>
        <v>14585.35</v>
      </c>
      <c r="N12" s="33">
        <f t="shared" si="5"/>
        <v>182.4</v>
      </c>
      <c r="O12" s="33">
        <f t="shared" si="5"/>
        <v>0</v>
      </c>
      <c r="P12" s="33">
        <f t="shared" si="5"/>
        <v>570.22</v>
      </c>
      <c r="Q12" s="33">
        <f t="shared" si="5"/>
        <v>752.62</v>
      </c>
      <c r="R12" s="34">
        <f t="shared" si="4"/>
        <v>27615.06</v>
      </c>
    </row>
    <row r="13" spans="1:18" ht="12.75" hidden="1" outlineLevel="3">
      <c r="A13" s="23" t="s">
        <v>15</v>
      </c>
      <c r="B13" s="24">
        <v>6047.16</v>
      </c>
      <c r="C13" s="24">
        <v>6044.04</v>
      </c>
      <c r="D13" s="24">
        <v>6042.6</v>
      </c>
      <c r="E13" s="35">
        <f aca="true" t="shared" si="6" ref="E13:E20">SUM(B13:D13)</f>
        <v>18133.800000000003</v>
      </c>
      <c r="F13" s="37">
        <v>5996.52</v>
      </c>
      <c r="G13" s="38">
        <v>5993.4</v>
      </c>
      <c r="H13" s="38">
        <v>5985.12</v>
      </c>
      <c r="I13" s="35">
        <f aca="true" t="shared" si="7" ref="I13:I20">SUM(F13:H13)</f>
        <v>17975.04</v>
      </c>
      <c r="J13" s="38">
        <v>5978.88</v>
      </c>
      <c r="K13" s="38">
        <v>5968.32</v>
      </c>
      <c r="L13" s="38">
        <v>5964.48</v>
      </c>
      <c r="M13" s="35">
        <f>SUM(J13:L13)</f>
        <v>17911.68</v>
      </c>
      <c r="N13" s="38">
        <v>5964</v>
      </c>
      <c r="O13" s="38">
        <v>5962.2</v>
      </c>
      <c r="P13" s="38">
        <v>5954.28</v>
      </c>
      <c r="Q13" s="35">
        <f>SUM(N13:P13)</f>
        <v>17880.48</v>
      </c>
      <c r="R13" s="34">
        <f t="shared" si="4"/>
        <v>71901</v>
      </c>
    </row>
    <row r="14" spans="1:18" ht="12.75" hidden="1" outlineLevel="3">
      <c r="A14" s="23" t="s">
        <v>16</v>
      </c>
      <c r="B14" s="24">
        <v>990</v>
      </c>
      <c r="C14" s="24">
        <v>990</v>
      </c>
      <c r="D14" s="24">
        <v>990</v>
      </c>
      <c r="E14" s="35">
        <f t="shared" si="6"/>
        <v>2970</v>
      </c>
      <c r="F14" s="37">
        <v>990</v>
      </c>
      <c r="G14" s="38">
        <v>990</v>
      </c>
      <c r="H14" s="38">
        <v>990</v>
      </c>
      <c r="I14" s="35">
        <f t="shared" si="7"/>
        <v>2970</v>
      </c>
      <c r="J14" s="38">
        <v>990</v>
      </c>
      <c r="K14" s="38">
        <v>990</v>
      </c>
      <c r="L14" s="38">
        <v>990</v>
      </c>
      <c r="M14" s="35">
        <f aca="true" t="shared" si="8" ref="M14:M20">SUM(J14:L14)</f>
        <v>2970</v>
      </c>
      <c r="N14" s="38">
        <v>990</v>
      </c>
      <c r="O14" s="38">
        <v>990</v>
      </c>
      <c r="P14" s="38">
        <v>990</v>
      </c>
      <c r="Q14" s="35">
        <f aca="true" t="shared" si="9" ref="Q14:Q20">SUM(N14:P14)</f>
        <v>2970</v>
      </c>
      <c r="R14" s="34">
        <f t="shared" si="4"/>
        <v>11880</v>
      </c>
    </row>
    <row r="15" spans="1:18" ht="12.75" hidden="1" outlineLevel="3">
      <c r="A15" s="23" t="s">
        <v>17</v>
      </c>
      <c r="B15" s="24">
        <v>1224.92</v>
      </c>
      <c r="C15" s="24">
        <v>818.12</v>
      </c>
      <c r="D15" s="24">
        <v>711.9</v>
      </c>
      <c r="E15" s="35">
        <f t="shared" si="6"/>
        <v>2754.94</v>
      </c>
      <c r="F15" s="37">
        <v>397.76</v>
      </c>
      <c r="G15" s="38">
        <v>317.53</v>
      </c>
      <c r="H15" s="38">
        <v>348.04</v>
      </c>
      <c r="I15" s="35">
        <f t="shared" si="7"/>
        <v>1063.33</v>
      </c>
      <c r="J15" s="38">
        <v>281.37</v>
      </c>
      <c r="K15" s="38">
        <v>537.88</v>
      </c>
      <c r="L15" s="38">
        <v>548.05</v>
      </c>
      <c r="M15" s="35">
        <f t="shared" si="8"/>
        <v>1367.3</v>
      </c>
      <c r="N15" s="38">
        <v>438.44</v>
      </c>
      <c r="O15" s="38">
        <v>344.65</v>
      </c>
      <c r="P15" s="38">
        <v>292.67</v>
      </c>
      <c r="Q15" s="35">
        <f t="shared" si="9"/>
        <v>1075.76</v>
      </c>
      <c r="R15" s="34">
        <f t="shared" si="4"/>
        <v>6261.33</v>
      </c>
    </row>
    <row r="16" spans="1:18" ht="12.75" hidden="1" outlineLevel="3">
      <c r="A16" s="25" t="s">
        <v>18</v>
      </c>
      <c r="C16" s="24">
        <f>435.39+0.74</f>
        <v>436.13</v>
      </c>
      <c r="D16" s="24">
        <f>432.5+0.69</f>
        <v>433.19</v>
      </c>
      <c r="E16" s="35">
        <f t="shared" si="6"/>
        <v>869.3199999999999</v>
      </c>
      <c r="F16" s="37">
        <f>825.99+0.72+1116.28+0.78</f>
        <v>1943.77</v>
      </c>
      <c r="G16" s="38"/>
      <c r="H16" s="38">
        <v>811</v>
      </c>
      <c r="I16" s="35">
        <f t="shared" si="7"/>
        <v>2754.77</v>
      </c>
      <c r="J16" s="38">
        <f>492.28+0.6</f>
        <v>492.88</v>
      </c>
      <c r="K16" s="38">
        <f>477.18+0.61</f>
        <v>477.79</v>
      </c>
      <c r="L16" s="38">
        <f>432.57+0.61+564.04+0.6</f>
        <v>997.82</v>
      </c>
      <c r="M16" s="35">
        <f t="shared" si="8"/>
        <v>1968.4900000000002</v>
      </c>
      <c r="N16" s="38">
        <f>528.04+0.61</f>
        <v>528.65</v>
      </c>
      <c r="O16" s="38">
        <f>473.5+0.62</f>
        <v>474.12</v>
      </c>
      <c r="P16" s="38"/>
      <c r="Q16" s="35">
        <f t="shared" si="9"/>
        <v>1002.77</v>
      </c>
      <c r="R16" s="34">
        <f t="shared" si="4"/>
        <v>6595.35</v>
      </c>
    </row>
    <row r="17" spans="1:18" ht="12.75" hidden="1" outlineLevel="3">
      <c r="A17" s="23" t="s">
        <v>19</v>
      </c>
      <c r="B17" s="24">
        <v>90.21</v>
      </c>
      <c r="C17" s="24">
        <v>266.91</v>
      </c>
      <c r="D17" s="24">
        <v>520.8</v>
      </c>
      <c r="E17" s="35">
        <f t="shared" si="6"/>
        <v>877.92</v>
      </c>
      <c r="F17" s="37">
        <v>106.02</v>
      </c>
      <c r="G17" s="38">
        <v>75.33</v>
      </c>
      <c r="H17" s="38">
        <v>72.54</v>
      </c>
      <c r="I17" s="35">
        <f t="shared" si="7"/>
        <v>253.89</v>
      </c>
      <c r="J17" s="38">
        <v>75.33</v>
      </c>
      <c r="K17" s="38">
        <v>75.33</v>
      </c>
      <c r="L17" s="38">
        <v>97.65</v>
      </c>
      <c r="M17" s="35">
        <f t="shared" si="8"/>
        <v>248.31</v>
      </c>
      <c r="N17" s="38">
        <v>79.05</v>
      </c>
      <c r="O17" s="38">
        <v>80.91</v>
      </c>
      <c r="P17" s="38">
        <v>74.4</v>
      </c>
      <c r="Q17" s="35">
        <f t="shared" si="9"/>
        <v>234.35999999999999</v>
      </c>
      <c r="R17" s="34">
        <f t="shared" si="4"/>
        <v>1614.48</v>
      </c>
    </row>
    <row r="18" spans="1:18" ht="12.75" hidden="1" outlineLevel="3">
      <c r="A18" s="23" t="s">
        <v>20</v>
      </c>
      <c r="B18" s="24">
        <v>396</v>
      </c>
      <c r="C18" s="24">
        <f>623+1.86+159.33</f>
        <v>784.19</v>
      </c>
      <c r="D18" s="24">
        <f>874.5+8.1+441.83</f>
        <v>1324.43</v>
      </c>
      <c r="E18" s="35">
        <f t="shared" si="6"/>
        <v>2504.62</v>
      </c>
      <c r="F18" s="37">
        <f>587+5.28+28.25</f>
        <v>620.53</v>
      </c>
      <c r="G18" s="38">
        <f>330.5+1.86+13.56</f>
        <v>345.92</v>
      </c>
      <c r="H18" s="38">
        <f>295+3.18+5.65</f>
        <v>303.83</v>
      </c>
      <c r="I18" s="35">
        <f t="shared" si="7"/>
        <v>1270.28</v>
      </c>
      <c r="J18" s="38">
        <f>204+2.04+1.13</f>
        <v>207.17</v>
      </c>
      <c r="K18" s="38">
        <f>345+1.8+3.39</f>
        <v>350.19</v>
      </c>
      <c r="L18" s="38">
        <f>672+1.38+4.52</f>
        <v>677.9</v>
      </c>
      <c r="M18" s="35">
        <f t="shared" si="8"/>
        <v>1235.26</v>
      </c>
      <c r="N18" s="38">
        <f>343.5+1.2+2.26</f>
        <v>346.96</v>
      </c>
      <c r="O18" s="38">
        <f>214.5+1.98+6.78</f>
        <v>223.26</v>
      </c>
      <c r="P18" s="38">
        <f>255+0.42+9.04</f>
        <v>264.46</v>
      </c>
      <c r="Q18" s="35">
        <f t="shared" si="9"/>
        <v>834.6800000000001</v>
      </c>
      <c r="R18" s="34">
        <f t="shared" si="4"/>
        <v>5844.84</v>
      </c>
    </row>
    <row r="19" spans="1:22" ht="12.75" hidden="1" outlineLevel="3">
      <c r="A19" s="23" t="s">
        <v>21</v>
      </c>
      <c r="B19" s="24">
        <v>1850</v>
      </c>
      <c r="C19" s="24">
        <v>1480</v>
      </c>
      <c r="D19" s="24">
        <v>1480</v>
      </c>
      <c r="E19" s="35">
        <f t="shared" si="6"/>
        <v>4810</v>
      </c>
      <c r="F19" s="37">
        <v>1480</v>
      </c>
      <c r="G19" s="38">
        <v>1480</v>
      </c>
      <c r="H19" s="38">
        <v>1480</v>
      </c>
      <c r="I19" s="35">
        <f t="shared" si="7"/>
        <v>4440</v>
      </c>
      <c r="J19" s="38">
        <v>1480</v>
      </c>
      <c r="K19" s="38">
        <v>1480</v>
      </c>
      <c r="L19" s="38">
        <v>1110</v>
      </c>
      <c r="M19" s="35">
        <f t="shared" si="8"/>
        <v>4070</v>
      </c>
      <c r="N19" s="38">
        <v>1110</v>
      </c>
      <c r="O19" s="38">
        <v>1110</v>
      </c>
      <c r="P19" s="38">
        <v>1110</v>
      </c>
      <c r="Q19" s="35">
        <f t="shared" si="9"/>
        <v>3330</v>
      </c>
      <c r="R19" s="34">
        <f t="shared" si="4"/>
        <v>16650</v>
      </c>
      <c r="V19">
        <f>R19/R22</f>
        <v>0.11097003808971578</v>
      </c>
    </row>
    <row r="20" spans="1:18" ht="12.75" hidden="1" outlineLevel="3">
      <c r="A20" s="23" t="s">
        <v>22</v>
      </c>
      <c r="B20" s="24">
        <v>132.06</v>
      </c>
      <c r="C20" s="24">
        <v>136.32</v>
      </c>
      <c r="D20" s="24">
        <v>63.9</v>
      </c>
      <c r="E20" s="35">
        <f t="shared" si="6"/>
        <v>332.28</v>
      </c>
      <c r="F20" s="37">
        <v>281.16</v>
      </c>
      <c r="G20" s="38">
        <v>89.46</v>
      </c>
      <c r="H20" s="38">
        <v>123.54</v>
      </c>
      <c r="I20" s="35">
        <f t="shared" si="7"/>
        <v>494.16</v>
      </c>
      <c r="J20" s="38">
        <v>161.88</v>
      </c>
      <c r="K20" s="38">
        <v>132.06</v>
      </c>
      <c r="L20" s="38">
        <v>191.7</v>
      </c>
      <c r="M20" s="35">
        <f t="shared" si="8"/>
        <v>485.64</v>
      </c>
      <c r="N20" s="38">
        <v>200.22</v>
      </c>
      <c r="O20" s="38">
        <v>63.9</v>
      </c>
      <c r="P20" s="38">
        <v>102.24</v>
      </c>
      <c r="Q20" s="35">
        <f t="shared" si="9"/>
        <v>366.36</v>
      </c>
      <c r="R20" s="34">
        <f t="shared" si="4"/>
        <v>1678.44</v>
      </c>
    </row>
    <row r="21" spans="1:18" ht="12.75" hidden="1" outlineLevel="2" collapsed="1">
      <c r="A21" s="22" t="s">
        <v>49</v>
      </c>
      <c r="B21" s="3">
        <f>SUM(B13:B20)</f>
        <v>10730.349999999999</v>
      </c>
      <c r="C21" s="3">
        <f aca="true" t="shared" si="10" ref="C21:Q21">SUM(C13:C20)</f>
        <v>10955.71</v>
      </c>
      <c r="D21" s="3">
        <f t="shared" si="10"/>
        <v>11566.82</v>
      </c>
      <c r="E21" s="32">
        <f t="shared" si="10"/>
        <v>33252.88</v>
      </c>
      <c r="F21" s="33">
        <f t="shared" si="10"/>
        <v>11815.760000000002</v>
      </c>
      <c r="G21" s="33">
        <f t="shared" si="10"/>
        <v>9291.64</v>
      </c>
      <c r="H21" s="33">
        <f t="shared" si="10"/>
        <v>10114.070000000002</v>
      </c>
      <c r="I21" s="32">
        <f t="shared" si="10"/>
        <v>31221.47</v>
      </c>
      <c r="J21" s="33">
        <f t="shared" si="10"/>
        <v>9667.51</v>
      </c>
      <c r="K21" s="33">
        <f t="shared" si="10"/>
        <v>10011.57</v>
      </c>
      <c r="L21" s="33">
        <f t="shared" si="10"/>
        <v>10577.6</v>
      </c>
      <c r="M21" s="32">
        <f t="shared" si="10"/>
        <v>30256.68</v>
      </c>
      <c r="N21" s="33">
        <f t="shared" si="10"/>
        <v>9657.319999999998</v>
      </c>
      <c r="O21" s="33">
        <f t="shared" si="10"/>
        <v>9249.039999999999</v>
      </c>
      <c r="P21" s="33">
        <f t="shared" si="10"/>
        <v>8788.05</v>
      </c>
      <c r="Q21" s="32">
        <f t="shared" si="10"/>
        <v>27694.41</v>
      </c>
      <c r="R21" s="34">
        <f t="shared" si="4"/>
        <v>122425.44</v>
      </c>
    </row>
    <row r="22" spans="1:22" ht="13.5" outlineLevel="1" collapsed="1" thickBot="1">
      <c r="A22" s="26" t="s">
        <v>48</v>
      </c>
      <c r="B22" s="2">
        <f aca="true" t="shared" si="11" ref="B22:R22">B21+B12</f>
        <v>10730.349999999999</v>
      </c>
      <c r="C22" s="2">
        <f t="shared" si="11"/>
        <v>22931.69</v>
      </c>
      <c r="D22" s="2">
        <f t="shared" si="11"/>
        <v>11566.82</v>
      </c>
      <c r="E22" s="39">
        <f t="shared" si="11"/>
        <v>45228.86</v>
      </c>
      <c r="F22" s="40">
        <f t="shared" si="11"/>
        <v>12116.870000000003</v>
      </c>
      <c r="G22" s="40">
        <f t="shared" si="11"/>
        <v>9291.64</v>
      </c>
      <c r="H22" s="40">
        <f t="shared" si="11"/>
        <v>10114.070000000002</v>
      </c>
      <c r="I22" s="39">
        <f t="shared" si="11"/>
        <v>31522.58</v>
      </c>
      <c r="J22" s="40">
        <f t="shared" si="11"/>
        <v>9667.51</v>
      </c>
      <c r="K22" s="40">
        <f t="shared" si="11"/>
        <v>10011.57</v>
      </c>
      <c r="L22" s="40">
        <f t="shared" si="11"/>
        <v>25162.95</v>
      </c>
      <c r="M22" s="39">
        <f t="shared" si="11"/>
        <v>44842.03</v>
      </c>
      <c r="N22" s="40">
        <f t="shared" si="11"/>
        <v>9839.719999999998</v>
      </c>
      <c r="O22" s="40">
        <f t="shared" si="11"/>
        <v>9249.039999999999</v>
      </c>
      <c r="P22" s="40">
        <f t="shared" si="11"/>
        <v>9358.269999999999</v>
      </c>
      <c r="Q22" s="39">
        <f t="shared" si="11"/>
        <v>28447.03</v>
      </c>
      <c r="R22" s="41">
        <f t="shared" si="11"/>
        <v>150040.5</v>
      </c>
      <c r="S22" s="53">
        <f>((B13/0.12)+(C13/0.12)+(D13/0.12)+(F13/0.12)+(G13/0.12)+(H13/0.12)+(J13/0.12)+(K13/0.12)+(L13/0.12)+(N13/0.12)+(O13/0.12)+(P13/0.12))/12</f>
        <v>49931.25</v>
      </c>
      <c r="T22" s="54">
        <f>R22/S22</f>
        <v>3.0049417949680812</v>
      </c>
      <c r="U22" s="56">
        <f>R15/R22</f>
        <v>0.04173093264818499</v>
      </c>
      <c r="V22" t="s">
        <v>56</v>
      </c>
    </row>
    <row r="23" spans="1:18" ht="13.5" outlineLevel="1" thickTop="1">
      <c r="A23" s="16" t="s">
        <v>27</v>
      </c>
      <c r="B23" s="17"/>
      <c r="C23" s="17"/>
      <c r="D23" s="17"/>
      <c r="E23" s="14"/>
      <c r="F23" s="17"/>
      <c r="G23" s="17"/>
      <c r="H23" s="17"/>
      <c r="I23" s="14"/>
      <c r="J23" s="17"/>
      <c r="K23" s="17"/>
      <c r="L23" s="17"/>
      <c r="M23" s="14"/>
      <c r="N23" s="17"/>
      <c r="O23" s="17"/>
      <c r="P23" s="17"/>
      <c r="Q23" s="14"/>
      <c r="R23" s="27"/>
    </row>
    <row r="24" spans="1:18" ht="12.75" hidden="1" outlineLevel="3">
      <c r="A24" s="19" t="s">
        <v>40</v>
      </c>
      <c r="B24" s="20"/>
      <c r="C24" s="20"/>
      <c r="D24" s="20"/>
      <c r="E24" s="12">
        <f aca="true" t="shared" si="12" ref="E24:E30">SUM(B24:D24)</f>
        <v>0</v>
      </c>
      <c r="F24" s="20"/>
      <c r="G24" s="20"/>
      <c r="H24" s="20"/>
      <c r="I24" s="12">
        <f aca="true" t="shared" si="13" ref="I24:I30">SUM(F24:H24)</f>
        <v>0</v>
      </c>
      <c r="J24" s="20"/>
      <c r="K24" s="20"/>
      <c r="L24" s="20"/>
      <c r="M24" s="12">
        <f aca="true" t="shared" si="14" ref="M24:M30">SUM(J24:L24)</f>
        <v>0</v>
      </c>
      <c r="N24" s="20"/>
      <c r="O24" s="20"/>
      <c r="P24" s="20"/>
      <c r="Q24" s="12">
        <f aca="true" t="shared" si="15" ref="Q24:Q30">SUM(N24:P24)</f>
        <v>0</v>
      </c>
      <c r="R24" s="21">
        <f aca="true" t="shared" si="16" ref="R24:R30">Q24+M24+I24+E24</f>
        <v>0</v>
      </c>
    </row>
    <row r="25" spans="1:18" ht="12.75" hidden="1" outlineLevel="3">
      <c r="A25" s="19" t="s">
        <v>41</v>
      </c>
      <c r="B25" s="20"/>
      <c r="C25" s="20"/>
      <c r="D25" s="20"/>
      <c r="E25" s="12">
        <f t="shared" si="12"/>
        <v>0</v>
      </c>
      <c r="F25" s="20"/>
      <c r="G25" s="20"/>
      <c r="H25" s="20"/>
      <c r="I25" s="12">
        <f t="shared" si="13"/>
        <v>0</v>
      </c>
      <c r="J25" s="20"/>
      <c r="K25" s="20"/>
      <c r="L25" s="20"/>
      <c r="M25" s="12">
        <f t="shared" si="14"/>
        <v>0</v>
      </c>
      <c r="N25" s="20"/>
      <c r="O25" s="20"/>
      <c r="P25" s="20"/>
      <c r="Q25" s="12">
        <f t="shared" si="15"/>
        <v>0</v>
      </c>
      <c r="R25" s="21">
        <f t="shared" si="16"/>
        <v>0</v>
      </c>
    </row>
    <row r="26" spans="1:18" ht="12.75" hidden="1" outlineLevel="3">
      <c r="A26" s="19" t="s">
        <v>42</v>
      </c>
      <c r="B26" s="20"/>
      <c r="C26" s="20"/>
      <c r="D26" s="20"/>
      <c r="E26" s="12">
        <f t="shared" si="12"/>
        <v>0</v>
      </c>
      <c r="F26" s="20"/>
      <c r="G26" s="20"/>
      <c r="H26" s="20"/>
      <c r="I26" s="12">
        <f t="shared" si="13"/>
        <v>0</v>
      </c>
      <c r="J26" s="20"/>
      <c r="K26" s="20"/>
      <c r="L26" s="20"/>
      <c r="M26" s="12">
        <f t="shared" si="14"/>
        <v>0</v>
      </c>
      <c r="N26" s="20"/>
      <c r="O26" s="20"/>
      <c r="P26" s="20"/>
      <c r="Q26" s="12">
        <f t="shared" si="15"/>
        <v>0</v>
      </c>
      <c r="R26" s="21">
        <f t="shared" si="16"/>
        <v>0</v>
      </c>
    </row>
    <row r="27" spans="1:21" ht="12.75" hidden="1" outlineLevel="3">
      <c r="A27" s="19" t="s">
        <v>43</v>
      </c>
      <c r="B27" s="20"/>
      <c r="C27" s="20"/>
      <c r="D27" s="20"/>
      <c r="E27" s="12">
        <f t="shared" si="12"/>
        <v>0</v>
      </c>
      <c r="F27" s="20"/>
      <c r="G27" s="20"/>
      <c r="H27" s="20"/>
      <c r="I27" s="12">
        <f t="shared" si="13"/>
        <v>0</v>
      </c>
      <c r="J27" s="20"/>
      <c r="K27" s="20"/>
      <c r="L27" s="20"/>
      <c r="M27" s="12">
        <f t="shared" si="14"/>
        <v>0</v>
      </c>
      <c r="N27" s="20"/>
      <c r="O27" s="20"/>
      <c r="P27" s="20"/>
      <c r="Q27" s="12">
        <f t="shared" si="15"/>
        <v>0</v>
      </c>
      <c r="R27" s="21">
        <f t="shared" si="16"/>
        <v>0</v>
      </c>
      <c r="U27" s="56"/>
    </row>
    <row r="28" spans="1:18" ht="12.75" hidden="1" outlineLevel="3">
      <c r="A28" s="19" t="s">
        <v>44</v>
      </c>
      <c r="B28" s="20"/>
      <c r="C28" s="20"/>
      <c r="D28" s="20"/>
      <c r="E28" s="12">
        <f t="shared" si="12"/>
        <v>0</v>
      </c>
      <c r="F28" s="20"/>
      <c r="G28" s="20"/>
      <c r="H28" s="20"/>
      <c r="I28" s="12">
        <f t="shared" si="13"/>
        <v>0</v>
      </c>
      <c r="J28" s="20"/>
      <c r="K28" s="20"/>
      <c r="L28" s="20"/>
      <c r="M28" s="12">
        <f t="shared" si="14"/>
        <v>0</v>
      </c>
      <c r="N28" s="20"/>
      <c r="O28" s="20"/>
      <c r="P28" s="20"/>
      <c r="Q28" s="12">
        <f t="shared" si="15"/>
        <v>0</v>
      </c>
      <c r="R28" s="21">
        <f t="shared" si="16"/>
        <v>0</v>
      </c>
    </row>
    <row r="29" spans="1:18" ht="12.75" hidden="1" outlineLevel="3">
      <c r="A29" s="19" t="s">
        <v>45</v>
      </c>
      <c r="B29" s="20"/>
      <c r="C29" s="20"/>
      <c r="D29" s="20"/>
      <c r="E29" s="12">
        <f t="shared" si="12"/>
        <v>0</v>
      </c>
      <c r="F29" s="20">
        <v>20.99</v>
      </c>
      <c r="G29" s="20"/>
      <c r="H29" s="20"/>
      <c r="I29" s="12">
        <f t="shared" si="13"/>
        <v>20.99</v>
      </c>
      <c r="J29" s="20"/>
      <c r="K29" s="20"/>
      <c r="L29" s="20">
        <v>1016.75</v>
      </c>
      <c r="M29" s="12">
        <f t="shared" si="14"/>
        <v>1016.75</v>
      </c>
      <c r="N29" s="20">
        <v>12.71</v>
      </c>
      <c r="O29" s="20"/>
      <c r="P29" s="20">
        <f>36.73+2.59</f>
        <v>39.31999999999999</v>
      </c>
      <c r="Q29" s="12">
        <f t="shared" si="15"/>
        <v>52.029999999999994</v>
      </c>
      <c r="R29" s="21">
        <f t="shared" si="16"/>
        <v>1089.77</v>
      </c>
    </row>
    <row r="30" spans="1:18" ht="12.75" hidden="1" outlineLevel="3">
      <c r="A30" s="19" t="s">
        <v>46</v>
      </c>
      <c r="B30" s="20"/>
      <c r="C30" s="20"/>
      <c r="D30" s="20"/>
      <c r="E30" s="12">
        <f t="shared" si="12"/>
        <v>0</v>
      </c>
      <c r="F30" s="20"/>
      <c r="G30" s="20"/>
      <c r="H30" s="20"/>
      <c r="I30" s="12">
        <f t="shared" si="13"/>
        <v>0</v>
      </c>
      <c r="J30" s="20"/>
      <c r="K30" s="20"/>
      <c r="L30" s="20"/>
      <c r="M30" s="12">
        <f t="shared" si="14"/>
        <v>0</v>
      </c>
      <c r="N30" s="20"/>
      <c r="O30" s="20"/>
      <c r="P30" s="20"/>
      <c r="Q30" s="12">
        <f t="shared" si="15"/>
        <v>0</v>
      </c>
      <c r="R30" s="21">
        <f t="shared" si="16"/>
        <v>0</v>
      </c>
    </row>
    <row r="31" spans="1:18" ht="12.75" hidden="1" outlineLevel="3">
      <c r="A31" s="19" t="s">
        <v>58</v>
      </c>
      <c r="B31" s="24"/>
      <c r="C31" s="24"/>
      <c r="D31" s="24"/>
      <c r="E31" s="59">
        <f>SUM(B31:D31)</f>
        <v>0</v>
      </c>
      <c r="F31" s="52"/>
      <c r="G31" s="52"/>
      <c r="H31" s="52"/>
      <c r="I31" s="59">
        <f>SUM(F31:H31)</f>
        <v>0</v>
      </c>
      <c r="J31" s="52"/>
      <c r="K31" s="52"/>
      <c r="L31" s="52"/>
      <c r="M31" s="59">
        <f>SUM(J31:L31)</f>
        <v>0</v>
      </c>
      <c r="N31" s="52"/>
      <c r="O31" s="52"/>
      <c r="P31" s="52"/>
      <c r="Q31" s="59">
        <f>SUM(N31:P31)</f>
        <v>0</v>
      </c>
      <c r="R31" s="60">
        <f>Q31+M31+I31+E31</f>
        <v>0</v>
      </c>
    </row>
    <row r="32" spans="1:18" ht="12.75" hidden="1" outlineLevel="2" collapsed="1">
      <c r="A32" s="22" t="s">
        <v>47</v>
      </c>
      <c r="B32" s="3">
        <f aca="true" t="shared" si="17" ref="B32:Q32">SUM(B24:B31)</f>
        <v>0</v>
      </c>
      <c r="C32" s="3">
        <f t="shared" si="17"/>
        <v>0</v>
      </c>
      <c r="D32" s="3">
        <f t="shared" si="17"/>
        <v>0</v>
      </c>
      <c r="E32" s="33">
        <f t="shared" si="17"/>
        <v>0</v>
      </c>
      <c r="F32" s="33">
        <f t="shared" si="17"/>
        <v>20.99</v>
      </c>
      <c r="G32" s="33">
        <f t="shared" si="17"/>
        <v>0</v>
      </c>
      <c r="H32" s="33">
        <f t="shared" si="17"/>
        <v>0</v>
      </c>
      <c r="I32" s="33">
        <f t="shared" si="17"/>
        <v>20.99</v>
      </c>
      <c r="J32" s="33">
        <f t="shared" si="17"/>
        <v>0</v>
      </c>
      <c r="K32" s="33">
        <f t="shared" si="17"/>
        <v>0</v>
      </c>
      <c r="L32" s="33">
        <f t="shared" si="17"/>
        <v>1016.75</v>
      </c>
      <c r="M32" s="33">
        <f t="shared" si="17"/>
        <v>1016.75</v>
      </c>
      <c r="N32" s="33">
        <f t="shared" si="17"/>
        <v>12.71</v>
      </c>
      <c r="O32" s="33">
        <f t="shared" si="17"/>
        <v>0</v>
      </c>
      <c r="P32" s="33">
        <f t="shared" si="17"/>
        <v>39.31999999999999</v>
      </c>
      <c r="Q32" s="33">
        <f t="shared" si="17"/>
        <v>52.029999999999994</v>
      </c>
      <c r="R32" s="34">
        <f>Q32+M32+I32+E32</f>
        <v>1089.77</v>
      </c>
    </row>
    <row r="33" spans="1:18" ht="12.75" hidden="1" outlineLevel="3">
      <c r="A33" s="23" t="s">
        <v>15</v>
      </c>
      <c r="B33" s="3">
        <v>425.52</v>
      </c>
      <c r="C33" s="3">
        <v>424.8</v>
      </c>
      <c r="D33" s="3">
        <v>423</v>
      </c>
      <c r="E33" s="35">
        <f>SUM(B33:D33)</f>
        <v>1273.32</v>
      </c>
      <c r="F33" s="37">
        <v>417.12</v>
      </c>
      <c r="G33" s="37">
        <v>416.28</v>
      </c>
      <c r="H33" s="37">
        <v>413.04</v>
      </c>
      <c r="I33" s="35">
        <f>SUM(F33:H33)</f>
        <v>1246.44</v>
      </c>
      <c r="J33" s="37">
        <v>411.48</v>
      </c>
      <c r="K33" s="37">
        <v>411.36</v>
      </c>
      <c r="L33" s="37">
        <v>414.96</v>
      </c>
      <c r="M33" s="35">
        <f>SUM(J33:L33)</f>
        <v>1237.8</v>
      </c>
      <c r="N33" s="37">
        <v>413.76</v>
      </c>
      <c r="O33" s="38">
        <v>411.72</v>
      </c>
      <c r="P33" s="38">
        <v>411.24</v>
      </c>
      <c r="Q33" s="35">
        <f>SUM(N33:P33)</f>
        <v>1236.72</v>
      </c>
      <c r="R33" s="34">
        <f>Q33+M33+I33+E33</f>
        <v>4994.28</v>
      </c>
    </row>
    <row r="34" spans="1:18" ht="12.75" hidden="1" outlineLevel="3">
      <c r="A34" s="23" t="s">
        <v>16</v>
      </c>
      <c r="B34" s="3">
        <v>88</v>
      </c>
      <c r="C34" s="3">
        <v>88</v>
      </c>
      <c r="D34" s="3">
        <v>88</v>
      </c>
      <c r="E34" s="35">
        <f aca="true" t="shared" si="18" ref="E34:E40">SUM(B34:D34)</f>
        <v>264</v>
      </c>
      <c r="F34" s="37">
        <v>88</v>
      </c>
      <c r="G34" s="37">
        <v>88</v>
      </c>
      <c r="H34" s="37">
        <v>88</v>
      </c>
      <c r="I34" s="35">
        <f aca="true" t="shared" si="19" ref="I34:I40">SUM(F34:H34)</f>
        <v>264</v>
      </c>
      <c r="J34" s="37">
        <v>88</v>
      </c>
      <c r="K34" s="37">
        <v>88</v>
      </c>
      <c r="L34" s="37">
        <v>88</v>
      </c>
      <c r="M34" s="35">
        <f aca="true" t="shared" si="20" ref="M34:M40">SUM(J34:L34)</f>
        <v>264</v>
      </c>
      <c r="N34" s="37">
        <v>88</v>
      </c>
      <c r="O34" s="38">
        <v>88</v>
      </c>
      <c r="P34" s="38">
        <v>88</v>
      </c>
      <c r="Q34" s="35">
        <f aca="true" t="shared" si="21" ref="Q34:Q40">SUM(N34:P34)</f>
        <v>264</v>
      </c>
      <c r="R34" s="34">
        <f aca="true" t="shared" si="22" ref="R34:R41">Q34+M34+I34+E34</f>
        <v>1056</v>
      </c>
    </row>
    <row r="35" spans="1:18" ht="12.75" hidden="1" outlineLevel="3">
      <c r="A35" s="23" t="s">
        <v>17</v>
      </c>
      <c r="B35" s="3">
        <v>20.34</v>
      </c>
      <c r="C35" s="3">
        <v>64.41</v>
      </c>
      <c r="D35" s="3">
        <v>42.94</v>
      </c>
      <c r="E35" s="35">
        <f t="shared" si="18"/>
        <v>127.69</v>
      </c>
      <c r="F35" s="37">
        <v>24.86</v>
      </c>
      <c r="G35" s="37">
        <v>18.08</v>
      </c>
      <c r="H35" s="37">
        <v>14.69</v>
      </c>
      <c r="I35" s="35">
        <f t="shared" si="19"/>
        <v>57.629999999999995</v>
      </c>
      <c r="J35" s="37">
        <v>14.69</v>
      </c>
      <c r="K35" s="37">
        <v>48.59</v>
      </c>
      <c r="L35" s="37">
        <v>96.05</v>
      </c>
      <c r="M35" s="35">
        <f t="shared" si="20"/>
        <v>159.32999999999998</v>
      </c>
      <c r="N35" s="37">
        <v>44.07</v>
      </c>
      <c r="O35" s="38">
        <v>28.25</v>
      </c>
      <c r="P35" s="38">
        <v>20.34</v>
      </c>
      <c r="Q35" s="35">
        <f t="shared" si="21"/>
        <v>92.66</v>
      </c>
      <c r="R35" s="34">
        <f t="shared" si="22"/>
        <v>437.31</v>
      </c>
    </row>
    <row r="36" spans="1:18" ht="12.75" hidden="1" outlineLevel="3">
      <c r="A36" s="25" t="s">
        <v>18</v>
      </c>
      <c r="B36" s="3"/>
      <c r="C36" s="3">
        <f>31.61+0.74</f>
        <v>32.35</v>
      </c>
      <c r="D36" s="3">
        <f>31.71+0.69</f>
        <v>32.4</v>
      </c>
      <c r="E36" s="35">
        <f t="shared" si="18"/>
        <v>64.75</v>
      </c>
      <c r="F36" s="37">
        <f>59.96+0.72+77.81+0.78</f>
        <v>139.27</v>
      </c>
      <c r="G36" s="37"/>
      <c r="H36" s="37">
        <v>57</v>
      </c>
      <c r="I36" s="35">
        <f t="shared" si="19"/>
        <v>196.27</v>
      </c>
      <c r="J36" s="37">
        <f>34.31+0.6</f>
        <v>34.910000000000004</v>
      </c>
      <c r="K36" s="37">
        <f>33.26+0.61</f>
        <v>33.87</v>
      </c>
      <c r="L36" s="37">
        <f>30.15+0.61+39.32+0.6</f>
        <v>70.67999999999999</v>
      </c>
      <c r="M36" s="35">
        <f t="shared" si="20"/>
        <v>139.45999999999998</v>
      </c>
      <c r="N36" s="37">
        <f>36.81+0.61</f>
        <v>37.42</v>
      </c>
      <c r="O36" s="38">
        <f>33+0.62</f>
        <v>33.62</v>
      </c>
      <c r="P36" s="38"/>
      <c r="Q36" s="35">
        <f t="shared" si="21"/>
        <v>71.03999999999999</v>
      </c>
      <c r="R36" s="34">
        <f t="shared" si="22"/>
        <v>471.52</v>
      </c>
    </row>
    <row r="37" spans="1:18" ht="12.75" hidden="1" outlineLevel="3">
      <c r="A37" s="23" t="s">
        <v>19</v>
      </c>
      <c r="B37" s="3">
        <v>3.72</v>
      </c>
      <c r="C37" s="3">
        <v>12.09</v>
      </c>
      <c r="D37" s="3">
        <v>10.23</v>
      </c>
      <c r="E37" s="35">
        <f t="shared" si="18"/>
        <v>26.04</v>
      </c>
      <c r="F37" s="37">
        <v>1.86</v>
      </c>
      <c r="G37" s="37">
        <v>1.86</v>
      </c>
      <c r="H37" s="37">
        <v>1.86</v>
      </c>
      <c r="I37" s="35">
        <f t="shared" si="19"/>
        <v>5.58</v>
      </c>
      <c r="J37" s="37">
        <v>2.79</v>
      </c>
      <c r="K37" s="37">
        <v>2.79</v>
      </c>
      <c r="L37" s="37">
        <v>2.79</v>
      </c>
      <c r="M37" s="35">
        <f t="shared" si="20"/>
        <v>8.370000000000001</v>
      </c>
      <c r="N37" s="37">
        <v>2.79</v>
      </c>
      <c r="O37" s="38">
        <v>6.51</v>
      </c>
      <c r="P37" s="38">
        <v>1.86</v>
      </c>
      <c r="Q37" s="35">
        <f t="shared" si="21"/>
        <v>11.16</v>
      </c>
      <c r="R37" s="34">
        <f t="shared" si="22"/>
        <v>51.15</v>
      </c>
    </row>
    <row r="38" spans="1:18" ht="12.75" hidden="1" outlineLevel="3">
      <c r="A38" s="23" t="s">
        <v>20</v>
      </c>
      <c r="B38" s="3">
        <v>15.5</v>
      </c>
      <c r="C38" s="3">
        <v>27.5</v>
      </c>
      <c r="D38" s="3">
        <f>23.5+0.42+10.17</f>
        <v>34.09</v>
      </c>
      <c r="E38" s="35">
        <f t="shared" si="18"/>
        <v>77.09</v>
      </c>
      <c r="F38" s="37">
        <f>46+0.3+3.39</f>
        <v>49.69</v>
      </c>
      <c r="G38" s="37">
        <v>10.63</v>
      </c>
      <c r="H38" s="37">
        <v>33.18</v>
      </c>
      <c r="I38" s="35">
        <f t="shared" si="19"/>
        <v>93.5</v>
      </c>
      <c r="J38" s="37">
        <f>15+0.12</f>
        <v>15.12</v>
      </c>
      <c r="K38" s="37">
        <f>27.5+0.18</f>
        <v>27.68</v>
      </c>
      <c r="L38" s="37">
        <f>24+1.13</f>
        <v>25.13</v>
      </c>
      <c r="M38" s="35">
        <f t="shared" si="20"/>
        <v>67.92999999999999</v>
      </c>
      <c r="N38" s="37">
        <f>13+2.26</f>
        <v>15.26</v>
      </c>
      <c r="O38" s="38">
        <f>38+0.12</f>
        <v>38.12</v>
      </c>
      <c r="P38" s="38">
        <f>22+1.13</f>
        <v>23.13</v>
      </c>
      <c r="Q38" s="35">
        <f t="shared" si="21"/>
        <v>76.50999999999999</v>
      </c>
      <c r="R38" s="34">
        <f t="shared" si="22"/>
        <v>315.03</v>
      </c>
    </row>
    <row r="39" spans="1:18" ht="12.75" hidden="1" outlineLevel="3">
      <c r="A39" s="23" t="s">
        <v>21</v>
      </c>
      <c r="B39" s="3"/>
      <c r="C39" s="3"/>
      <c r="D39" s="3"/>
      <c r="E39" s="35">
        <f t="shared" si="18"/>
        <v>0</v>
      </c>
      <c r="F39" s="37"/>
      <c r="G39" s="37"/>
      <c r="H39" s="37"/>
      <c r="I39" s="35">
        <f t="shared" si="19"/>
        <v>0</v>
      </c>
      <c r="J39" s="37"/>
      <c r="K39" s="37"/>
      <c r="L39" s="37"/>
      <c r="M39" s="35">
        <f t="shared" si="20"/>
        <v>0</v>
      </c>
      <c r="N39" s="37"/>
      <c r="O39" s="38"/>
      <c r="P39" s="38"/>
      <c r="Q39" s="35">
        <f t="shared" si="21"/>
        <v>0</v>
      </c>
      <c r="R39" s="34">
        <f t="shared" si="22"/>
        <v>0</v>
      </c>
    </row>
    <row r="40" spans="1:18" ht="12.75" hidden="1" outlineLevel="3">
      <c r="A40" s="23" t="s">
        <v>22</v>
      </c>
      <c r="B40" s="3">
        <v>12.78</v>
      </c>
      <c r="C40" s="3">
        <f>4.26+0.06+9.04</f>
        <v>13.36</v>
      </c>
      <c r="D40" s="3"/>
      <c r="E40" s="35">
        <f t="shared" si="18"/>
        <v>26.14</v>
      </c>
      <c r="F40" s="37">
        <v>12.78</v>
      </c>
      <c r="G40" s="37">
        <v>4.26</v>
      </c>
      <c r="H40" s="37">
        <v>4.26</v>
      </c>
      <c r="I40" s="35">
        <f t="shared" si="19"/>
        <v>21.299999999999997</v>
      </c>
      <c r="J40" s="37"/>
      <c r="K40" s="37">
        <v>12.78</v>
      </c>
      <c r="L40" s="37">
        <v>8.52</v>
      </c>
      <c r="M40" s="35">
        <f t="shared" si="20"/>
        <v>21.299999999999997</v>
      </c>
      <c r="N40" s="37">
        <v>17.04</v>
      </c>
      <c r="O40" s="38"/>
      <c r="P40" s="38">
        <v>12.78</v>
      </c>
      <c r="Q40" s="35">
        <f t="shared" si="21"/>
        <v>29.82</v>
      </c>
      <c r="R40" s="34">
        <f t="shared" si="22"/>
        <v>98.55999999999999</v>
      </c>
    </row>
    <row r="41" spans="1:18" ht="12.75" hidden="1" outlineLevel="2" collapsed="1">
      <c r="A41" s="22" t="s">
        <v>50</v>
      </c>
      <c r="B41" s="33">
        <f aca="true" t="shared" si="23" ref="B41:Q41">SUM(B33:B40)</f>
        <v>565.86</v>
      </c>
      <c r="C41" s="33">
        <f t="shared" si="23"/>
        <v>662.51</v>
      </c>
      <c r="D41" s="33">
        <f t="shared" si="23"/>
        <v>630.6600000000001</v>
      </c>
      <c r="E41" s="32">
        <f t="shared" si="23"/>
        <v>1859.03</v>
      </c>
      <c r="F41" s="33">
        <f t="shared" si="23"/>
        <v>733.5799999999999</v>
      </c>
      <c r="G41" s="33">
        <f t="shared" si="23"/>
        <v>539.11</v>
      </c>
      <c r="H41" s="33">
        <f t="shared" si="23"/>
        <v>612.03</v>
      </c>
      <c r="I41" s="32">
        <f t="shared" si="23"/>
        <v>1884.72</v>
      </c>
      <c r="J41" s="33">
        <f t="shared" si="23"/>
        <v>566.99</v>
      </c>
      <c r="K41" s="33">
        <f t="shared" si="23"/>
        <v>625.0699999999999</v>
      </c>
      <c r="L41" s="33">
        <f t="shared" si="23"/>
        <v>706.1299999999999</v>
      </c>
      <c r="M41" s="32">
        <f t="shared" si="23"/>
        <v>1898.1899999999998</v>
      </c>
      <c r="N41" s="33">
        <f t="shared" si="23"/>
        <v>618.3399999999999</v>
      </c>
      <c r="O41" s="33">
        <f t="shared" si="23"/>
        <v>606.22</v>
      </c>
      <c r="P41" s="33">
        <f t="shared" si="23"/>
        <v>557.35</v>
      </c>
      <c r="Q41" s="32">
        <f t="shared" si="23"/>
        <v>1781.91</v>
      </c>
      <c r="R41" s="34">
        <f t="shared" si="22"/>
        <v>7423.849999999999</v>
      </c>
    </row>
    <row r="42" spans="1:21" ht="13.5" outlineLevel="1" collapsed="1" thickBot="1">
      <c r="A42" s="26" t="s">
        <v>48</v>
      </c>
      <c r="B42" s="40">
        <f aca="true" t="shared" si="24" ref="B42:R42">B41+B32</f>
        <v>565.86</v>
      </c>
      <c r="C42" s="40">
        <f t="shared" si="24"/>
        <v>662.51</v>
      </c>
      <c r="D42" s="40">
        <f t="shared" si="24"/>
        <v>630.6600000000001</v>
      </c>
      <c r="E42" s="39">
        <f t="shared" si="24"/>
        <v>1859.03</v>
      </c>
      <c r="F42" s="40">
        <f t="shared" si="24"/>
        <v>754.5699999999999</v>
      </c>
      <c r="G42" s="40">
        <f t="shared" si="24"/>
        <v>539.11</v>
      </c>
      <c r="H42" s="40">
        <f t="shared" si="24"/>
        <v>612.03</v>
      </c>
      <c r="I42" s="39">
        <f t="shared" si="24"/>
        <v>1905.71</v>
      </c>
      <c r="J42" s="40">
        <f t="shared" si="24"/>
        <v>566.99</v>
      </c>
      <c r="K42" s="40">
        <f t="shared" si="24"/>
        <v>625.0699999999999</v>
      </c>
      <c r="L42" s="40">
        <f t="shared" si="24"/>
        <v>1722.8799999999999</v>
      </c>
      <c r="M42" s="39">
        <f t="shared" si="24"/>
        <v>2914.9399999999996</v>
      </c>
      <c r="N42" s="40">
        <f t="shared" si="24"/>
        <v>631.05</v>
      </c>
      <c r="O42" s="40">
        <f t="shared" si="24"/>
        <v>606.22</v>
      </c>
      <c r="P42" s="40">
        <f t="shared" si="24"/>
        <v>596.6700000000001</v>
      </c>
      <c r="Q42" s="39">
        <f t="shared" si="24"/>
        <v>1833.94</v>
      </c>
      <c r="R42" s="41">
        <f t="shared" si="24"/>
        <v>8513.619999999999</v>
      </c>
      <c r="S42" s="53">
        <f>((B33/0.12)+(C33/0.12)+(D33/0.12)+(F33/0.12)+(G33/0.12)+(H33/0.12)+(J33/0.12)+(K33/0.12)+(L33/0.12)+(N33/0.12)+(O33/0.12)+(P33/0.12))/12</f>
        <v>3468.25</v>
      </c>
      <c r="T42" s="54">
        <f>R42/S42</f>
        <v>2.4547307720031712</v>
      </c>
      <c r="U42" s="56">
        <f>R35/R42</f>
        <v>0.051365928946793496</v>
      </c>
    </row>
    <row r="43" spans="1:18" ht="13.5" outlineLevel="1" thickTop="1">
      <c r="A43" s="16" t="s">
        <v>28</v>
      </c>
      <c r="B43" s="17"/>
      <c r="C43" s="17"/>
      <c r="D43" s="17"/>
      <c r="E43" s="14"/>
      <c r="F43" s="17"/>
      <c r="G43" s="17"/>
      <c r="H43" s="17"/>
      <c r="I43" s="14"/>
      <c r="J43" s="17"/>
      <c r="K43" s="17"/>
      <c r="L43" s="17"/>
      <c r="M43" s="14"/>
      <c r="N43" s="17"/>
      <c r="O43" s="17"/>
      <c r="P43" s="17"/>
      <c r="Q43" s="14"/>
      <c r="R43" s="27"/>
    </row>
    <row r="44" spans="1:18" ht="12.75" hidden="1" outlineLevel="3">
      <c r="A44" s="19" t="s">
        <v>40</v>
      </c>
      <c r="B44" s="20"/>
      <c r="C44" s="20"/>
      <c r="D44" s="20"/>
      <c r="E44" s="12">
        <f aca="true" t="shared" si="25" ref="E44:E50">SUM(B44:D44)</f>
        <v>0</v>
      </c>
      <c r="F44" s="20"/>
      <c r="G44" s="20"/>
      <c r="H44" s="20"/>
      <c r="I44" s="12">
        <f aca="true" t="shared" si="26" ref="I44:I50">SUM(F44:H44)</f>
        <v>0</v>
      </c>
      <c r="J44" s="20"/>
      <c r="K44" s="20"/>
      <c r="L44" s="20"/>
      <c r="M44" s="12">
        <f aca="true" t="shared" si="27" ref="M44:M50">SUM(J44:L44)</f>
        <v>0</v>
      </c>
      <c r="N44" s="20"/>
      <c r="O44" s="20"/>
      <c r="P44" s="20"/>
      <c r="Q44" s="12">
        <f aca="true" t="shared" si="28" ref="Q44:Q50">SUM(N44:P44)</f>
        <v>0</v>
      </c>
      <c r="R44" s="21">
        <f aca="true" t="shared" si="29" ref="R44:R50">Q44+M44+I44+E44</f>
        <v>0</v>
      </c>
    </row>
    <row r="45" spans="1:18" ht="12.75" hidden="1" outlineLevel="3">
      <c r="A45" s="19" t="s">
        <v>41</v>
      </c>
      <c r="B45" s="20"/>
      <c r="C45" s="20"/>
      <c r="D45" s="20"/>
      <c r="E45" s="12">
        <f t="shared" si="25"/>
        <v>0</v>
      </c>
      <c r="F45" s="20"/>
      <c r="G45" s="20"/>
      <c r="H45" s="20"/>
      <c r="I45" s="12">
        <f t="shared" si="26"/>
        <v>0</v>
      </c>
      <c r="J45" s="20"/>
      <c r="K45" s="20"/>
      <c r="L45" s="20"/>
      <c r="M45" s="12">
        <f t="shared" si="27"/>
        <v>0</v>
      </c>
      <c r="N45" s="20"/>
      <c r="O45" s="20"/>
      <c r="P45" s="20"/>
      <c r="Q45" s="12">
        <f t="shared" si="28"/>
        <v>0</v>
      </c>
      <c r="R45" s="21">
        <f t="shared" si="29"/>
        <v>0</v>
      </c>
    </row>
    <row r="46" spans="1:18" ht="12.75" hidden="1" outlineLevel="3">
      <c r="A46" s="19" t="s">
        <v>42</v>
      </c>
      <c r="B46" s="20"/>
      <c r="C46" s="20"/>
      <c r="D46" s="20"/>
      <c r="E46" s="12">
        <f t="shared" si="25"/>
        <v>0</v>
      </c>
      <c r="F46" s="20"/>
      <c r="G46" s="20"/>
      <c r="H46" s="20"/>
      <c r="I46" s="12">
        <f t="shared" si="26"/>
        <v>0</v>
      </c>
      <c r="J46" s="20"/>
      <c r="K46" s="20"/>
      <c r="L46" s="20"/>
      <c r="M46" s="12">
        <f t="shared" si="27"/>
        <v>0</v>
      </c>
      <c r="N46" s="20"/>
      <c r="O46" s="20"/>
      <c r="P46" s="20"/>
      <c r="Q46" s="12">
        <f t="shared" si="28"/>
        <v>0</v>
      </c>
      <c r="R46" s="21">
        <f t="shared" si="29"/>
        <v>0</v>
      </c>
    </row>
    <row r="47" spans="1:18" ht="12.75" hidden="1" outlineLevel="3">
      <c r="A47" s="19" t="s">
        <v>43</v>
      </c>
      <c r="B47" s="20"/>
      <c r="C47" s="20"/>
      <c r="D47" s="20"/>
      <c r="E47" s="12">
        <f t="shared" si="25"/>
        <v>0</v>
      </c>
      <c r="F47" s="20"/>
      <c r="G47" s="20"/>
      <c r="H47" s="20"/>
      <c r="I47" s="12">
        <f t="shared" si="26"/>
        <v>0</v>
      </c>
      <c r="J47" s="20"/>
      <c r="K47" s="20"/>
      <c r="L47" s="20"/>
      <c r="M47" s="12">
        <f t="shared" si="27"/>
        <v>0</v>
      </c>
      <c r="N47" s="20"/>
      <c r="O47" s="20"/>
      <c r="P47" s="20"/>
      <c r="Q47" s="12">
        <f t="shared" si="28"/>
        <v>0</v>
      </c>
      <c r="R47" s="21">
        <f t="shared" si="29"/>
        <v>0</v>
      </c>
    </row>
    <row r="48" spans="1:18" ht="12.75" hidden="1" outlineLevel="3">
      <c r="A48" s="19" t="s">
        <v>44</v>
      </c>
      <c r="B48" s="20"/>
      <c r="C48" s="20"/>
      <c r="D48" s="20"/>
      <c r="E48" s="12">
        <f t="shared" si="25"/>
        <v>0</v>
      </c>
      <c r="F48" s="20"/>
      <c r="G48" s="20"/>
      <c r="H48" s="20"/>
      <c r="I48" s="12">
        <f t="shared" si="26"/>
        <v>0</v>
      </c>
      <c r="J48" s="20"/>
      <c r="K48" s="20"/>
      <c r="L48" s="20"/>
      <c r="M48" s="12">
        <f t="shared" si="27"/>
        <v>0</v>
      </c>
      <c r="N48" s="20"/>
      <c r="O48" s="20"/>
      <c r="P48" s="20"/>
      <c r="Q48" s="12">
        <f t="shared" si="28"/>
        <v>0</v>
      </c>
      <c r="R48" s="21">
        <f t="shared" si="29"/>
        <v>0</v>
      </c>
    </row>
    <row r="49" spans="1:18" ht="12.75" hidden="1" outlineLevel="3">
      <c r="A49" s="19" t="s">
        <v>45</v>
      </c>
      <c r="B49" s="20"/>
      <c r="C49" s="20"/>
      <c r="D49" s="20"/>
      <c r="E49" s="12">
        <f t="shared" si="25"/>
        <v>0</v>
      </c>
      <c r="F49" s="20">
        <v>34.74</v>
      </c>
      <c r="G49" s="20"/>
      <c r="H49" s="20"/>
      <c r="I49" s="12">
        <f t="shared" si="26"/>
        <v>34.74</v>
      </c>
      <c r="J49" s="20"/>
      <c r="K49" s="20"/>
      <c r="L49" s="20">
        <v>1682.84</v>
      </c>
      <c r="M49" s="12">
        <f t="shared" si="27"/>
        <v>1682.84</v>
      </c>
      <c r="N49" s="20">
        <v>21.04</v>
      </c>
      <c r="O49" s="20"/>
      <c r="P49" s="20">
        <f>64+4.51</f>
        <v>68.51</v>
      </c>
      <c r="Q49" s="12">
        <f t="shared" si="28"/>
        <v>89.55000000000001</v>
      </c>
      <c r="R49" s="21">
        <f t="shared" si="29"/>
        <v>1807.1299999999999</v>
      </c>
    </row>
    <row r="50" spans="1:18" ht="12.75" hidden="1" outlineLevel="3">
      <c r="A50" s="19" t="s">
        <v>46</v>
      </c>
      <c r="B50" s="20"/>
      <c r="C50" s="20"/>
      <c r="D50" s="20"/>
      <c r="E50" s="12">
        <f t="shared" si="25"/>
        <v>0</v>
      </c>
      <c r="F50" s="20"/>
      <c r="G50" s="20"/>
      <c r="H50" s="20"/>
      <c r="I50" s="12">
        <f t="shared" si="26"/>
        <v>0</v>
      </c>
      <c r="J50" s="20"/>
      <c r="K50" s="20"/>
      <c r="L50" s="20"/>
      <c r="M50" s="12">
        <f t="shared" si="27"/>
        <v>0</v>
      </c>
      <c r="N50" s="20"/>
      <c r="O50" s="20"/>
      <c r="P50" s="20"/>
      <c r="Q50" s="12">
        <f t="shared" si="28"/>
        <v>0</v>
      </c>
      <c r="R50" s="21">
        <f t="shared" si="29"/>
        <v>0</v>
      </c>
    </row>
    <row r="51" spans="1:18" ht="12.75" hidden="1" outlineLevel="3">
      <c r="A51" s="19" t="s">
        <v>58</v>
      </c>
      <c r="B51" s="24"/>
      <c r="C51" s="24"/>
      <c r="D51" s="24"/>
      <c r="E51" s="59">
        <f>SUM(B51:D51)</f>
        <v>0</v>
      </c>
      <c r="F51" s="52"/>
      <c r="G51" s="52"/>
      <c r="H51" s="52"/>
      <c r="I51" s="59">
        <f>SUM(F51:H51)</f>
        <v>0</v>
      </c>
      <c r="J51" s="52"/>
      <c r="K51" s="52"/>
      <c r="L51" s="52"/>
      <c r="M51" s="59">
        <f>SUM(J51:L51)</f>
        <v>0</v>
      </c>
      <c r="N51" s="52"/>
      <c r="O51" s="52"/>
      <c r="P51" s="52"/>
      <c r="Q51" s="59">
        <f>SUM(N51:P51)</f>
        <v>0</v>
      </c>
      <c r="R51" s="60">
        <f>Q51+M51+I51+E51</f>
        <v>0</v>
      </c>
    </row>
    <row r="52" spans="1:18" ht="12.75" hidden="1" outlineLevel="2" collapsed="1">
      <c r="A52" s="22" t="s">
        <v>47</v>
      </c>
      <c r="B52" s="3">
        <f aca="true" t="shared" si="30" ref="B52:Q52">SUM(B44:B51)</f>
        <v>0</v>
      </c>
      <c r="C52" s="3">
        <f t="shared" si="30"/>
        <v>0</v>
      </c>
      <c r="D52" s="3">
        <f t="shared" si="30"/>
        <v>0</v>
      </c>
      <c r="E52" s="33">
        <f t="shared" si="30"/>
        <v>0</v>
      </c>
      <c r="F52" s="33">
        <f t="shared" si="30"/>
        <v>34.74</v>
      </c>
      <c r="G52" s="33">
        <f t="shared" si="30"/>
        <v>0</v>
      </c>
      <c r="H52" s="33">
        <f t="shared" si="30"/>
        <v>0</v>
      </c>
      <c r="I52" s="33">
        <f t="shared" si="30"/>
        <v>34.74</v>
      </c>
      <c r="J52" s="33">
        <f t="shared" si="30"/>
        <v>0</v>
      </c>
      <c r="K52" s="33">
        <f t="shared" si="30"/>
        <v>0</v>
      </c>
      <c r="L52" s="33">
        <f t="shared" si="30"/>
        <v>1682.84</v>
      </c>
      <c r="M52" s="33">
        <f t="shared" si="30"/>
        <v>1682.84</v>
      </c>
      <c r="N52" s="33">
        <f t="shared" si="30"/>
        <v>21.04</v>
      </c>
      <c r="O52" s="33">
        <f t="shared" si="30"/>
        <v>0</v>
      </c>
      <c r="P52" s="33">
        <f t="shared" si="30"/>
        <v>68.51</v>
      </c>
      <c r="Q52" s="33">
        <f t="shared" si="30"/>
        <v>89.55000000000001</v>
      </c>
      <c r="R52" s="34">
        <f>Q52+M52+I52+E52</f>
        <v>1807.1299999999999</v>
      </c>
    </row>
    <row r="53" spans="1:20" ht="12.75" hidden="1" outlineLevel="3">
      <c r="A53" s="23" t="s">
        <v>15</v>
      </c>
      <c r="B53" s="3">
        <v>700.32</v>
      </c>
      <c r="C53" s="3">
        <v>698.28</v>
      </c>
      <c r="D53" s="3">
        <v>696.12</v>
      </c>
      <c r="E53" s="35">
        <f>SUM(B53:D53)</f>
        <v>2094.72</v>
      </c>
      <c r="F53" s="37">
        <v>691.8</v>
      </c>
      <c r="G53" s="37">
        <v>692.52</v>
      </c>
      <c r="H53" s="37">
        <v>695.16</v>
      </c>
      <c r="I53" s="35">
        <f>SUM(F53:H53)</f>
        <v>2079.48</v>
      </c>
      <c r="J53" s="37">
        <v>695.52</v>
      </c>
      <c r="K53" s="37">
        <v>695.76</v>
      </c>
      <c r="L53" s="37">
        <v>706.8</v>
      </c>
      <c r="M53" s="35">
        <f>SUM(J53:L53)</f>
        <v>2098.08</v>
      </c>
      <c r="N53" s="37">
        <v>717.72</v>
      </c>
      <c r="O53" s="37">
        <v>716.88</v>
      </c>
      <c r="P53" s="38">
        <v>712.32</v>
      </c>
      <c r="Q53" s="35">
        <f>SUM(N53:P53)</f>
        <v>2146.92</v>
      </c>
      <c r="R53" s="34">
        <f>Q53+M53+I53+E53</f>
        <v>8419.199999999999</v>
      </c>
      <c r="T53" s="54"/>
    </row>
    <row r="54" spans="1:18" ht="12.75" hidden="1" outlineLevel="3">
      <c r="A54" s="23" t="s">
        <v>51</v>
      </c>
      <c r="B54" s="3">
        <v>132</v>
      </c>
      <c r="C54" s="3">
        <v>132</v>
      </c>
      <c r="D54" s="3">
        <v>132</v>
      </c>
      <c r="E54" s="35">
        <f aca="true" t="shared" si="31" ref="E54:E60">SUM(B54:D54)</f>
        <v>396</v>
      </c>
      <c r="F54" s="37">
        <v>132</v>
      </c>
      <c r="G54" s="37">
        <v>132</v>
      </c>
      <c r="H54" s="37">
        <v>132</v>
      </c>
      <c r="I54" s="35">
        <f aca="true" t="shared" si="32" ref="I54:I60">SUM(F54:H54)</f>
        <v>396</v>
      </c>
      <c r="J54" s="37">
        <v>132</v>
      </c>
      <c r="K54" s="37">
        <v>132</v>
      </c>
      <c r="L54" s="37">
        <v>132</v>
      </c>
      <c r="M54" s="35">
        <f aca="true" t="shared" si="33" ref="M54:M60">SUM(J54:L54)</f>
        <v>396</v>
      </c>
      <c r="N54" s="37">
        <v>132</v>
      </c>
      <c r="O54" s="37">
        <v>132</v>
      </c>
      <c r="P54" s="38">
        <v>132</v>
      </c>
      <c r="Q54" s="35">
        <f aca="true" t="shared" si="34" ref="Q54:Q60">SUM(N54:P54)</f>
        <v>396</v>
      </c>
      <c r="R54" s="34">
        <f aca="true" t="shared" si="35" ref="R54:R61">Q54+M54+I54+E54</f>
        <v>1584</v>
      </c>
    </row>
    <row r="55" spans="1:18" ht="12.75" hidden="1" outlineLevel="3">
      <c r="A55" s="23" t="s">
        <v>17</v>
      </c>
      <c r="B55" s="3">
        <v>63.28</v>
      </c>
      <c r="C55" s="3">
        <v>89.27</v>
      </c>
      <c r="D55" s="3">
        <v>68.93</v>
      </c>
      <c r="E55" s="35">
        <f t="shared" si="31"/>
        <v>221.48000000000002</v>
      </c>
      <c r="F55" s="37">
        <v>51.98</v>
      </c>
      <c r="G55" s="37">
        <v>57.63</v>
      </c>
      <c r="H55" s="37">
        <v>77.97</v>
      </c>
      <c r="I55" s="35">
        <f t="shared" si="32"/>
        <v>187.57999999999998</v>
      </c>
      <c r="J55" s="37">
        <v>72.32</v>
      </c>
      <c r="K55" s="37">
        <v>81.36</v>
      </c>
      <c r="L55" s="37">
        <v>214.7</v>
      </c>
      <c r="M55" s="35">
        <f t="shared" si="33"/>
        <v>368.38</v>
      </c>
      <c r="N55" s="37">
        <v>175.15</v>
      </c>
      <c r="O55" s="37">
        <v>109.61</v>
      </c>
      <c r="P55" s="38">
        <v>85.88</v>
      </c>
      <c r="Q55" s="35">
        <f t="shared" si="34"/>
        <v>370.64</v>
      </c>
      <c r="R55" s="34">
        <f t="shared" si="35"/>
        <v>1148.08</v>
      </c>
    </row>
    <row r="56" spans="1:18" ht="12.75" hidden="1" outlineLevel="3">
      <c r="A56" s="25" t="s">
        <v>18</v>
      </c>
      <c r="B56" s="3"/>
      <c r="C56" s="3">
        <f>50.13+0.74</f>
        <v>50.870000000000005</v>
      </c>
      <c r="D56" s="3">
        <f>50.3+0.69</f>
        <v>50.989999999999995</v>
      </c>
      <c r="E56" s="35">
        <f t="shared" si="31"/>
        <v>101.86</v>
      </c>
      <c r="F56" s="37">
        <f>95.11+0.72+128.78+0.78</f>
        <v>225.39000000000001</v>
      </c>
      <c r="G56" s="37"/>
      <c r="H56" s="37">
        <v>94.2</v>
      </c>
      <c r="I56" s="35">
        <f t="shared" si="32"/>
        <v>319.59000000000003</v>
      </c>
      <c r="J56" s="37">
        <f>56.79+0.6</f>
        <v>57.39</v>
      </c>
      <c r="K56" s="37">
        <f>55.05+0.61</f>
        <v>55.66</v>
      </c>
      <c r="L56" s="37">
        <f>49.9+0.61+65.07+0.6</f>
        <v>116.17999999999998</v>
      </c>
      <c r="M56" s="35">
        <f t="shared" si="33"/>
        <v>229.22999999999996</v>
      </c>
      <c r="N56" s="37">
        <f>60.92+0.61</f>
        <v>61.53</v>
      </c>
      <c r="O56" s="37">
        <f>54.63+0.62</f>
        <v>55.25</v>
      </c>
      <c r="P56" s="38"/>
      <c r="Q56" s="35">
        <f t="shared" si="34"/>
        <v>116.78</v>
      </c>
      <c r="R56" s="34">
        <f t="shared" si="35"/>
        <v>767.46</v>
      </c>
    </row>
    <row r="57" spans="1:18" ht="12.75" hidden="1" outlineLevel="3">
      <c r="A57" s="23" t="s">
        <v>19</v>
      </c>
      <c r="B57" s="3">
        <v>7.44</v>
      </c>
      <c r="C57" s="3">
        <v>16.74</v>
      </c>
      <c r="D57" s="3">
        <v>19.53</v>
      </c>
      <c r="E57" s="35">
        <f t="shared" si="31"/>
        <v>43.71</v>
      </c>
      <c r="F57" s="37">
        <v>6.51</v>
      </c>
      <c r="G57" s="37">
        <v>1.86</v>
      </c>
      <c r="H57" s="37">
        <v>5.58</v>
      </c>
      <c r="I57" s="35">
        <f t="shared" si="32"/>
        <v>13.95</v>
      </c>
      <c r="J57" s="37">
        <v>1.86</v>
      </c>
      <c r="K57" s="37">
        <v>4.65</v>
      </c>
      <c r="L57" s="37">
        <v>13.95</v>
      </c>
      <c r="M57" s="35">
        <f t="shared" si="33"/>
        <v>20.46</v>
      </c>
      <c r="N57" s="37">
        <v>5.58</v>
      </c>
      <c r="O57" s="37">
        <v>5.58</v>
      </c>
      <c r="P57" s="38">
        <v>0.93</v>
      </c>
      <c r="Q57" s="35">
        <f t="shared" si="34"/>
        <v>12.09</v>
      </c>
      <c r="R57" s="34">
        <f t="shared" si="35"/>
        <v>90.21000000000001</v>
      </c>
    </row>
    <row r="58" spans="1:18" ht="12.75" hidden="1" outlineLevel="3">
      <c r="A58" s="23" t="s">
        <v>20</v>
      </c>
      <c r="B58" s="3">
        <v>4</v>
      </c>
      <c r="C58" s="3">
        <v>21.5</v>
      </c>
      <c r="D58" s="3">
        <f>88.5+0.54+12.43</f>
        <v>101.47</v>
      </c>
      <c r="E58" s="35">
        <f t="shared" si="31"/>
        <v>126.97</v>
      </c>
      <c r="F58" s="37">
        <v>19</v>
      </c>
      <c r="G58" s="37">
        <v>23.26</v>
      </c>
      <c r="H58" s="37">
        <v>33.06</v>
      </c>
      <c r="I58" s="35">
        <f t="shared" si="32"/>
        <v>75.32000000000001</v>
      </c>
      <c r="J58" s="37">
        <v>12.5</v>
      </c>
      <c r="K58" s="37">
        <v>31.06</v>
      </c>
      <c r="L58" s="37">
        <v>91</v>
      </c>
      <c r="M58" s="35">
        <f t="shared" si="33"/>
        <v>134.56</v>
      </c>
      <c r="N58" s="37">
        <v>62</v>
      </c>
      <c r="O58" s="37">
        <v>26.13</v>
      </c>
      <c r="P58" s="38">
        <f>12+3.39</f>
        <v>15.39</v>
      </c>
      <c r="Q58" s="35">
        <f t="shared" si="34"/>
        <v>103.52</v>
      </c>
      <c r="R58" s="34">
        <f t="shared" si="35"/>
        <v>440.37</v>
      </c>
    </row>
    <row r="59" spans="1:18" ht="12.75" hidden="1" outlineLevel="3">
      <c r="A59" s="23" t="s">
        <v>21</v>
      </c>
      <c r="B59" s="3"/>
      <c r="C59" s="3"/>
      <c r="D59" s="3"/>
      <c r="E59" s="35">
        <f t="shared" si="31"/>
        <v>0</v>
      </c>
      <c r="F59" s="37"/>
      <c r="G59" s="37"/>
      <c r="H59" s="37"/>
      <c r="I59" s="35">
        <f t="shared" si="32"/>
        <v>0</v>
      </c>
      <c r="J59" s="37"/>
      <c r="K59" s="37"/>
      <c r="L59" s="37"/>
      <c r="M59" s="35">
        <f t="shared" si="33"/>
        <v>0</v>
      </c>
      <c r="N59" s="37"/>
      <c r="O59" s="37"/>
      <c r="P59" s="38"/>
      <c r="Q59" s="35">
        <f t="shared" si="34"/>
        <v>0</v>
      </c>
      <c r="R59" s="34">
        <f t="shared" si="35"/>
        <v>0</v>
      </c>
    </row>
    <row r="60" spans="1:18" ht="12.75" hidden="1" outlineLevel="3">
      <c r="A60" s="23" t="s">
        <v>22</v>
      </c>
      <c r="B60" s="3">
        <v>4.26</v>
      </c>
      <c r="C60" s="3">
        <f>4.26+0.06+3.39</f>
        <v>7.709999999999999</v>
      </c>
      <c r="D60" s="3">
        <v>8.52</v>
      </c>
      <c r="E60" s="35">
        <f t="shared" si="31"/>
        <v>20.49</v>
      </c>
      <c r="F60" s="37">
        <v>4.26</v>
      </c>
      <c r="G60" s="37"/>
      <c r="H60" s="37">
        <v>8.52</v>
      </c>
      <c r="I60" s="35">
        <f t="shared" si="32"/>
        <v>12.78</v>
      </c>
      <c r="J60" s="37"/>
      <c r="K60" s="37">
        <v>4.26</v>
      </c>
      <c r="L60" s="37">
        <v>17.04</v>
      </c>
      <c r="M60" s="35">
        <f t="shared" si="33"/>
        <v>21.299999999999997</v>
      </c>
      <c r="N60" s="37">
        <v>17.04</v>
      </c>
      <c r="O60" s="37">
        <v>8.52</v>
      </c>
      <c r="P60" s="38">
        <v>4.26</v>
      </c>
      <c r="Q60" s="35">
        <f t="shared" si="34"/>
        <v>29.82</v>
      </c>
      <c r="R60" s="34">
        <f t="shared" si="35"/>
        <v>84.39</v>
      </c>
    </row>
    <row r="61" spans="1:18" ht="12.75" hidden="1" outlineLevel="2" collapsed="1">
      <c r="A61" s="28" t="s">
        <v>50</v>
      </c>
      <c r="B61" s="5">
        <f aca="true" t="shared" si="36" ref="B61:Q61">SUM(B53:B60)</f>
        <v>911.3000000000001</v>
      </c>
      <c r="C61" s="5">
        <f t="shared" si="36"/>
        <v>1016.37</v>
      </c>
      <c r="D61" s="5">
        <f t="shared" si="36"/>
        <v>1077.56</v>
      </c>
      <c r="E61" s="42">
        <f t="shared" si="36"/>
        <v>3005.2299999999996</v>
      </c>
      <c r="F61" s="43">
        <f t="shared" si="36"/>
        <v>1130.94</v>
      </c>
      <c r="G61" s="43">
        <f t="shared" si="36"/>
        <v>907.27</v>
      </c>
      <c r="H61" s="43">
        <f t="shared" si="36"/>
        <v>1046.49</v>
      </c>
      <c r="I61" s="42">
        <f t="shared" si="36"/>
        <v>3084.7000000000003</v>
      </c>
      <c r="J61" s="43">
        <f t="shared" si="36"/>
        <v>971.5899999999999</v>
      </c>
      <c r="K61" s="43">
        <f t="shared" si="36"/>
        <v>1004.7499999999999</v>
      </c>
      <c r="L61" s="43">
        <f t="shared" si="36"/>
        <v>1291.67</v>
      </c>
      <c r="M61" s="42">
        <f t="shared" si="36"/>
        <v>3268.01</v>
      </c>
      <c r="N61" s="43">
        <f t="shared" si="36"/>
        <v>1171.02</v>
      </c>
      <c r="O61" s="43">
        <f t="shared" si="36"/>
        <v>1053.97</v>
      </c>
      <c r="P61" s="43">
        <f t="shared" si="36"/>
        <v>950.78</v>
      </c>
      <c r="Q61" s="42">
        <f t="shared" si="36"/>
        <v>3175.7700000000004</v>
      </c>
      <c r="R61" s="44">
        <f t="shared" si="35"/>
        <v>12533.710000000001</v>
      </c>
    </row>
    <row r="62" spans="1:21" ht="13.5" outlineLevel="1" collapsed="1" thickBot="1">
      <c r="A62" s="26" t="s">
        <v>48</v>
      </c>
      <c r="B62" s="4">
        <f aca="true" t="shared" si="37" ref="B62:R62">B61+B52</f>
        <v>911.3000000000001</v>
      </c>
      <c r="C62" s="4">
        <f t="shared" si="37"/>
        <v>1016.37</v>
      </c>
      <c r="D62" s="4">
        <f t="shared" si="37"/>
        <v>1077.56</v>
      </c>
      <c r="E62" s="45">
        <f t="shared" si="37"/>
        <v>3005.2299999999996</v>
      </c>
      <c r="F62" s="46">
        <f t="shared" si="37"/>
        <v>1165.68</v>
      </c>
      <c r="G62" s="46">
        <f t="shared" si="37"/>
        <v>907.27</v>
      </c>
      <c r="H62" s="46">
        <f t="shared" si="37"/>
        <v>1046.49</v>
      </c>
      <c r="I62" s="45">
        <f t="shared" si="37"/>
        <v>3119.44</v>
      </c>
      <c r="J62" s="46">
        <f t="shared" si="37"/>
        <v>971.5899999999999</v>
      </c>
      <c r="K62" s="46">
        <f t="shared" si="37"/>
        <v>1004.7499999999999</v>
      </c>
      <c r="L62" s="46">
        <f t="shared" si="37"/>
        <v>2974.51</v>
      </c>
      <c r="M62" s="45">
        <f t="shared" si="37"/>
        <v>4950.85</v>
      </c>
      <c r="N62" s="46">
        <f t="shared" si="37"/>
        <v>1192.06</v>
      </c>
      <c r="O62" s="46">
        <f t="shared" si="37"/>
        <v>1053.97</v>
      </c>
      <c r="P62" s="46">
        <f t="shared" si="37"/>
        <v>1019.29</v>
      </c>
      <c r="Q62" s="45">
        <f t="shared" si="37"/>
        <v>3265.3200000000006</v>
      </c>
      <c r="R62" s="47">
        <f t="shared" si="37"/>
        <v>14340.84</v>
      </c>
      <c r="S62" s="53">
        <f>((B53/0.12)+(C53/0.12)+(D53/0.12)+(F53/0.12)+(G53/0.12)+(H53/0.12)+(J53/0.12)+(K53/0.12)+(L53/0.12)+(N53/0.12)+(O53/0.12)+(P53/0.12))/12</f>
        <v>5846.666666666667</v>
      </c>
      <c r="T62" s="54">
        <f>R62/S62</f>
        <v>2.452823261117446</v>
      </c>
      <c r="U62" s="56">
        <f>R55/R61</f>
        <v>0.0915993748060231</v>
      </c>
    </row>
    <row r="63" spans="1:18" ht="13.5" outlineLevel="1" thickTop="1">
      <c r="A63" s="16" t="s">
        <v>29</v>
      </c>
      <c r="B63" s="17"/>
      <c r="C63" s="17"/>
      <c r="D63" s="17"/>
      <c r="E63" s="14"/>
      <c r="F63" s="17"/>
      <c r="G63" s="17"/>
      <c r="H63" s="17"/>
      <c r="I63" s="14"/>
      <c r="J63" s="17"/>
      <c r="K63" s="17"/>
      <c r="L63" s="17"/>
      <c r="M63" s="14"/>
      <c r="N63" s="17"/>
      <c r="O63" s="17"/>
      <c r="P63" s="17"/>
      <c r="Q63" s="14"/>
      <c r="R63" s="27"/>
    </row>
    <row r="64" spans="1:18" ht="12.75" hidden="1" outlineLevel="3">
      <c r="A64" s="19" t="s">
        <v>40</v>
      </c>
      <c r="B64" s="20"/>
      <c r="C64" s="20"/>
      <c r="D64" s="20"/>
      <c r="E64" s="12">
        <f aca="true" t="shared" si="38" ref="E64:E70">SUM(B64:D64)</f>
        <v>0</v>
      </c>
      <c r="F64" s="20"/>
      <c r="G64" s="20"/>
      <c r="H64" s="20"/>
      <c r="I64" s="12">
        <f aca="true" t="shared" si="39" ref="I64:I70">SUM(F64:H64)</f>
        <v>0</v>
      </c>
      <c r="J64" s="20"/>
      <c r="K64" s="20"/>
      <c r="L64" s="20"/>
      <c r="M64" s="12">
        <f aca="true" t="shared" si="40" ref="M64:M70">SUM(J64:L64)</f>
        <v>0</v>
      </c>
      <c r="N64" s="20"/>
      <c r="O64" s="20"/>
      <c r="P64" s="20"/>
      <c r="Q64" s="12">
        <f aca="true" t="shared" si="41" ref="Q64:Q70">SUM(N64:P64)</f>
        <v>0</v>
      </c>
      <c r="R64" s="21">
        <f aca="true" t="shared" si="42" ref="R64:R70">Q64+M64+I64+E64</f>
        <v>0</v>
      </c>
    </row>
    <row r="65" spans="1:18" ht="12.75" hidden="1" outlineLevel="3">
      <c r="A65" s="19" t="s">
        <v>41</v>
      </c>
      <c r="B65" s="20"/>
      <c r="C65" s="20"/>
      <c r="D65" s="20"/>
      <c r="E65" s="12">
        <f t="shared" si="38"/>
        <v>0</v>
      </c>
      <c r="F65" s="20"/>
      <c r="G65" s="20"/>
      <c r="H65" s="20"/>
      <c r="I65" s="12">
        <f t="shared" si="39"/>
        <v>0</v>
      </c>
      <c r="J65" s="20"/>
      <c r="K65" s="20"/>
      <c r="L65" s="20"/>
      <c r="M65" s="12">
        <f t="shared" si="40"/>
        <v>0</v>
      </c>
      <c r="N65" s="20"/>
      <c r="O65" s="20"/>
      <c r="P65" s="20"/>
      <c r="Q65" s="12">
        <f t="shared" si="41"/>
        <v>0</v>
      </c>
      <c r="R65" s="21">
        <f t="shared" si="42"/>
        <v>0</v>
      </c>
    </row>
    <row r="66" spans="1:18" ht="12.75" hidden="1" outlineLevel="3">
      <c r="A66" s="19" t="s">
        <v>42</v>
      </c>
      <c r="B66" s="20"/>
      <c r="C66" s="20"/>
      <c r="D66" s="20"/>
      <c r="E66" s="12">
        <f t="shared" si="38"/>
        <v>0</v>
      </c>
      <c r="F66" s="20"/>
      <c r="G66" s="20"/>
      <c r="H66" s="20"/>
      <c r="I66" s="12">
        <f t="shared" si="39"/>
        <v>0</v>
      </c>
      <c r="J66" s="20"/>
      <c r="K66" s="20"/>
      <c r="L66" s="20"/>
      <c r="M66" s="12">
        <f t="shared" si="40"/>
        <v>0</v>
      </c>
      <c r="N66" s="20"/>
      <c r="O66" s="20"/>
      <c r="P66" s="20"/>
      <c r="Q66" s="12">
        <f t="shared" si="41"/>
        <v>0</v>
      </c>
      <c r="R66" s="21">
        <f t="shared" si="42"/>
        <v>0</v>
      </c>
    </row>
    <row r="67" spans="1:18" ht="12.75" hidden="1" outlineLevel="3">
      <c r="A67" s="19" t="s">
        <v>43</v>
      </c>
      <c r="B67" s="20"/>
      <c r="C67" s="20"/>
      <c r="D67" s="20"/>
      <c r="E67" s="12">
        <f t="shared" si="38"/>
        <v>0</v>
      </c>
      <c r="F67" s="20"/>
      <c r="G67" s="20"/>
      <c r="H67" s="20"/>
      <c r="I67" s="12">
        <f t="shared" si="39"/>
        <v>0</v>
      </c>
      <c r="J67" s="20"/>
      <c r="K67" s="20"/>
      <c r="L67" s="20"/>
      <c r="M67" s="12">
        <f t="shared" si="40"/>
        <v>0</v>
      </c>
      <c r="N67" s="20"/>
      <c r="O67" s="20"/>
      <c r="P67" s="20"/>
      <c r="Q67" s="12">
        <f t="shared" si="41"/>
        <v>0</v>
      </c>
      <c r="R67" s="21">
        <f t="shared" si="42"/>
        <v>0</v>
      </c>
    </row>
    <row r="68" spans="1:18" ht="12.75" hidden="1" outlineLevel="3">
      <c r="A68" s="19" t="s">
        <v>44</v>
      </c>
      <c r="B68" s="20"/>
      <c r="C68" s="20"/>
      <c r="D68" s="20"/>
      <c r="E68" s="12">
        <f t="shared" si="38"/>
        <v>0</v>
      </c>
      <c r="F68" s="20"/>
      <c r="G68" s="20"/>
      <c r="H68" s="20"/>
      <c r="I68" s="12">
        <f t="shared" si="39"/>
        <v>0</v>
      </c>
      <c r="J68" s="20"/>
      <c r="K68" s="20"/>
      <c r="L68" s="20"/>
      <c r="M68" s="12">
        <f t="shared" si="40"/>
        <v>0</v>
      </c>
      <c r="N68" s="20"/>
      <c r="O68" s="20"/>
      <c r="P68" s="20"/>
      <c r="Q68" s="12">
        <f t="shared" si="41"/>
        <v>0</v>
      </c>
      <c r="R68" s="21">
        <f t="shared" si="42"/>
        <v>0</v>
      </c>
    </row>
    <row r="69" spans="1:18" ht="12.75" hidden="1" outlineLevel="3">
      <c r="A69" s="19" t="s">
        <v>45</v>
      </c>
      <c r="B69" s="20"/>
      <c r="C69" s="20"/>
      <c r="D69" s="20"/>
      <c r="E69" s="12">
        <f t="shared" si="38"/>
        <v>0</v>
      </c>
      <c r="F69" s="20">
        <v>5.32</v>
      </c>
      <c r="G69" s="20"/>
      <c r="H69" s="20"/>
      <c r="I69" s="12">
        <f t="shared" si="39"/>
        <v>5.32</v>
      </c>
      <c r="J69" s="20"/>
      <c r="K69" s="20"/>
      <c r="L69" s="20">
        <v>146.57</v>
      </c>
      <c r="M69" s="12">
        <f t="shared" si="40"/>
        <v>146.57</v>
      </c>
      <c r="N69" s="20">
        <v>3.22</v>
      </c>
      <c r="O69" s="20"/>
      <c r="P69" s="20">
        <f>9.59+0.68</f>
        <v>10.27</v>
      </c>
      <c r="Q69" s="12">
        <f t="shared" si="41"/>
        <v>13.49</v>
      </c>
      <c r="R69" s="21">
        <f t="shared" si="42"/>
        <v>165.38</v>
      </c>
    </row>
    <row r="70" spans="1:18" ht="12.75" hidden="1" outlineLevel="3">
      <c r="A70" s="19" t="s">
        <v>46</v>
      </c>
      <c r="B70" s="20"/>
      <c r="C70" s="20"/>
      <c r="D70" s="20"/>
      <c r="E70" s="12">
        <f t="shared" si="38"/>
        <v>0</v>
      </c>
      <c r="F70" s="20"/>
      <c r="G70" s="20"/>
      <c r="H70" s="20"/>
      <c r="I70" s="12">
        <f t="shared" si="39"/>
        <v>0</v>
      </c>
      <c r="J70" s="20"/>
      <c r="K70" s="20"/>
      <c r="L70" s="20"/>
      <c r="M70" s="12">
        <f t="shared" si="40"/>
        <v>0</v>
      </c>
      <c r="N70" s="20"/>
      <c r="O70" s="20"/>
      <c r="P70" s="20"/>
      <c r="Q70" s="12">
        <f t="shared" si="41"/>
        <v>0</v>
      </c>
      <c r="R70" s="21">
        <f t="shared" si="42"/>
        <v>0</v>
      </c>
    </row>
    <row r="71" spans="1:18" ht="12.75" hidden="1" outlineLevel="3">
      <c r="A71" s="19" t="s">
        <v>58</v>
      </c>
      <c r="B71" s="24"/>
      <c r="C71" s="24"/>
      <c r="D71" s="24"/>
      <c r="E71" s="59">
        <f>SUM(B71:D71)</f>
        <v>0</v>
      </c>
      <c r="F71" s="52"/>
      <c r="G71" s="52"/>
      <c r="H71" s="52"/>
      <c r="I71" s="59">
        <f>SUM(F71:H71)</f>
        <v>0</v>
      </c>
      <c r="J71" s="52"/>
      <c r="K71" s="52"/>
      <c r="L71" s="52"/>
      <c r="M71" s="59">
        <f>SUM(J71:L71)</f>
        <v>0</v>
      </c>
      <c r="N71" s="52"/>
      <c r="O71" s="52"/>
      <c r="P71" s="52"/>
      <c r="Q71" s="59">
        <f>SUM(N71:P71)</f>
        <v>0</v>
      </c>
      <c r="R71" s="60">
        <f>Q71+M71+I71+E71</f>
        <v>0</v>
      </c>
    </row>
    <row r="72" spans="1:18" ht="12.75" hidden="1" outlineLevel="2" collapsed="1">
      <c r="A72" s="22" t="s">
        <v>47</v>
      </c>
      <c r="B72" s="3">
        <f aca="true" t="shared" si="43" ref="B72:Q72">SUM(B64:B71)</f>
        <v>0</v>
      </c>
      <c r="C72" s="3">
        <f t="shared" si="43"/>
        <v>0</v>
      </c>
      <c r="D72" s="3">
        <f t="shared" si="43"/>
        <v>0</v>
      </c>
      <c r="E72" s="33">
        <f t="shared" si="43"/>
        <v>0</v>
      </c>
      <c r="F72" s="33">
        <f t="shared" si="43"/>
        <v>5.32</v>
      </c>
      <c r="G72" s="33">
        <f t="shared" si="43"/>
        <v>0</v>
      </c>
      <c r="H72" s="33">
        <f t="shared" si="43"/>
        <v>0</v>
      </c>
      <c r="I72" s="33">
        <f t="shared" si="43"/>
        <v>5.32</v>
      </c>
      <c r="J72" s="33">
        <f t="shared" si="43"/>
        <v>0</v>
      </c>
      <c r="K72" s="33">
        <f t="shared" si="43"/>
        <v>0</v>
      </c>
      <c r="L72" s="33">
        <f t="shared" si="43"/>
        <v>146.57</v>
      </c>
      <c r="M72" s="33">
        <f t="shared" si="43"/>
        <v>146.57</v>
      </c>
      <c r="N72" s="33">
        <f t="shared" si="43"/>
        <v>3.22</v>
      </c>
      <c r="O72" s="33">
        <f t="shared" si="43"/>
        <v>0</v>
      </c>
      <c r="P72" s="33">
        <f t="shared" si="43"/>
        <v>10.27</v>
      </c>
      <c r="Q72" s="33">
        <f t="shared" si="43"/>
        <v>13.49</v>
      </c>
      <c r="R72" s="34">
        <f>Q72+M72+I72+E72</f>
        <v>165.38</v>
      </c>
    </row>
    <row r="73" spans="1:18" ht="12.75" hidden="1" outlineLevel="3">
      <c r="A73" s="23" t="s">
        <v>15</v>
      </c>
      <c r="B73" s="3">
        <v>106.8</v>
      </c>
      <c r="C73" s="3">
        <v>106.08</v>
      </c>
      <c r="D73" s="3">
        <v>106.44</v>
      </c>
      <c r="E73" s="35">
        <f>SUM(B73:D73)</f>
        <v>319.32</v>
      </c>
      <c r="F73" s="37">
        <v>105.6</v>
      </c>
      <c r="G73" s="37">
        <v>105.84</v>
      </c>
      <c r="H73" s="37">
        <v>105.36</v>
      </c>
      <c r="I73" s="35">
        <f>SUM(F73:H73)</f>
        <v>316.8</v>
      </c>
      <c r="J73" s="37">
        <v>105.12</v>
      </c>
      <c r="K73" s="37">
        <v>105.6</v>
      </c>
      <c r="L73" s="37">
        <v>108</v>
      </c>
      <c r="M73" s="35">
        <f>SUM(J73:L73)</f>
        <v>318.72</v>
      </c>
      <c r="N73" s="37">
        <v>108.96</v>
      </c>
      <c r="O73" s="37">
        <v>108.72</v>
      </c>
      <c r="P73" s="38">
        <v>106.44</v>
      </c>
      <c r="Q73" s="35">
        <f>SUM(N73:P73)</f>
        <v>324.12</v>
      </c>
      <c r="R73" s="34">
        <f>Q73+M73+I73+E73</f>
        <v>1278.96</v>
      </c>
    </row>
    <row r="74" spans="1:18" ht="12.75" hidden="1" outlineLevel="3">
      <c r="A74" s="23" t="s">
        <v>16</v>
      </c>
      <c r="B74" s="3">
        <v>22</v>
      </c>
      <c r="C74" s="3">
        <v>22</v>
      </c>
      <c r="D74" s="3">
        <v>22</v>
      </c>
      <c r="E74" s="35">
        <f aca="true" t="shared" si="44" ref="E74:E80">SUM(B74:D74)</f>
        <v>66</v>
      </c>
      <c r="F74" s="37">
        <v>22</v>
      </c>
      <c r="G74" s="37">
        <v>22</v>
      </c>
      <c r="H74" s="37">
        <v>22</v>
      </c>
      <c r="I74" s="35">
        <f aca="true" t="shared" si="45" ref="I74:I80">SUM(F74:H74)</f>
        <v>66</v>
      </c>
      <c r="J74" s="37">
        <v>22</v>
      </c>
      <c r="K74" s="37">
        <v>22</v>
      </c>
      <c r="L74" s="37">
        <v>22</v>
      </c>
      <c r="M74" s="35">
        <f aca="true" t="shared" si="46" ref="M74:M80">SUM(J74:L74)</f>
        <v>66</v>
      </c>
      <c r="N74" s="37">
        <v>22</v>
      </c>
      <c r="O74" s="37">
        <v>22</v>
      </c>
      <c r="P74" s="38">
        <v>22</v>
      </c>
      <c r="Q74" s="35">
        <f aca="true" t="shared" si="47" ref="Q74:Q80">SUM(N74:P74)</f>
        <v>66</v>
      </c>
      <c r="R74" s="34">
        <f aca="true" t="shared" si="48" ref="R74:R81">Q74+M74+I74+E74</f>
        <v>264</v>
      </c>
    </row>
    <row r="75" spans="1:18" ht="12.75" hidden="1" outlineLevel="3">
      <c r="A75" s="23" t="s">
        <v>17</v>
      </c>
      <c r="B75" s="3">
        <v>9.04</v>
      </c>
      <c r="C75" s="3">
        <v>19.21</v>
      </c>
      <c r="D75" s="3">
        <v>15.82</v>
      </c>
      <c r="E75" s="35">
        <f t="shared" si="44"/>
        <v>44.07</v>
      </c>
      <c r="F75" s="37">
        <v>10.17</v>
      </c>
      <c r="G75" s="37">
        <v>10.17</v>
      </c>
      <c r="H75" s="37">
        <v>13.56</v>
      </c>
      <c r="I75" s="35">
        <f t="shared" si="45"/>
        <v>33.9</v>
      </c>
      <c r="J75" s="37">
        <v>10.17</v>
      </c>
      <c r="K75" s="37">
        <v>10.17</v>
      </c>
      <c r="L75" s="37">
        <v>55.37</v>
      </c>
      <c r="M75" s="35">
        <f t="shared" si="46"/>
        <v>75.71</v>
      </c>
      <c r="N75" s="37">
        <v>13.56</v>
      </c>
      <c r="O75" s="37">
        <v>7.91</v>
      </c>
      <c r="P75" s="38">
        <v>24.86</v>
      </c>
      <c r="Q75" s="35">
        <f t="shared" si="47"/>
        <v>46.33</v>
      </c>
      <c r="R75" s="34">
        <f t="shared" si="48"/>
        <v>200.01</v>
      </c>
    </row>
    <row r="76" spans="1:18" ht="12.75" hidden="1" outlineLevel="3">
      <c r="A76" s="25" t="s">
        <v>18</v>
      </c>
      <c r="B76" s="3"/>
      <c r="C76" s="3">
        <f>8.17+0.74</f>
        <v>8.91</v>
      </c>
      <c r="D76" s="3">
        <f>8.2+0.69</f>
        <v>8.889999999999999</v>
      </c>
      <c r="E76" s="35">
        <f t="shared" si="44"/>
        <v>17.799999999999997</v>
      </c>
      <c r="F76" s="37">
        <f>15.51+0.72+19.74+0.78</f>
        <v>36.75</v>
      </c>
      <c r="G76" s="37"/>
      <c r="H76" s="37">
        <v>15.03</v>
      </c>
      <c r="I76" s="35">
        <f t="shared" si="45"/>
        <v>51.78</v>
      </c>
      <c r="J76" s="37">
        <f>8.7+0.6</f>
        <v>9.299999999999999</v>
      </c>
      <c r="K76" s="37">
        <f>8.44+0.61</f>
        <v>9.049999999999999</v>
      </c>
      <c r="L76" s="37">
        <f>7.65+0.61+9.97+0.6</f>
        <v>18.830000000000002</v>
      </c>
      <c r="M76" s="35">
        <f t="shared" si="46"/>
        <v>37.18</v>
      </c>
      <c r="N76" s="37">
        <f>9.34+0.61</f>
        <v>9.95</v>
      </c>
      <c r="O76" s="37">
        <f>8.37+0.62</f>
        <v>8.989999999999998</v>
      </c>
      <c r="P76" s="38"/>
      <c r="Q76" s="35">
        <f t="shared" si="47"/>
        <v>18.939999999999998</v>
      </c>
      <c r="R76" s="34">
        <f t="shared" si="48"/>
        <v>125.7</v>
      </c>
    </row>
    <row r="77" spans="1:18" ht="12.75" hidden="1" outlineLevel="3">
      <c r="A77" s="23" t="s">
        <v>19</v>
      </c>
      <c r="B77" s="3"/>
      <c r="C77" s="3">
        <v>1.86</v>
      </c>
      <c r="D77" s="3"/>
      <c r="E77" s="35">
        <f t="shared" si="44"/>
        <v>1.86</v>
      </c>
      <c r="F77" s="37">
        <v>1.86</v>
      </c>
      <c r="G77" s="37">
        <v>0.93</v>
      </c>
      <c r="H77" s="37"/>
      <c r="I77" s="35">
        <f t="shared" si="45"/>
        <v>2.79</v>
      </c>
      <c r="J77" s="37"/>
      <c r="K77" s="37"/>
      <c r="L77" s="37">
        <v>0.93</v>
      </c>
      <c r="M77" s="35">
        <f t="shared" si="46"/>
        <v>0.93</v>
      </c>
      <c r="N77" s="37"/>
      <c r="O77" s="37">
        <v>2.79</v>
      </c>
      <c r="P77" s="38"/>
      <c r="Q77" s="35">
        <f t="shared" si="47"/>
        <v>2.79</v>
      </c>
      <c r="R77" s="34">
        <f t="shared" si="48"/>
        <v>8.37</v>
      </c>
    </row>
    <row r="78" spans="1:18" ht="12.75" hidden="1" outlineLevel="3">
      <c r="A78" s="23" t="s">
        <v>20</v>
      </c>
      <c r="B78" s="3">
        <v>1.5</v>
      </c>
      <c r="C78" s="3">
        <v>7.5</v>
      </c>
      <c r="D78" s="3">
        <f>5.5+1.13</f>
        <v>6.63</v>
      </c>
      <c r="E78" s="35">
        <f t="shared" si="44"/>
        <v>15.629999999999999</v>
      </c>
      <c r="F78" s="37">
        <v>3.5</v>
      </c>
      <c r="G78" s="37">
        <v>0.5</v>
      </c>
      <c r="H78" s="37">
        <v>8.06</v>
      </c>
      <c r="I78" s="35">
        <f t="shared" si="45"/>
        <v>12.06</v>
      </c>
      <c r="J78" s="37">
        <v>4.5</v>
      </c>
      <c r="K78" s="37">
        <v>8</v>
      </c>
      <c r="L78" s="37">
        <v>31</v>
      </c>
      <c r="M78" s="35">
        <f t="shared" si="46"/>
        <v>43.5</v>
      </c>
      <c r="N78" s="37">
        <v>1.5</v>
      </c>
      <c r="O78" s="37">
        <v>3.12</v>
      </c>
      <c r="P78" s="38">
        <v>19</v>
      </c>
      <c r="Q78" s="35">
        <f t="shared" si="47"/>
        <v>23.62</v>
      </c>
      <c r="R78" s="34">
        <f t="shared" si="48"/>
        <v>94.81</v>
      </c>
    </row>
    <row r="79" spans="1:18" ht="12.75" hidden="1" outlineLevel="3">
      <c r="A79" s="23" t="s">
        <v>21</v>
      </c>
      <c r="B79" s="3"/>
      <c r="C79" s="3"/>
      <c r="D79" s="3"/>
      <c r="E79" s="35">
        <f t="shared" si="44"/>
        <v>0</v>
      </c>
      <c r="F79" s="37"/>
      <c r="G79" s="37"/>
      <c r="H79" s="37"/>
      <c r="I79" s="35">
        <f t="shared" si="45"/>
        <v>0</v>
      </c>
      <c r="J79" s="37"/>
      <c r="K79" s="37"/>
      <c r="L79" s="37"/>
      <c r="M79" s="35">
        <f t="shared" si="46"/>
        <v>0</v>
      </c>
      <c r="N79" s="37"/>
      <c r="O79" s="37"/>
      <c r="P79" s="38"/>
      <c r="Q79" s="35">
        <f t="shared" si="47"/>
        <v>0</v>
      </c>
      <c r="R79" s="34">
        <f t="shared" si="48"/>
        <v>0</v>
      </c>
    </row>
    <row r="80" spans="1:18" ht="12.75" hidden="1" outlineLevel="3">
      <c r="A80" s="23" t="s">
        <v>22</v>
      </c>
      <c r="B80" s="3"/>
      <c r="C80" s="3"/>
      <c r="D80" s="3"/>
      <c r="E80" s="35">
        <f t="shared" si="44"/>
        <v>0</v>
      </c>
      <c r="F80" s="37"/>
      <c r="G80" s="37"/>
      <c r="H80" s="37"/>
      <c r="I80" s="35">
        <f t="shared" si="45"/>
        <v>0</v>
      </c>
      <c r="J80" s="37"/>
      <c r="K80" s="37"/>
      <c r="L80" s="37"/>
      <c r="M80" s="35">
        <f t="shared" si="46"/>
        <v>0</v>
      </c>
      <c r="N80" s="37"/>
      <c r="O80" s="37"/>
      <c r="P80" s="38">
        <v>8.52</v>
      </c>
      <c r="Q80" s="35">
        <f t="shared" si="47"/>
        <v>8.52</v>
      </c>
      <c r="R80" s="34">
        <f t="shared" si="48"/>
        <v>8.52</v>
      </c>
    </row>
    <row r="81" spans="1:18" ht="12.75" hidden="1" outlineLevel="2" collapsed="1">
      <c r="A81" s="28" t="s">
        <v>50</v>
      </c>
      <c r="B81" s="5">
        <f aca="true" t="shared" si="49" ref="B81:Q81">SUM(B73:B80)</f>
        <v>139.34</v>
      </c>
      <c r="C81" s="5">
        <f t="shared" si="49"/>
        <v>165.56</v>
      </c>
      <c r="D81" s="5">
        <f t="shared" si="49"/>
        <v>159.77999999999997</v>
      </c>
      <c r="E81" s="42">
        <f t="shared" si="49"/>
        <v>464.68</v>
      </c>
      <c r="F81" s="43">
        <f t="shared" si="49"/>
        <v>179.88</v>
      </c>
      <c r="G81" s="43">
        <f t="shared" si="49"/>
        <v>139.44</v>
      </c>
      <c r="H81" s="43">
        <f t="shared" si="49"/>
        <v>164.01</v>
      </c>
      <c r="I81" s="42">
        <f t="shared" si="49"/>
        <v>483.33000000000004</v>
      </c>
      <c r="J81" s="43">
        <f t="shared" si="49"/>
        <v>151.09</v>
      </c>
      <c r="K81" s="43">
        <f t="shared" si="49"/>
        <v>154.82</v>
      </c>
      <c r="L81" s="43">
        <f t="shared" si="49"/>
        <v>236.13000000000002</v>
      </c>
      <c r="M81" s="42">
        <f t="shared" si="49"/>
        <v>542.04</v>
      </c>
      <c r="N81" s="43">
        <f t="shared" si="49"/>
        <v>155.96999999999997</v>
      </c>
      <c r="O81" s="43">
        <f t="shared" si="49"/>
        <v>153.53</v>
      </c>
      <c r="P81" s="43">
        <f t="shared" si="49"/>
        <v>180.82000000000002</v>
      </c>
      <c r="Q81" s="42">
        <f t="shared" si="49"/>
        <v>490.32</v>
      </c>
      <c r="R81" s="44">
        <f t="shared" si="48"/>
        <v>1980.3700000000001</v>
      </c>
    </row>
    <row r="82" spans="1:21" ht="13.5" outlineLevel="1" collapsed="1" thickBot="1">
      <c r="A82" s="26" t="s">
        <v>48</v>
      </c>
      <c r="B82" s="4">
        <f aca="true" t="shared" si="50" ref="B82:R82">B81+B72</f>
        <v>139.34</v>
      </c>
      <c r="C82" s="4">
        <f t="shared" si="50"/>
        <v>165.56</v>
      </c>
      <c r="D82" s="4">
        <f t="shared" si="50"/>
        <v>159.77999999999997</v>
      </c>
      <c r="E82" s="45">
        <f t="shared" si="50"/>
        <v>464.68</v>
      </c>
      <c r="F82" s="46">
        <f t="shared" si="50"/>
        <v>185.2</v>
      </c>
      <c r="G82" s="46">
        <f t="shared" si="50"/>
        <v>139.44</v>
      </c>
      <c r="H82" s="46">
        <f t="shared" si="50"/>
        <v>164.01</v>
      </c>
      <c r="I82" s="45">
        <f t="shared" si="50"/>
        <v>488.65000000000003</v>
      </c>
      <c r="J82" s="46">
        <f t="shared" si="50"/>
        <v>151.09</v>
      </c>
      <c r="K82" s="46">
        <f t="shared" si="50"/>
        <v>154.82</v>
      </c>
      <c r="L82" s="46">
        <f t="shared" si="50"/>
        <v>382.70000000000005</v>
      </c>
      <c r="M82" s="45">
        <f t="shared" si="50"/>
        <v>688.6099999999999</v>
      </c>
      <c r="N82" s="46">
        <f t="shared" si="50"/>
        <v>159.18999999999997</v>
      </c>
      <c r="O82" s="46">
        <f t="shared" si="50"/>
        <v>153.53</v>
      </c>
      <c r="P82" s="46">
        <f t="shared" si="50"/>
        <v>191.09000000000003</v>
      </c>
      <c r="Q82" s="45">
        <f t="shared" si="50"/>
        <v>503.81</v>
      </c>
      <c r="R82" s="47">
        <f t="shared" si="50"/>
        <v>2145.75</v>
      </c>
      <c r="S82" s="53">
        <f>((B73/0.12)+(C73/0.12)+(D73/0.12)+(F73/0.12)+(G73/0.12)+(H73/0.12)+(J73/0.12)+(K73/0.12)+(L73/0.12)+(N73/0.12)+(O73/0.12)+(P73/0.12))/12</f>
        <v>888.1666666666666</v>
      </c>
      <c r="T82" s="54">
        <f>R82/S82</f>
        <v>2.415931694501783</v>
      </c>
      <c r="U82" s="56">
        <f>R75/R82</f>
        <v>0.09321216357916812</v>
      </c>
    </row>
    <row r="83" spans="1:18" ht="13.5" outlineLevel="1" thickTop="1">
      <c r="A83" s="16" t="s">
        <v>30</v>
      </c>
      <c r="B83" s="17"/>
      <c r="C83" s="17"/>
      <c r="D83" s="17"/>
      <c r="E83" s="14"/>
      <c r="F83" s="17"/>
      <c r="G83" s="17"/>
      <c r="H83" s="17"/>
      <c r="I83" s="14"/>
      <c r="J83" s="17"/>
      <c r="K83" s="17"/>
      <c r="L83" s="17"/>
      <c r="M83" s="14"/>
      <c r="N83" s="17"/>
      <c r="O83" s="17"/>
      <c r="P83" s="17"/>
      <c r="Q83" s="14"/>
      <c r="R83" s="27"/>
    </row>
    <row r="84" spans="1:18" ht="12.75" hidden="1" outlineLevel="3">
      <c r="A84" s="19" t="s">
        <v>40</v>
      </c>
      <c r="B84" s="20"/>
      <c r="C84" s="20"/>
      <c r="D84" s="20"/>
      <c r="E84" s="12">
        <f aca="true" t="shared" si="51" ref="E84:E90">SUM(B84:D84)</f>
        <v>0</v>
      </c>
      <c r="F84" s="20"/>
      <c r="G84" s="20"/>
      <c r="H84" s="20"/>
      <c r="I84" s="12">
        <f aca="true" t="shared" si="52" ref="I84:I90">SUM(F84:H84)</f>
        <v>0</v>
      </c>
      <c r="J84" s="20"/>
      <c r="K84" s="20"/>
      <c r="L84" s="20"/>
      <c r="M84" s="12">
        <f aca="true" t="shared" si="53" ref="M84:M90">SUM(J84:L84)</f>
        <v>0</v>
      </c>
      <c r="N84" s="20"/>
      <c r="O84" s="20"/>
      <c r="P84" s="20"/>
      <c r="Q84" s="12">
        <f aca="true" t="shared" si="54" ref="Q84:Q90">SUM(N84:P84)</f>
        <v>0</v>
      </c>
      <c r="R84" s="21">
        <f aca="true" t="shared" si="55" ref="R84:R90">Q84+M84+I84+E84</f>
        <v>0</v>
      </c>
    </row>
    <row r="85" spans="1:18" ht="12.75" hidden="1" outlineLevel="3">
      <c r="A85" s="19" t="s">
        <v>41</v>
      </c>
      <c r="B85" s="20"/>
      <c r="C85" s="20"/>
      <c r="D85" s="20"/>
      <c r="E85" s="12">
        <f t="shared" si="51"/>
        <v>0</v>
      </c>
      <c r="F85" s="20"/>
      <c r="G85" s="20"/>
      <c r="H85" s="20"/>
      <c r="I85" s="12">
        <f t="shared" si="52"/>
        <v>0</v>
      </c>
      <c r="J85" s="20"/>
      <c r="K85" s="20"/>
      <c r="L85" s="20"/>
      <c r="M85" s="12">
        <f t="shared" si="53"/>
        <v>0</v>
      </c>
      <c r="N85" s="20"/>
      <c r="O85" s="20"/>
      <c r="P85" s="20"/>
      <c r="Q85" s="12">
        <f t="shared" si="54"/>
        <v>0</v>
      </c>
      <c r="R85" s="21">
        <f t="shared" si="55"/>
        <v>0</v>
      </c>
    </row>
    <row r="86" spans="1:18" ht="12.75" hidden="1" outlineLevel="3">
      <c r="A86" s="19" t="s">
        <v>42</v>
      </c>
      <c r="B86" s="20"/>
      <c r="C86" s="20"/>
      <c r="D86" s="20"/>
      <c r="E86" s="12">
        <f t="shared" si="51"/>
        <v>0</v>
      </c>
      <c r="F86" s="20"/>
      <c r="G86" s="20"/>
      <c r="H86" s="20"/>
      <c r="I86" s="12">
        <f t="shared" si="52"/>
        <v>0</v>
      </c>
      <c r="J86" s="20"/>
      <c r="K86" s="20"/>
      <c r="L86" s="20"/>
      <c r="M86" s="12">
        <f t="shared" si="53"/>
        <v>0</v>
      </c>
      <c r="N86" s="20"/>
      <c r="O86" s="20"/>
      <c r="P86" s="20"/>
      <c r="Q86" s="12">
        <f t="shared" si="54"/>
        <v>0</v>
      </c>
      <c r="R86" s="21">
        <f t="shared" si="55"/>
        <v>0</v>
      </c>
    </row>
    <row r="87" spans="1:18" ht="12.75" hidden="1" outlineLevel="3">
      <c r="A87" s="19" t="s">
        <v>43</v>
      </c>
      <c r="B87" s="20"/>
      <c r="C87" s="20"/>
      <c r="D87" s="20"/>
      <c r="E87" s="12">
        <f t="shared" si="51"/>
        <v>0</v>
      </c>
      <c r="F87" s="20"/>
      <c r="G87" s="20"/>
      <c r="H87" s="20"/>
      <c r="I87" s="12">
        <f t="shared" si="52"/>
        <v>0</v>
      </c>
      <c r="J87" s="20"/>
      <c r="K87" s="20"/>
      <c r="L87" s="20"/>
      <c r="M87" s="12">
        <f t="shared" si="53"/>
        <v>0</v>
      </c>
      <c r="N87" s="20"/>
      <c r="O87" s="20"/>
      <c r="P87" s="20"/>
      <c r="Q87" s="12">
        <f t="shared" si="54"/>
        <v>0</v>
      </c>
      <c r="R87" s="21">
        <f t="shared" si="55"/>
        <v>0</v>
      </c>
    </row>
    <row r="88" spans="1:18" ht="12.75" hidden="1" outlineLevel="3">
      <c r="A88" s="19" t="s">
        <v>44</v>
      </c>
      <c r="B88" s="20"/>
      <c r="C88" s="20"/>
      <c r="D88" s="20"/>
      <c r="E88" s="12">
        <f t="shared" si="51"/>
        <v>0</v>
      </c>
      <c r="F88" s="20"/>
      <c r="G88" s="20"/>
      <c r="H88" s="20"/>
      <c r="I88" s="12">
        <f t="shared" si="52"/>
        <v>0</v>
      </c>
      <c r="J88" s="20"/>
      <c r="K88" s="20"/>
      <c r="L88" s="20"/>
      <c r="M88" s="12">
        <f t="shared" si="53"/>
        <v>0</v>
      </c>
      <c r="N88" s="20"/>
      <c r="O88" s="20"/>
      <c r="P88" s="20"/>
      <c r="Q88" s="12">
        <f t="shared" si="54"/>
        <v>0</v>
      </c>
      <c r="R88" s="21">
        <f t="shared" si="55"/>
        <v>0</v>
      </c>
    </row>
    <row r="89" spans="1:18" ht="12.75" hidden="1" outlineLevel="3">
      <c r="A89" s="19" t="s">
        <v>45</v>
      </c>
      <c r="B89" s="20"/>
      <c r="C89" s="20"/>
      <c r="D89" s="20"/>
      <c r="E89" s="12">
        <f t="shared" si="51"/>
        <v>0</v>
      </c>
      <c r="F89" s="20">
        <v>2.37</v>
      </c>
      <c r="G89" s="20"/>
      <c r="H89" s="20"/>
      <c r="I89" s="12">
        <f t="shared" si="52"/>
        <v>2.37</v>
      </c>
      <c r="J89" s="20"/>
      <c r="K89" s="20"/>
      <c r="L89" s="20">
        <v>115.03</v>
      </c>
      <c r="M89" s="12">
        <f t="shared" si="53"/>
        <v>115.03</v>
      </c>
      <c r="N89" s="20">
        <v>1.44</v>
      </c>
      <c r="O89" s="20"/>
      <c r="P89" s="20">
        <f>2.92+0.21</f>
        <v>3.13</v>
      </c>
      <c r="Q89" s="12">
        <f t="shared" si="54"/>
        <v>4.57</v>
      </c>
      <c r="R89" s="21">
        <f t="shared" si="55"/>
        <v>121.97</v>
      </c>
    </row>
    <row r="90" spans="1:18" ht="12.75" hidden="1" outlineLevel="3">
      <c r="A90" s="19" t="s">
        <v>46</v>
      </c>
      <c r="B90" s="20"/>
      <c r="C90" s="20"/>
      <c r="D90" s="20"/>
      <c r="E90" s="12">
        <f t="shared" si="51"/>
        <v>0</v>
      </c>
      <c r="F90" s="20"/>
      <c r="G90" s="20"/>
      <c r="H90" s="20"/>
      <c r="I90" s="12">
        <f t="shared" si="52"/>
        <v>0</v>
      </c>
      <c r="J90" s="20"/>
      <c r="K90" s="20"/>
      <c r="L90" s="20"/>
      <c r="M90" s="12">
        <f t="shared" si="53"/>
        <v>0</v>
      </c>
      <c r="N90" s="20"/>
      <c r="O90" s="20"/>
      <c r="P90" s="20"/>
      <c r="Q90" s="12">
        <f t="shared" si="54"/>
        <v>0</v>
      </c>
      <c r="R90" s="21">
        <f t="shared" si="55"/>
        <v>0</v>
      </c>
    </row>
    <row r="91" spans="1:18" ht="12.75" hidden="1" outlineLevel="3">
      <c r="A91" s="19" t="s">
        <v>58</v>
      </c>
      <c r="B91" s="24"/>
      <c r="C91" s="24"/>
      <c r="D91" s="24"/>
      <c r="E91" s="59">
        <f>SUM(B91:D91)</f>
        <v>0</v>
      </c>
      <c r="F91" s="52"/>
      <c r="G91" s="52"/>
      <c r="H91" s="52"/>
      <c r="I91" s="59">
        <f>SUM(F91:H91)</f>
        <v>0</v>
      </c>
      <c r="J91" s="52"/>
      <c r="K91" s="52"/>
      <c r="L91" s="52"/>
      <c r="M91" s="59">
        <f>SUM(J91:L91)</f>
        <v>0</v>
      </c>
      <c r="N91" s="52"/>
      <c r="O91" s="52"/>
      <c r="P91" s="52"/>
      <c r="Q91" s="59">
        <f>SUM(N91:P91)</f>
        <v>0</v>
      </c>
      <c r="R91" s="60">
        <f>Q91+M91+I91+E91</f>
        <v>0</v>
      </c>
    </row>
    <row r="92" spans="1:18" ht="12.75" hidden="1" outlineLevel="2" collapsed="1">
      <c r="A92" s="22" t="s">
        <v>47</v>
      </c>
      <c r="B92" s="3">
        <f aca="true" t="shared" si="56" ref="B92:Q92">SUM(B84:B91)</f>
        <v>0</v>
      </c>
      <c r="C92" s="3">
        <f t="shared" si="56"/>
        <v>0</v>
      </c>
      <c r="D92" s="3">
        <f t="shared" si="56"/>
        <v>0</v>
      </c>
      <c r="E92" s="33">
        <f t="shared" si="56"/>
        <v>0</v>
      </c>
      <c r="F92" s="33">
        <f t="shared" si="56"/>
        <v>2.37</v>
      </c>
      <c r="G92" s="33">
        <f t="shared" si="56"/>
        <v>0</v>
      </c>
      <c r="H92" s="33">
        <f t="shared" si="56"/>
        <v>0</v>
      </c>
      <c r="I92" s="33">
        <f t="shared" si="56"/>
        <v>2.37</v>
      </c>
      <c r="J92" s="33">
        <f t="shared" si="56"/>
        <v>0</v>
      </c>
      <c r="K92" s="33">
        <f t="shared" si="56"/>
        <v>0</v>
      </c>
      <c r="L92" s="33">
        <f t="shared" si="56"/>
        <v>115.03</v>
      </c>
      <c r="M92" s="33">
        <f t="shared" si="56"/>
        <v>115.03</v>
      </c>
      <c r="N92" s="33">
        <f t="shared" si="56"/>
        <v>1.44</v>
      </c>
      <c r="O92" s="33">
        <f t="shared" si="56"/>
        <v>0</v>
      </c>
      <c r="P92" s="33">
        <f t="shared" si="56"/>
        <v>3.13</v>
      </c>
      <c r="Q92" s="33">
        <f t="shared" si="56"/>
        <v>4.57</v>
      </c>
      <c r="R92" s="34">
        <f>Q92+M92+I92+E92</f>
        <v>121.97</v>
      </c>
    </row>
    <row r="93" spans="1:18" ht="12.75" hidden="1" outlineLevel="3">
      <c r="A93" s="23" t="s">
        <v>15</v>
      </c>
      <c r="B93" s="3">
        <v>40.32</v>
      </c>
      <c r="C93" s="3">
        <v>40.56</v>
      </c>
      <c r="D93" s="3">
        <v>40.32</v>
      </c>
      <c r="E93" s="35">
        <f>SUM(B93:D93)</f>
        <v>121.19999999999999</v>
      </c>
      <c r="F93" s="37">
        <v>40.56</v>
      </c>
      <c r="G93" s="37">
        <v>40.44</v>
      </c>
      <c r="H93" s="37">
        <v>40.56</v>
      </c>
      <c r="I93" s="35">
        <f>SUM(F93:H93)</f>
        <v>121.56</v>
      </c>
      <c r="J93" s="37">
        <v>40.32</v>
      </c>
      <c r="K93" s="37">
        <v>40.44</v>
      </c>
      <c r="L93" s="37">
        <v>40.56</v>
      </c>
      <c r="M93" s="35">
        <f>SUM(J93:L93)</f>
        <v>121.32</v>
      </c>
      <c r="N93" s="37">
        <v>41.04</v>
      </c>
      <c r="O93" s="37">
        <v>41.16</v>
      </c>
      <c r="P93" s="38">
        <v>41.04</v>
      </c>
      <c r="Q93" s="35">
        <f>SUM(N93:P93)</f>
        <v>123.23999999999998</v>
      </c>
      <c r="R93" s="34">
        <f>Q93+M93+I93+E93</f>
        <v>487.32</v>
      </c>
    </row>
    <row r="94" spans="1:18" ht="12.75" hidden="1" outlineLevel="3">
      <c r="A94" s="23" t="s">
        <v>16</v>
      </c>
      <c r="B94" s="3">
        <v>22</v>
      </c>
      <c r="C94" s="3">
        <v>22</v>
      </c>
      <c r="D94" s="3">
        <v>10</v>
      </c>
      <c r="E94" s="35">
        <f aca="true" t="shared" si="57" ref="E94:E100">SUM(B94:D94)</f>
        <v>54</v>
      </c>
      <c r="F94" s="37">
        <v>10.01</v>
      </c>
      <c r="G94" s="37">
        <v>10.01</v>
      </c>
      <c r="H94" s="37">
        <v>10.01</v>
      </c>
      <c r="I94" s="35">
        <f aca="true" t="shared" si="58" ref="I94:I100">SUM(F94:H94)</f>
        <v>30.03</v>
      </c>
      <c r="J94" s="37">
        <v>10.01</v>
      </c>
      <c r="K94" s="37">
        <v>10.01</v>
      </c>
      <c r="L94" s="37">
        <v>10.01</v>
      </c>
      <c r="M94" s="35">
        <f aca="true" t="shared" si="59" ref="M94:M100">SUM(J94:L94)</f>
        <v>30.03</v>
      </c>
      <c r="N94" s="37">
        <v>10.01</v>
      </c>
      <c r="O94" s="37">
        <v>10.01</v>
      </c>
      <c r="P94" s="38">
        <v>10.01</v>
      </c>
      <c r="Q94" s="35">
        <f aca="true" t="shared" si="60" ref="Q94:Q100">SUM(N94:P94)</f>
        <v>30.03</v>
      </c>
      <c r="R94" s="34">
        <f aca="true" t="shared" si="61" ref="R94:R101">Q94+M94+I94+E94</f>
        <v>144.09</v>
      </c>
    </row>
    <row r="95" spans="1:18" ht="12.75" hidden="1" outlineLevel="3">
      <c r="A95" s="23" t="s">
        <v>17</v>
      </c>
      <c r="B95" s="3">
        <v>14.69</v>
      </c>
      <c r="C95" s="3">
        <v>18.08</v>
      </c>
      <c r="D95" s="3">
        <v>4.52</v>
      </c>
      <c r="E95" s="35">
        <f t="shared" si="57"/>
        <v>37.28999999999999</v>
      </c>
      <c r="F95" s="37">
        <v>6.78</v>
      </c>
      <c r="G95" s="37">
        <v>2.26</v>
      </c>
      <c r="H95" s="37">
        <v>4.52</v>
      </c>
      <c r="I95" s="35">
        <f t="shared" si="58"/>
        <v>13.559999999999999</v>
      </c>
      <c r="J95" s="37">
        <v>5.65</v>
      </c>
      <c r="K95" s="37">
        <v>3.39</v>
      </c>
      <c r="L95" s="37">
        <v>5.65</v>
      </c>
      <c r="M95" s="35">
        <f t="shared" si="59"/>
        <v>14.690000000000001</v>
      </c>
      <c r="N95" s="37">
        <v>10.17</v>
      </c>
      <c r="O95" s="37">
        <v>3.39</v>
      </c>
      <c r="P95" s="38">
        <v>5.65</v>
      </c>
      <c r="Q95" s="35">
        <f t="shared" si="60"/>
        <v>19.21</v>
      </c>
      <c r="R95" s="34">
        <f t="shared" si="61"/>
        <v>84.75</v>
      </c>
    </row>
    <row r="96" spans="1:18" ht="12.75" hidden="1" outlineLevel="3">
      <c r="A96" s="25" t="s">
        <v>18</v>
      </c>
      <c r="B96" s="3"/>
      <c r="C96" s="3">
        <f>2.72+0.74</f>
        <v>3.46</v>
      </c>
      <c r="D96" s="3">
        <f>2.73+0.69</f>
        <v>3.42</v>
      </c>
      <c r="E96" s="35">
        <f t="shared" si="57"/>
        <v>6.88</v>
      </c>
      <c r="F96" s="37">
        <f>5.17+0.72+8.8+0.78</f>
        <v>15.47</v>
      </c>
      <c r="G96" s="37"/>
      <c r="H96" s="37">
        <v>7.09</v>
      </c>
      <c r="I96" s="35">
        <f t="shared" si="58"/>
        <v>22.560000000000002</v>
      </c>
      <c r="J96" s="37">
        <f>3.88+0.6</f>
        <v>4.4799999999999995</v>
      </c>
      <c r="K96" s="37">
        <f>3.76+0.61</f>
        <v>4.37</v>
      </c>
      <c r="L96" s="37">
        <f>3.41+0.61+4.45+0.6</f>
        <v>9.07</v>
      </c>
      <c r="M96" s="35">
        <f t="shared" si="59"/>
        <v>17.92</v>
      </c>
      <c r="N96" s="37">
        <f>4.16+0.61</f>
        <v>4.7700000000000005</v>
      </c>
      <c r="O96" s="37">
        <f>3.73+0.62</f>
        <v>4.35</v>
      </c>
      <c r="P96" s="38"/>
      <c r="Q96" s="35">
        <f t="shared" si="60"/>
        <v>9.120000000000001</v>
      </c>
      <c r="R96" s="34">
        <f t="shared" si="61"/>
        <v>56.48000000000001</v>
      </c>
    </row>
    <row r="97" spans="1:18" ht="12.75" hidden="1" outlineLevel="3">
      <c r="A97" s="23" t="s">
        <v>19</v>
      </c>
      <c r="B97" s="3">
        <v>0.93</v>
      </c>
      <c r="C97" s="3">
        <v>0.93</v>
      </c>
      <c r="D97" s="3">
        <v>2.79</v>
      </c>
      <c r="E97" s="35">
        <f t="shared" si="57"/>
        <v>4.65</v>
      </c>
      <c r="F97" s="37">
        <v>0.93</v>
      </c>
      <c r="G97" s="37"/>
      <c r="H97" s="37">
        <v>0.93</v>
      </c>
      <c r="I97" s="35">
        <f t="shared" si="58"/>
        <v>1.86</v>
      </c>
      <c r="J97" s="37">
        <v>0.93</v>
      </c>
      <c r="K97" s="37">
        <v>1.86</v>
      </c>
      <c r="L97" s="37"/>
      <c r="M97" s="35">
        <f t="shared" si="59"/>
        <v>2.79</v>
      </c>
      <c r="N97" s="37">
        <v>1.86</v>
      </c>
      <c r="O97" s="37"/>
      <c r="P97" s="38"/>
      <c r="Q97" s="35">
        <f t="shared" si="60"/>
        <v>1.86</v>
      </c>
      <c r="R97" s="34">
        <f t="shared" si="61"/>
        <v>11.16</v>
      </c>
    </row>
    <row r="98" spans="1:18" ht="12.75" hidden="1" outlineLevel="3">
      <c r="A98" s="23" t="s">
        <v>20</v>
      </c>
      <c r="B98" s="3">
        <v>1</v>
      </c>
      <c r="C98" s="3">
        <v>35</v>
      </c>
      <c r="D98" s="3">
        <f>1.5+0.18+3.39</f>
        <v>5.07</v>
      </c>
      <c r="E98" s="35">
        <f t="shared" si="57"/>
        <v>41.07</v>
      </c>
      <c r="F98" s="37">
        <v>2.06</v>
      </c>
      <c r="G98" s="37"/>
      <c r="H98" s="37">
        <v>2</v>
      </c>
      <c r="I98" s="35">
        <f t="shared" si="58"/>
        <v>4.0600000000000005</v>
      </c>
      <c r="J98" s="37"/>
      <c r="K98" s="37">
        <v>0.5</v>
      </c>
      <c r="L98" s="37">
        <v>1</v>
      </c>
      <c r="M98" s="35">
        <f t="shared" si="59"/>
        <v>1.5</v>
      </c>
      <c r="N98" s="37">
        <v>0.5</v>
      </c>
      <c r="O98" s="37">
        <v>0.5</v>
      </c>
      <c r="P98" s="38"/>
      <c r="Q98" s="35">
        <f t="shared" si="60"/>
        <v>1</v>
      </c>
      <c r="R98" s="34">
        <f t="shared" si="61"/>
        <v>47.63</v>
      </c>
    </row>
    <row r="99" spans="1:18" ht="12.75" hidden="1" outlineLevel="3">
      <c r="A99" s="23" t="s">
        <v>21</v>
      </c>
      <c r="B99" s="3"/>
      <c r="C99" s="3"/>
      <c r="D99" s="3"/>
      <c r="E99" s="35">
        <f t="shared" si="57"/>
        <v>0</v>
      </c>
      <c r="F99" s="37"/>
      <c r="G99" s="37"/>
      <c r="H99" s="37"/>
      <c r="I99" s="35">
        <f t="shared" si="58"/>
        <v>0</v>
      </c>
      <c r="J99" s="37"/>
      <c r="K99" s="37"/>
      <c r="L99" s="37"/>
      <c r="M99" s="35">
        <f t="shared" si="59"/>
        <v>0</v>
      </c>
      <c r="N99" s="37"/>
      <c r="O99" s="37"/>
      <c r="P99" s="38"/>
      <c r="Q99" s="35">
        <f t="shared" si="60"/>
        <v>0</v>
      </c>
      <c r="R99" s="34">
        <f t="shared" si="61"/>
        <v>0</v>
      </c>
    </row>
    <row r="100" spans="1:18" ht="12.75" hidden="1" outlineLevel="3">
      <c r="A100" s="23" t="s">
        <v>22</v>
      </c>
      <c r="B100" s="3">
        <v>4.26</v>
      </c>
      <c r="C100" s="3"/>
      <c r="D100" s="3"/>
      <c r="E100" s="35">
        <f t="shared" si="57"/>
        <v>4.26</v>
      </c>
      <c r="F100" s="37"/>
      <c r="G100" s="37"/>
      <c r="H100" s="37"/>
      <c r="I100" s="35">
        <f t="shared" si="58"/>
        <v>0</v>
      </c>
      <c r="J100" s="37">
        <v>8.52</v>
      </c>
      <c r="K100" s="37"/>
      <c r="L100" s="37"/>
      <c r="M100" s="35">
        <f t="shared" si="59"/>
        <v>8.52</v>
      </c>
      <c r="N100" s="37"/>
      <c r="O100" s="37"/>
      <c r="P100" s="38"/>
      <c r="Q100" s="35">
        <f t="shared" si="60"/>
        <v>0</v>
      </c>
      <c r="R100" s="34">
        <f t="shared" si="61"/>
        <v>12.78</v>
      </c>
    </row>
    <row r="101" spans="1:18" ht="12.75" hidden="1" outlineLevel="2" collapsed="1">
      <c r="A101" s="28" t="s">
        <v>50</v>
      </c>
      <c r="B101" s="5">
        <f aca="true" t="shared" si="62" ref="B101:Q101">SUM(B93:B100)</f>
        <v>83.20000000000002</v>
      </c>
      <c r="C101" s="5">
        <f t="shared" si="62"/>
        <v>120.03</v>
      </c>
      <c r="D101" s="5">
        <f t="shared" si="62"/>
        <v>66.12</v>
      </c>
      <c r="E101" s="42">
        <f t="shared" si="62"/>
        <v>269.34999999999997</v>
      </c>
      <c r="F101" s="43">
        <f t="shared" si="62"/>
        <v>75.81000000000002</v>
      </c>
      <c r="G101" s="43">
        <f t="shared" si="62"/>
        <v>52.709999999999994</v>
      </c>
      <c r="H101" s="43">
        <f t="shared" si="62"/>
        <v>65.11000000000001</v>
      </c>
      <c r="I101" s="42">
        <f t="shared" si="62"/>
        <v>193.63000000000002</v>
      </c>
      <c r="J101" s="43">
        <f t="shared" si="62"/>
        <v>69.91</v>
      </c>
      <c r="K101" s="43">
        <f t="shared" si="62"/>
        <v>60.56999999999999</v>
      </c>
      <c r="L101" s="43">
        <f t="shared" si="62"/>
        <v>66.28999999999999</v>
      </c>
      <c r="M101" s="42">
        <f t="shared" si="62"/>
        <v>196.76999999999998</v>
      </c>
      <c r="N101" s="43">
        <f t="shared" si="62"/>
        <v>68.35</v>
      </c>
      <c r="O101" s="43">
        <f t="shared" si="62"/>
        <v>59.41</v>
      </c>
      <c r="P101" s="43">
        <f t="shared" si="62"/>
        <v>56.699999999999996</v>
      </c>
      <c r="Q101" s="42">
        <f t="shared" si="62"/>
        <v>184.46</v>
      </c>
      <c r="R101" s="44">
        <f t="shared" si="61"/>
        <v>844.21</v>
      </c>
    </row>
    <row r="102" spans="1:21" ht="13.5" outlineLevel="1" collapsed="1" thickBot="1">
      <c r="A102" s="26" t="s">
        <v>48</v>
      </c>
      <c r="B102" s="4">
        <f aca="true" t="shared" si="63" ref="B102:R102">B101+B92</f>
        <v>83.20000000000002</v>
      </c>
      <c r="C102" s="4">
        <f t="shared" si="63"/>
        <v>120.03</v>
      </c>
      <c r="D102" s="4">
        <f t="shared" si="63"/>
        <v>66.12</v>
      </c>
      <c r="E102" s="45">
        <f t="shared" si="63"/>
        <v>269.34999999999997</v>
      </c>
      <c r="F102" s="46">
        <f t="shared" si="63"/>
        <v>78.18000000000002</v>
      </c>
      <c r="G102" s="46">
        <f t="shared" si="63"/>
        <v>52.709999999999994</v>
      </c>
      <c r="H102" s="46">
        <f t="shared" si="63"/>
        <v>65.11000000000001</v>
      </c>
      <c r="I102" s="45">
        <f t="shared" si="63"/>
        <v>196.00000000000003</v>
      </c>
      <c r="J102" s="46">
        <f t="shared" si="63"/>
        <v>69.91</v>
      </c>
      <c r="K102" s="46">
        <f t="shared" si="63"/>
        <v>60.56999999999999</v>
      </c>
      <c r="L102" s="46">
        <f t="shared" si="63"/>
        <v>181.32</v>
      </c>
      <c r="M102" s="45">
        <f t="shared" si="63"/>
        <v>311.79999999999995</v>
      </c>
      <c r="N102" s="46">
        <f t="shared" si="63"/>
        <v>69.78999999999999</v>
      </c>
      <c r="O102" s="46">
        <f t="shared" si="63"/>
        <v>59.41</v>
      </c>
      <c r="P102" s="46">
        <f t="shared" si="63"/>
        <v>59.83</v>
      </c>
      <c r="Q102" s="45">
        <f t="shared" si="63"/>
        <v>189.03</v>
      </c>
      <c r="R102" s="47">
        <f t="shared" si="63"/>
        <v>966.1800000000001</v>
      </c>
      <c r="S102" s="53">
        <f>((B93/0.12)+(C93/0.12)+(D93/0.12)+(F93/0.12)+(G93/0.12)+(H93/0.12)+(J93/0.12)+(K93/0.12)+(L93/0.12)+(N93/0.12)+(O93/0.12)+(P93/0.12))/12</f>
        <v>338.4166666666667</v>
      </c>
      <c r="T102" s="54">
        <f>R102/S102</f>
        <v>2.8550012312238366</v>
      </c>
      <c r="U102" s="56">
        <f>R95/R102</f>
        <v>0.08771657455132584</v>
      </c>
    </row>
    <row r="103" spans="1:18" ht="13.5" outlineLevel="1" thickTop="1">
      <c r="A103" s="16" t="s">
        <v>31</v>
      </c>
      <c r="B103" s="17"/>
      <c r="C103" s="17"/>
      <c r="D103" s="17"/>
      <c r="E103" s="14"/>
      <c r="F103" s="17"/>
      <c r="G103" s="17"/>
      <c r="H103" s="17"/>
      <c r="I103" s="14"/>
      <c r="J103" s="17"/>
      <c r="K103" s="17"/>
      <c r="L103" s="17"/>
      <c r="M103" s="14"/>
      <c r="N103" s="17"/>
      <c r="O103" s="17"/>
      <c r="P103" s="17"/>
      <c r="Q103" s="14"/>
      <c r="R103" s="27"/>
    </row>
    <row r="104" spans="1:18" ht="12.75" hidden="1" outlineLevel="3">
      <c r="A104" s="19" t="s">
        <v>40</v>
      </c>
      <c r="B104" s="20"/>
      <c r="C104" s="20"/>
      <c r="D104" s="20"/>
      <c r="E104" s="12">
        <f aca="true" t="shared" si="64" ref="E104:E110">SUM(B104:D104)</f>
        <v>0</v>
      </c>
      <c r="F104" s="20"/>
      <c r="G104" s="20"/>
      <c r="H104" s="20"/>
      <c r="I104" s="12">
        <f aca="true" t="shared" si="65" ref="I104:I110">SUM(F104:H104)</f>
        <v>0</v>
      </c>
      <c r="J104" s="20"/>
      <c r="K104" s="20"/>
      <c r="L104" s="20"/>
      <c r="M104" s="12">
        <f aca="true" t="shared" si="66" ref="M104:M110">SUM(J104:L104)</f>
        <v>0</v>
      </c>
      <c r="N104" s="20"/>
      <c r="O104" s="20"/>
      <c r="P104" s="20"/>
      <c r="Q104" s="12">
        <f aca="true" t="shared" si="67" ref="Q104:Q110">SUM(N104:P104)</f>
        <v>0</v>
      </c>
      <c r="R104" s="21">
        <f aca="true" t="shared" si="68" ref="R104:R110">Q104+M104+I104+E104</f>
        <v>0</v>
      </c>
    </row>
    <row r="105" spans="1:18" ht="12.75" hidden="1" outlineLevel="3">
      <c r="A105" s="19" t="s">
        <v>41</v>
      </c>
      <c r="B105" s="20"/>
      <c r="C105" s="20"/>
      <c r="D105" s="20"/>
      <c r="E105" s="12">
        <f t="shared" si="64"/>
        <v>0</v>
      </c>
      <c r="F105" s="20"/>
      <c r="G105" s="20"/>
      <c r="H105" s="20"/>
      <c r="I105" s="12">
        <f t="shared" si="65"/>
        <v>0</v>
      </c>
      <c r="J105" s="20"/>
      <c r="K105" s="20"/>
      <c r="L105" s="20"/>
      <c r="M105" s="12">
        <f t="shared" si="66"/>
        <v>0</v>
      </c>
      <c r="N105" s="20"/>
      <c r="O105" s="20"/>
      <c r="P105" s="20"/>
      <c r="Q105" s="12">
        <f t="shared" si="67"/>
        <v>0</v>
      </c>
      <c r="R105" s="21">
        <f t="shared" si="68"/>
        <v>0</v>
      </c>
    </row>
    <row r="106" spans="1:18" ht="12.75" hidden="1" outlineLevel="3">
      <c r="A106" s="19" t="s">
        <v>42</v>
      </c>
      <c r="B106" s="20"/>
      <c r="C106" s="20"/>
      <c r="D106" s="20"/>
      <c r="E106" s="12">
        <f t="shared" si="64"/>
        <v>0</v>
      </c>
      <c r="F106" s="20"/>
      <c r="G106" s="20"/>
      <c r="H106" s="20"/>
      <c r="I106" s="12">
        <f t="shared" si="65"/>
        <v>0</v>
      </c>
      <c r="J106" s="20"/>
      <c r="K106" s="20"/>
      <c r="L106" s="20"/>
      <c r="M106" s="12">
        <f t="shared" si="66"/>
        <v>0</v>
      </c>
      <c r="N106" s="20"/>
      <c r="O106" s="20"/>
      <c r="P106" s="20"/>
      <c r="Q106" s="12">
        <f t="shared" si="67"/>
        <v>0</v>
      </c>
      <c r="R106" s="21">
        <f t="shared" si="68"/>
        <v>0</v>
      </c>
    </row>
    <row r="107" spans="1:18" ht="12.75" hidden="1" outlineLevel="3">
      <c r="A107" s="19" t="s">
        <v>43</v>
      </c>
      <c r="B107" s="20"/>
      <c r="C107" s="20"/>
      <c r="D107" s="20"/>
      <c r="E107" s="12">
        <f t="shared" si="64"/>
        <v>0</v>
      </c>
      <c r="F107" s="20"/>
      <c r="G107" s="20"/>
      <c r="H107" s="20"/>
      <c r="I107" s="12">
        <f t="shared" si="65"/>
        <v>0</v>
      </c>
      <c r="J107" s="20"/>
      <c r="K107" s="20"/>
      <c r="L107" s="20"/>
      <c r="M107" s="12">
        <f t="shared" si="66"/>
        <v>0</v>
      </c>
      <c r="N107" s="20"/>
      <c r="O107" s="20"/>
      <c r="P107" s="20"/>
      <c r="Q107" s="12">
        <f t="shared" si="67"/>
        <v>0</v>
      </c>
      <c r="R107" s="21">
        <f t="shared" si="68"/>
        <v>0</v>
      </c>
    </row>
    <row r="108" spans="1:18" ht="12.75" hidden="1" outlineLevel="3">
      <c r="A108" s="19" t="s">
        <v>44</v>
      </c>
      <c r="B108" s="20"/>
      <c r="C108" s="20"/>
      <c r="D108" s="20"/>
      <c r="E108" s="12">
        <f t="shared" si="64"/>
        <v>0</v>
      </c>
      <c r="F108" s="20"/>
      <c r="G108" s="20"/>
      <c r="H108" s="20"/>
      <c r="I108" s="12">
        <f t="shared" si="65"/>
        <v>0</v>
      </c>
      <c r="J108" s="20"/>
      <c r="K108" s="20"/>
      <c r="L108" s="20"/>
      <c r="M108" s="12">
        <f t="shared" si="66"/>
        <v>0</v>
      </c>
      <c r="N108" s="20"/>
      <c r="O108" s="20"/>
      <c r="P108" s="20"/>
      <c r="Q108" s="12">
        <f t="shared" si="67"/>
        <v>0</v>
      </c>
      <c r="R108" s="21">
        <f t="shared" si="68"/>
        <v>0</v>
      </c>
    </row>
    <row r="109" spans="1:18" ht="12.75" hidden="1" outlineLevel="3">
      <c r="A109" s="19" t="s">
        <v>45</v>
      </c>
      <c r="B109" s="20"/>
      <c r="C109" s="20"/>
      <c r="D109" s="20"/>
      <c r="E109" s="12">
        <f t="shared" si="64"/>
        <v>0</v>
      </c>
      <c r="F109" s="20">
        <v>3.03</v>
      </c>
      <c r="G109" s="20"/>
      <c r="H109" s="20"/>
      <c r="I109" s="12">
        <f t="shared" si="65"/>
        <v>3.03</v>
      </c>
      <c r="J109" s="20"/>
      <c r="K109" s="20"/>
      <c r="L109" s="20">
        <v>257.9</v>
      </c>
      <c r="M109" s="12">
        <f t="shared" si="66"/>
        <v>257.9</v>
      </c>
      <c r="N109" s="20">
        <v>1.83</v>
      </c>
      <c r="O109" s="20"/>
      <c r="P109" s="20">
        <f>5.85+0.41</f>
        <v>6.26</v>
      </c>
      <c r="Q109" s="12">
        <f t="shared" si="67"/>
        <v>8.09</v>
      </c>
      <c r="R109" s="21">
        <f t="shared" si="68"/>
        <v>269.0199999999999</v>
      </c>
    </row>
    <row r="110" spans="1:18" ht="12.75" hidden="1" outlineLevel="3">
      <c r="A110" s="19" t="s">
        <v>46</v>
      </c>
      <c r="B110" s="20"/>
      <c r="C110" s="20"/>
      <c r="D110" s="20"/>
      <c r="E110" s="12">
        <f t="shared" si="64"/>
        <v>0</v>
      </c>
      <c r="F110" s="20"/>
      <c r="G110" s="20"/>
      <c r="H110" s="20"/>
      <c r="I110" s="12">
        <f t="shared" si="65"/>
        <v>0</v>
      </c>
      <c r="J110" s="20"/>
      <c r="K110" s="20"/>
      <c r="L110" s="20"/>
      <c r="M110" s="12">
        <f t="shared" si="66"/>
        <v>0</v>
      </c>
      <c r="N110" s="20"/>
      <c r="O110" s="20"/>
      <c r="P110" s="20"/>
      <c r="Q110" s="12">
        <f t="shared" si="67"/>
        <v>0</v>
      </c>
      <c r="R110" s="21">
        <f t="shared" si="68"/>
        <v>0</v>
      </c>
    </row>
    <row r="111" spans="1:18" ht="12.75" hidden="1" outlineLevel="3">
      <c r="A111" s="19" t="s">
        <v>58</v>
      </c>
      <c r="B111" s="24"/>
      <c r="C111" s="24"/>
      <c r="D111" s="24"/>
      <c r="E111" s="59">
        <f>SUM(B111:D111)</f>
        <v>0</v>
      </c>
      <c r="F111" s="52"/>
      <c r="G111" s="52"/>
      <c r="H111" s="52"/>
      <c r="I111" s="59">
        <f>SUM(F111:H111)</f>
        <v>0</v>
      </c>
      <c r="J111" s="52"/>
      <c r="K111" s="52"/>
      <c r="L111" s="52"/>
      <c r="M111" s="59">
        <f>SUM(J111:L111)</f>
        <v>0</v>
      </c>
      <c r="N111" s="52"/>
      <c r="O111" s="52"/>
      <c r="P111" s="52"/>
      <c r="Q111" s="59">
        <f>SUM(N111:P111)</f>
        <v>0</v>
      </c>
      <c r="R111" s="60">
        <f>Q111+M111+I111+E111</f>
        <v>0</v>
      </c>
    </row>
    <row r="112" spans="1:18" ht="12.75" hidden="1" outlineLevel="2" collapsed="1">
      <c r="A112" s="22" t="s">
        <v>47</v>
      </c>
      <c r="B112" s="3">
        <f aca="true" t="shared" si="69" ref="B112:Q112">SUM(B104:B111)</f>
        <v>0</v>
      </c>
      <c r="C112" s="3">
        <f t="shared" si="69"/>
        <v>0</v>
      </c>
      <c r="D112" s="3">
        <f t="shared" si="69"/>
        <v>0</v>
      </c>
      <c r="E112" s="33">
        <f t="shared" si="69"/>
        <v>0</v>
      </c>
      <c r="F112" s="33">
        <f t="shared" si="69"/>
        <v>3.03</v>
      </c>
      <c r="G112" s="33">
        <f t="shared" si="69"/>
        <v>0</v>
      </c>
      <c r="H112" s="33">
        <f t="shared" si="69"/>
        <v>0</v>
      </c>
      <c r="I112" s="33">
        <f t="shared" si="69"/>
        <v>3.03</v>
      </c>
      <c r="J112" s="33">
        <f t="shared" si="69"/>
        <v>0</v>
      </c>
      <c r="K112" s="33">
        <f t="shared" si="69"/>
        <v>0</v>
      </c>
      <c r="L112" s="33">
        <f t="shared" si="69"/>
        <v>257.9</v>
      </c>
      <c r="M112" s="33">
        <f t="shared" si="69"/>
        <v>257.9</v>
      </c>
      <c r="N112" s="33">
        <f t="shared" si="69"/>
        <v>1.83</v>
      </c>
      <c r="O112" s="33">
        <f t="shared" si="69"/>
        <v>0</v>
      </c>
      <c r="P112" s="33">
        <f t="shared" si="69"/>
        <v>6.26</v>
      </c>
      <c r="Q112" s="33">
        <f t="shared" si="69"/>
        <v>8.09</v>
      </c>
      <c r="R112" s="34">
        <f>Q112+M112+I112+E112</f>
        <v>269.0199999999999</v>
      </c>
    </row>
    <row r="113" spans="1:18" ht="12.75" hidden="1" outlineLevel="3">
      <c r="A113" s="23" t="s">
        <v>15</v>
      </c>
      <c r="B113" s="3">
        <v>67.8</v>
      </c>
      <c r="C113" s="3">
        <v>67.56</v>
      </c>
      <c r="D113" s="3">
        <v>67.44</v>
      </c>
      <c r="E113" s="35">
        <f>SUM(B113:D113)</f>
        <v>202.8</v>
      </c>
      <c r="F113" s="37">
        <v>66.72</v>
      </c>
      <c r="G113" s="37">
        <v>67.08</v>
      </c>
      <c r="H113" s="37">
        <v>67.68</v>
      </c>
      <c r="I113" s="35">
        <f>SUM(F113:H113)</f>
        <v>201.48000000000002</v>
      </c>
      <c r="J113" s="37">
        <v>67.44</v>
      </c>
      <c r="K113" s="37">
        <v>67.32</v>
      </c>
      <c r="L113" s="37">
        <v>69.24</v>
      </c>
      <c r="M113" s="35">
        <f>SUM(J113:L113)</f>
        <v>204</v>
      </c>
      <c r="N113" s="37">
        <v>69.24</v>
      </c>
      <c r="O113" s="37">
        <v>68.64</v>
      </c>
      <c r="P113" s="38">
        <v>67.92</v>
      </c>
      <c r="Q113" s="35">
        <f>SUM(N113:P113)</f>
        <v>205.8</v>
      </c>
      <c r="R113" s="34">
        <f>Q113+M113+I113+E113</f>
        <v>814.0799999999999</v>
      </c>
    </row>
    <row r="114" spans="1:18" ht="12.75" hidden="1" outlineLevel="3">
      <c r="A114" s="23" t="s">
        <v>16</v>
      </c>
      <c r="B114" s="3">
        <v>22</v>
      </c>
      <c r="C114" s="3">
        <v>22</v>
      </c>
      <c r="D114" s="3">
        <v>14</v>
      </c>
      <c r="E114" s="35">
        <f aca="true" t="shared" si="70" ref="E114:E120">SUM(B114:D114)</f>
        <v>58</v>
      </c>
      <c r="F114" s="37">
        <v>13.97</v>
      </c>
      <c r="G114" s="37">
        <v>13.97</v>
      </c>
      <c r="H114" s="37">
        <v>13.97</v>
      </c>
      <c r="I114" s="35">
        <f aca="true" t="shared" si="71" ref="I114:I120">SUM(F114:H114)</f>
        <v>41.910000000000004</v>
      </c>
      <c r="J114" s="37">
        <v>13.97</v>
      </c>
      <c r="K114" s="37">
        <v>13.97</v>
      </c>
      <c r="L114" s="37">
        <v>13.97</v>
      </c>
      <c r="M114" s="35">
        <f aca="true" t="shared" si="72" ref="M114:M120">SUM(J114:L114)</f>
        <v>41.910000000000004</v>
      </c>
      <c r="N114" s="37">
        <v>13.97</v>
      </c>
      <c r="O114" s="37">
        <v>13.97</v>
      </c>
      <c r="P114" s="38">
        <v>13.97</v>
      </c>
      <c r="Q114" s="35">
        <f aca="true" t="shared" si="73" ref="Q114:Q120">SUM(N114:P114)</f>
        <v>41.910000000000004</v>
      </c>
      <c r="R114" s="34">
        <f aca="true" t="shared" si="74" ref="R114:R121">Q114+M114+I114+E114</f>
        <v>183.73000000000002</v>
      </c>
    </row>
    <row r="115" spans="1:18" ht="12.75" hidden="1" outlineLevel="3">
      <c r="A115" s="23" t="s">
        <v>17</v>
      </c>
      <c r="B115" s="3">
        <v>3.39</v>
      </c>
      <c r="C115" s="3">
        <v>9.04</v>
      </c>
      <c r="D115" s="3">
        <v>11.3</v>
      </c>
      <c r="E115" s="35">
        <f t="shared" si="70"/>
        <v>23.73</v>
      </c>
      <c r="F115" s="37">
        <v>6.78</v>
      </c>
      <c r="G115" s="37">
        <v>6.78</v>
      </c>
      <c r="H115" s="37">
        <v>6.78</v>
      </c>
      <c r="I115" s="35">
        <f t="shared" si="71"/>
        <v>20.34</v>
      </c>
      <c r="J115" s="37">
        <v>4.52</v>
      </c>
      <c r="K115" s="37">
        <v>10.17</v>
      </c>
      <c r="L115" s="37">
        <v>44.07</v>
      </c>
      <c r="M115" s="35">
        <f t="shared" si="72"/>
        <v>58.76</v>
      </c>
      <c r="N115" s="37">
        <v>13.56</v>
      </c>
      <c r="O115" s="37">
        <v>7.91</v>
      </c>
      <c r="P115" s="38">
        <v>4.52</v>
      </c>
      <c r="Q115" s="35">
        <f t="shared" si="73"/>
        <v>25.99</v>
      </c>
      <c r="R115" s="34">
        <f t="shared" si="74"/>
        <v>128.82</v>
      </c>
    </row>
    <row r="116" spans="1:18" ht="12.75" hidden="1" outlineLevel="3">
      <c r="A116" s="25" t="s">
        <v>18</v>
      </c>
      <c r="B116" s="3"/>
      <c r="C116" s="3">
        <f>4.9+0.74</f>
        <v>5.640000000000001</v>
      </c>
      <c r="D116" s="3">
        <f>4.92+0.69</f>
        <v>5.609999999999999</v>
      </c>
      <c r="E116" s="35">
        <f t="shared" si="70"/>
        <v>11.25</v>
      </c>
      <c r="F116" s="37">
        <f>9.3+0.72+11.22+0.78</f>
        <v>22.020000000000003</v>
      </c>
      <c r="G116" s="37"/>
      <c r="H116" s="37">
        <v>8.84</v>
      </c>
      <c r="I116" s="35">
        <f t="shared" si="71"/>
        <v>30.860000000000003</v>
      </c>
      <c r="J116" s="37">
        <f>4.95+0.6</f>
        <v>5.55</v>
      </c>
      <c r="K116" s="37">
        <f>4.79+0.61</f>
        <v>5.4</v>
      </c>
      <c r="L116" s="37">
        <f>4.35+0.61+5.67+0.6</f>
        <v>11.229999999999999</v>
      </c>
      <c r="M116" s="35">
        <f t="shared" si="72"/>
        <v>22.18</v>
      </c>
      <c r="N116" s="37">
        <f>5.31+0.61</f>
        <v>5.92</v>
      </c>
      <c r="O116" s="37">
        <f>4.76+0.62</f>
        <v>5.38</v>
      </c>
      <c r="P116" s="38"/>
      <c r="Q116" s="35">
        <f t="shared" si="73"/>
        <v>11.3</v>
      </c>
      <c r="R116" s="34">
        <f t="shared" si="74"/>
        <v>75.59</v>
      </c>
    </row>
    <row r="117" spans="1:18" ht="12.75" hidden="1" outlineLevel="3">
      <c r="A117" s="23" t="s">
        <v>19</v>
      </c>
      <c r="B117" s="3"/>
      <c r="C117" s="3"/>
      <c r="D117" s="3"/>
      <c r="E117" s="35">
        <f t="shared" si="70"/>
        <v>0</v>
      </c>
      <c r="F117" s="37"/>
      <c r="G117" s="37"/>
      <c r="H117" s="37">
        <v>0.93</v>
      </c>
      <c r="I117" s="35">
        <f t="shared" si="71"/>
        <v>0.93</v>
      </c>
      <c r="J117" s="37"/>
      <c r="K117" s="37"/>
      <c r="L117" s="37"/>
      <c r="M117" s="35">
        <f t="shared" si="72"/>
        <v>0</v>
      </c>
      <c r="N117" s="37">
        <v>1.86</v>
      </c>
      <c r="O117" s="37">
        <v>0.93</v>
      </c>
      <c r="P117" s="38"/>
      <c r="Q117" s="35">
        <f t="shared" si="73"/>
        <v>2.79</v>
      </c>
      <c r="R117" s="34">
        <f t="shared" si="74"/>
        <v>3.72</v>
      </c>
    </row>
    <row r="118" spans="1:18" ht="12.75" hidden="1" outlineLevel="3">
      <c r="A118" s="23" t="s">
        <v>20</v>
      </c>
      <c r="B118" s="3"/>
      <c r="C118" s="3"/>
      <c r="D118" s="3"/>
      <c r="E118" s="35">
        <f t="shared" si="70"/>
        <v>0</v>
      </c>
      <c r="F118" s="37"/>
      <c r="G118" s="37"/>
      <c r="H118" s="37"/>
      <c r="I118" s="35">
        <f t="shared" si="71"/>
        <v>0</v>
      </c>
      <c r="J118" s="37"/>
      <c r="K118" s="37"/>
      <c r="L118" s="37"/>
      <c r="M118" s="35">
        <f t="shared" si="72"/>
        <v>0</v>
      </c>
      <c r="N118" s="37"/>
      <c r="O118" s="37"/>
      <c r="P118" s="38"/>
      <c r="Q118" s="35">
        <f t="shared" si="73"/>
        <v>0</v>
      </c>
      <c r="R118" s="34">
        <f t="shared" si="74"/>
        <v>0</v>
      </c>
    </row>
    <row r="119" spans="1:18" ht="12.75" hidden="1" outlineLevel="3">
      <c r="A119" s="23" t="s">
        <v>21</v>
      </c>
      <c r="B119" s="3"/>
      <c r="C119" s="3"/>
      <c r="D119" s="3"/>
      <c r="E119" s="35">
        <f t="shared" si="70"/>
        <v>0</v>
      </c>
      <c r="F119" s="37"/>
      <c r="G119" s="37"/>
      <c r="H119" s="37"/>
      <c r="I119" s="35">
        <f t="shared" si="71"/>
        <v>0</v>
      </c>
      <c r="J119" s="37"/>
      <c r="K119" s="37"/>
      <c r="L119" s="37"/>
      <c r="M119" s="35">
        <f t="shared" si="72"/>
        <v>0</v>
      </c>
      <c r="N119" s="37"/>
      <c r="O119" s="37"/>
      <c r="P119" s="38"/>
      <c r="Q119" s="35">
        <f t="shared" si="73"/>
        <v>0</v>
      </c>
      <c r="R119" s="34">
        <f t="shared" si="74"/>
        <v>0</v>
      </c>
    </row>
    <row r="120" spans="1:18" ht="12.75" hidden="1" outlineLevel="3">
      <c r="A120" s="23" t="s">
        <v>22</v>
      </c>
      <c r="B120" s="3">
        <v>4.26</v>
      </c>
      <c r="C120" s="3"/>
      <c r="D120" s="3"/>
      <c r="E120" s="35">
        <f t="shared" si="70"/>
        <v>4.26</v>
      </c>
      <c r="F120" s="37"/>
      <c r="G120" s="37"/>
      <c r="H120" s="37"/>
      <c r="I120" s="35">
        <f t="shared" si="71"/>
        <v>0</v>
      </c>
      <c r="J120" s="37"/>
      <c r="K120" s="37"/>
      <c r="L120" s="37"/>
      <c r="M120" s="35">
        <f t="shared" si="72"/>
        <v>0</v>
      </c>
      <c r="N120" s="37">
        <v>4.26</v>
      </c>
      <c r="O120" s="37">
        <v>12.78</v>
      </c>
      <c r="P120" s="38">
        <v>4.26</v>
      </c>
      <c r="Q120" s="35">
        <f t="shared" si="73"/>
        <v>21.299999999999997</v>
      </c>
      <c r="R120" s="34">
        <f t="shared" si="74"/>
        <v>25.559999999999995</v>
      </c>
    </row>
    <row r="121" spans="1:18" ht="12.75" hidden="1" outlineLevel="2" collapsed="1">
      <c r="A121" s="28" t="s">
        <v>50</v>
      </c>
      <c r="B121" s="43">
        <f aca="true" t="shared" si="75" ref="B121:Q121">SUM(B113:B120)</f>
        <v>97.45</v>
      </c>
      <c r="C121" s="43">
        <f t="shared" si="75"/>
        <v>104.24</v>
      </c>
      <c r="D121" s="43">
        <f t="shared" si="75"/>
        <v>98.35</v>
      </c>
      <c r="E121" s="42">
        <f t="shared" si="75"/>
        <v>300.04</v>
      </c>
      <c r="F121" s="43">
        <f t="shared" si="75"/>
        <v>109.49000000000001</v>
      </c>
      <c r="G121" s="43">
        <f t="shared" si="75"/>
        <v>87.83</v>
      </c>
      <c r="H121" s="43">
        <f t="shared" si="75"/>
        <v>98.20000000000002</v>
      </c>
      <c r="I121" s="42">
        <f t="shared" si="75"/>
        <v>295.52000000000004</v>
      </c>
      <c r="J121" s="43">
        <f t="shared" si="75"/>
        <v>91.47999999999999</v>
      </c>
      <c r="K121" s="43">
        <f t="shared" si="75"/>
        <v>96.86</v>
      </c>
      <c r="L121" s="43">
        <f t="shared" si="75"/>
        <v>138.51</v>
      </c>
      <c r="M121" s="42">
        <f t="shared" si="75"/>
        <v>326.85</v>
      </c>
      <c r="N121" s="43">
        <f t="shared" si="75"/>
        <v>108.81</v>
      </c>
      <c r="O121" s="43">
        <f t="shared" si="75"/>
        <v>109.61</v>
      </c>
      <c r="P121" s="43">
        <f t="shared" si="75"/>
        <v>90.67</v>
      </c>
      <c r="Q121" s="42">
        <f t="shared" si="75"/>
        <v>309.09000000000003</v>
      </c>
      <c r="R121" s="44">
        <f t="shared" si="74"/>
        <v>1231.5</v>
      </c>
    </row>
    <row r="122" spans="1:21" ht="13.5" outlineLevel="1" collapsed="1" thickBot="1">
      <c r="A122" s="22" t="s">
        <v>48</v>
      </c>
      <c r="B122" s="46">
        <f aca="true" t="shared" si="76" ref="B122:R122">B121+B112</f>
        <v>97.45</v>
      </c>
      <c r="C122" s="46">
        <f t="shared" si="76"/>
        <v>104.24</v>
      </c>
      <c r="D122" s="46">
        <f t="shared" si="76"/>
        <v>98.35</v>
      </c>
      <c r="E122" s="45">
        <f t="shared" si="76"/>
        <v>300.04</v>
      </c>
      <c r="F122" s="46">
        <f t="shared" si="76"/>
        <v>112.52000000000001</v>
      </c>
      <c r="G122" s="46">
        <f t="shared" si="76"/>
        <v>87.83</v>
      </c>
      <c r="H122" s="46">
        <f t="shared" si="76"/>
        <v>98.20000000000002</v>
      </c>
      <c r="I122" s="45">
        <f t="shared" si="76"/>
        <v>298.55</v>
      </c>
      <c r="J122" s="46">
        <f t="shared" si="76"/>
        <v>91.47999999999999</v>
      </c>
      <c r="K122" s="46">
        <f t="shared" si="76"/>
        <v>96.86</v>
      </c>
      <c r="L122" s="46">
        <f t="shared" si="76"/>
        <v>396.40999999999997</v>
      </c>
      <c r="M122" s="45">
        <f t="shared" si="76"/>
        <v>584.75</v>
      </c>
      <c r="N122" s="46">
        <f t="shared" si="76"/>
        <v>110.64</v>
      </c>
      <c r="O122" s="46">
        <f t="shared" si="76"/>
        <v>109.61</v>
      </c>
      <c r="P122" s="46">
        <f t="shared" si="76"/>
        <v>96.93</v>
      </c>
      <c r="Q122" s="45">
        <f t="shared" si="76"/>
        <v>317.18</v>
      </c>
      <c r="R122" s="47">
        <f t="shared" si="76"/>
        <v>1500.52</v>
      </c>
      <c r="S122" s="53">
        <f>((B113/0.12)+(C113/0.12)+(D113/0.12)+(F113/0.12)+(G113/0.12)+(H113/0.12)+(J113/0.12)+(K113/0.12)+(L113/0.12)+(N113/0.12)+(O113/0.12)+(P113/0.12))/12</f>
        <v>565.3333333333334</v>
      </c>
      <c r="T122" s="54">
        <f>R122/S122</f>
        <v>2.6542216981132074</v>
      </c>
      <c r="U122" s="56">
        <f>R115/R122</f>
        <v>0.08585023858395756</v>
      </c>
    </row>
    <row r="123" spans="1:18" ht="13.5" outlineLevel="1" thickTop="1">
      <c r="A123" s="16" t="s">
        <v>32</v>
      </c>
      <c r="B123" s="17"/>
      <c r="C123" s="17"/>
      <c r="D123" s="17"/>
      <c r="E123" s="14"/>
      <c r="F123" s="17"/>
      <c r="G123" s="17"/>
      <c r="H123" s="17"/>
      <c r="I123" s="14"/>
      <c r="J123" s="17"/>
      <c r="K123" s="17"/>
      <c r="L123" s="17"/>
      <c r="M123" s="14"/>
      <c r="N123" s="17"/>
      <c r="O123" s="17"/>
      <c r="P123" s="17"/>
      <c r="Q123" s="14"/>
      <c r="R123" s="27"/>
    </row>
    <row r="124" spans="1:18" ht="12.75" hidden="1" outlineLevel="3">
      <c r="A124" s="19" t="s">
        <v>40</v>
      </c>
      <c r="B124" s="20"/>
      <c r="C124" s="20"/>
      <c r="D124" s="20"/>
      <c r="E124" s="12">
        <f aca="true" t="shared" si="77" ref="E124:E130">SUM(B124:D124)</f>
        <v>0</v>
      </c>
      <c r="F124" s="20"/>
      <c r="G124" s="20"/>
      <c r="H124" s="20"/>
      <c r="I124" s="12">
        <f aca="true" t="shared" si="78" ref="I124:I130">SUM(F124:H124)</f>
        <v>0</v>
      </c>
      <c r="J124" s="20"/>
      <c r="K124" s="20"/>
      <c r="L124" s="20"/>
      <c r="M124" s="12">
        <f aca="true" t="shared" si="79" ref="M124:M130">SUM(J124:L124)</f>
        <v>0</v>
      </c>
      <c r="N124" s="20"/>
      <c r="O124" s="20"/>
      <c r="P124" s="20"/>
      <c r="Q124" s="12">
        <f aca="true" t="shared" si="80" ref="Q124:Q130">SUM(N124:P124)</f>
        <v>0</v>
      </c>
      <c r="R124" s="21">
        <f aca="true" t="shared" si="81" ref="R124:R130">Q124+M124+I124+E124</f>
        <v>0</v>
      </c>
    </row>
    <row r="125" spans="1:18" ht="12.75" hidden="1" outlineLevel="3">
      <c r="A125" s="19" t="s">
        <v>41</v>
      </c>
      <c r="B125" s="20"/>
      <c r="C125" s="20"/>
      <c r="D125" s="20"/>
      <c r="E125" s="12">
        <f t="shared" si="77"/>
        <v>0</v>
      </c>
      <c r="F125" s="20"/>
      <c r="G125" s="20"/>
      <c r="H125" s="20"/>
      <c r="I125" s="12">
        <f t="shared" si="78"/>
        <v>0</v>
      </c>
      <c r="J125" s="20"/>
      <c r="K125" s="20"/>
      <c r="L125" s="20"/>
      <c r="M125" s="12">
        <f t="shared" si="79"/>
        <v>0</v>
      </c>
      <c r="N125" s="20"/>
      <c r="O125" s="20"/>
      <c r="P125" s="20"/>
      <c r="Q125" s="12">
        <f t="shared" si="80"/>
        <v>0</v>
      </c>
      <c r="R125" s="21">
        <f t="shared" si="81"/>
        <v>0</v>
      </c>
    </row>
    <row r="126" spans="1:18" ht="12.75" hidden="1" outlineLevel="3">
      <c r="A126" s="19" t="s">
        <v>42</v>
      </c>
      <c r="B126" s="20"/>
      <c r="C126" s="20"/>
      <c r="D126" s="20"/>
      <c r="E126" s="12">
        <f t="shared" si="77"/>
        <v>0</v>
      </c>
      <c r="F126" s="20"/>
      <c r="G126" s="20"/>
      <c r="H126" s="20"/>
      <c r="I126" s="12">
        <f t="shared" si="78"/>
        <v>0</v>
      </c>
      <c r="J126" s="20"/>
      <c r="K126" s="20"/>
      <c r="L126" s="20"/>
      <c r="M126" s="12">
        <f t="shared" si="79"/>
        <v>0</v>
      </c>
      <c r="N126" s="20"/>
      <c r="O126" s="20"/>
      <c r="P126" s="20"/>
      <c r="Q126" s="12">
        <f t="shared" si="80"/>
        <v>0</v>
      </c>
      <c r="R126" s="21">
        <f t="shared" si="81"/>
        <v>0</v>
      </c>
    </row>
    <row r="127" spans="1:18" ht="12.75" hidden="1" outlineLevel="3">
      <c r="A127" s="19" t="s">
        <v>43</v>
      </c>
      <c r="B127" s="20"/>
      <c r="C127" s="20"/>
      <c r="D127" s="20"/>
      <c r="E127" s="12">
        <f t="shared" si="77"/>
        <v>0</v>
      </c>
      <c r="F127" s="20"/>
      <c r="G127" s="20"/>
      <c r="H127" s="20"/>
      <c r="I127" s="12">
        <f t="shared" si="78"/>
        <v>0</v>
      </c>
      <c r="J127" s="20"/>
      <c r="K127" s="20"/>
      <c r="L127" s="20"/>
      <c r="M127" s="12">
        <f t="shared" si="79"/>
        <v>0</v>
      </c>
      <c r="N127" s="20"/>
      <c r="O127" s="20"/>
      <c r="P127" s="20"/>
      <c r="Q127" s="12">
        <f t="shared" si="80"/>
        <v>0</v>
      </c>
      <c r="R127" s="21">
        <f t="shared" si="81"/>
        <v>0</v>
      </c>
    </row>
    <row r="128" spans="1:18" ht="12.75" hidden="1" outlineLevel="3">
      <c r="A128" s="19" t="s">
        <v>44</v>
      </c>
      <c r="B128" s="20"/>
      <c r="C128" s="20"/>
      <c r="D128" s="20"/>
      <c r="E128" s="12">
        <f t="shared" si="77"/>
        <v>0</v>
      </c>
      <c r="F128" s="20"/>
      <c r="G128" s="20"/>
      <c r="H128" s="20"/>
      <c r="I128" s="12">
        <f t="shared" si="78"/>
        <v>0</v>
      </c>
      <c r="J128" s="20"/>
      <c r="K128" s="20"/>
      <c r="L128" s="20"/>
      <c r="M128" s="12">
        <f t="shared" si="79"/>
        <v>0</v>
      </c>
      <c r="N128" s="20"/>
      <c r="O128" s="20"/>
      <c r="P128" s="20"/>
      <c r="Q128" s="12">
        <f t="shared" si="80"/>
        <v>0</v>
      </c>
      <c r="R128" s="21">
        <f t="shared" si="81"/>
        <v>0</v>
      </c>
    </row>
    <row r="129" spans="1:18" ht="12.75" hidden="1" outlineLevel="3">
      <c r="A129" s="19" t="s">
        <v>45</v>
      </c>
      <c r="B129" s="20"/>
      <c r="C129" s="20"/>
      <c r="D129" s="20"/>
      <c r="E129" s="12">
        <f t="shared" si="77"/>
        <v>0</v>
      </c>
      <c r="F129" s="20">
        <v>5.59</v>
      </c>
      <c r="G129" s="20"/>
      <c r="H129" s="20"/>
      <c r="I129" s="12">
        <f t="shared" si="78"/>
        <v>5.59</v>
      </c>
      <c r="J129" s="20"/>
      <c r="K129" s="20"/>
      <c r="L129" s="20">
        <v>270.88</v>
      </c>
      <c r="M129" s="12">
        <f t="shared" si="79"/>
        <v>270.88</v>
      </c>
      <c r="N129" s="20">
        <v>3.39</v>
      </c>
      <c r="O129" s="20"/>
      <c r="P129" s="20">
        <f>10+0.71</f>
        <v>10.71</v>
      </c>
      <c r="Q129" s="12">
        <f t="shared" si="80"/>
        <v>14.100000000000001</v>
      </c>
      <c r="R129" s="21">
        <f t="shared" si="81"/>
        <v>290.57</v>
      </c>
    </row>
    <row r="130" spans="1:18" ht="12.75" hidden="1" outlineLevel="3">
      <c r="A130" s="19" t="s">
        <v>46</v>
      </c>
      <c r="B130" s="20"/>
      <c r="C130" s="20"/>
      <c r="D130" s="20"/>
      <c r="E130" s="12">
        <f t="shared" si="77"/>
        <v>0</v>
      </c>
      <c r="F130" s="20"/>
      <c r="G130" s="20"/>
      <c r="H130" s="20"/>
      <c r="I130" s="12">
        <f t="shared" si="78"/>
        <v>0</v>
      </c>
      <c r="J130" s="20"/>
      <c r="K130" s="20"/>
      <c r="L130" s="20"/>
      <c r="M130" s="12">
        <f t="shared" si="79"/>
        <v>0</v>
      </c>
      <c r="N130" s="20"/>
      <c r="O130" s="20"/>
      <c r="P130" s="20"/>
      <c r="Q130" s="12">
        <f t="shared" si="80"/>
        <v>0</v>
      </c>
      <c r="R130" s="21">
        <f t="shared" si="81"/>
        <v>0</v>
      </c>
    </row>
    <row r="131" spans="1:18" ht="12.75" hidden="1" outlineLevel="3">
      <c r="A131" s="19" t="s">
        <v>58</v>
      </c>
      <c r="B131" s="24"/>
      <c r="C131" s="24"/>
      <c r="D131" s="24"/>
      <c r="E131" s="59">
        <f>SUM(B131:D131)</f>
        <v>0</v>
      </c>
      <c r="F131" s="52"/>
      <c r="G131" s="52"/>
      <c r="H131" s="52"/>
      <c r="I131" s="59">
        <f>SUM(F131:H131)</f>
        <v>0</v>
      </c>
      <c r="J131" s="52"/>
      <c r="K131" s="52"/>
      <c r="L131" s="52"/>
      <c r="M131" s="59">
        <f>SUM(J131:L131)</f>
        <v>0</v>
      </c>
      <c r="N131" s="52"/>
      <c r="O131" s="52"/>
      <c r="P131" s="52"/>
      <c r="Q131" s="59">
        <f>SUM(N131:P131)</f>
        <v>0</v>
      </c>
      <c r="R131" s="60">
        <f>Q131+M131+I131+E131</f>
        <v>0</v>
      </c>
    </row>
    <row r="132" spans="1:18" ht="12.75" hidden="1" outlineLevel="2">
      <c r="A132" s="22" t="s">
        <v>47</v>
      </c>
      <c r="B132" s="3">
        <f aca="true" t="shared" si="82" ref="B132:Q132">SUM(B124:B131)</f>
        <v>0</v>
      </c>
      <c r="C132" s="3">
        <f t="shared" si="82"/>
        <v>0</v>
      </c>
      <c r="D132" s="3">
        <f t="shared" si="82"/>
        <v>0</v>
      </c>
      <c r="E132" s="33">
        <f t="shared" si="82"/>
        <v>0</v>
      </c>
      <c r="F132" s="33">
        <f t="shared" si="82"/>
        <v>5.59</v>
      </c>
      <c r="G132" s="33">
        <f t="shared" si="82"/>
        <v>0</v>
      </c>
      <c r="H132" s="33">
        <f t="shared" si="82"/>
        <v>0</v>
      </c>
      <c r="I132" s="33">
        <f t="shared" si="82"/>
        <v>5.59</v>
      </c>
      <c r="J132" s="33">
        <f t="shared" si="82"/>
        <v>0</v>
      </c>
      <c r="K132" s="33">
        <f t="shared" si="82"/>
        <v>0</v>
      </c>
      <c r="L132" s="33">
        <f t="shared" si="82"/>
        <v>270.88</v>
      </c>
      <c r="M132" s="33">
        <f t="shared" si="82"/>
        <v>270.88</v>
      </c>
      <c r="N132" s="33">
        <f t="shared" si="82"/>
        <v>3.39</v>
      </c>
      <c r="O132" s="33">
        <f t="shared" si="82"/>
        <v>0</v>
      </c>
      <c r="P132" s="33">
        <f t="shared" si="82"/>
        <v>10.71</v>
      </c>
      <c r="Q132" s="33">
        <f t="shared" si="82"/>
        <v>14.100000000000001</v>
      </c>
      <c r="R132" s="34">
        <f>Q132+M132+I132+E132</f>
        <v>290.57</v>
      </c>
    </row>
    <row r="133" spans="1:18" ht="12.75" hidden="1" outlineLevel="3">
      <c r="A133" s="23" t="s">
        <v>15</v>
      </c>
      <c r="B133" s="3">
        <v>111.96</v>
      </c>
      <c r="C133" s="3">
        <v>111.84</v>
      </c>
      <c r="D133" s="3">
        <v>111.84</v>
      </c>
      <c r="E133" s="35">
        <f>SUM(B133:D133)</f>
        <v>335.64</v>
      </c>
      <c r="F133" s="37">
        <v>111.24</v>
      </c>
      <c r="G133" s="37">
        <v>111.24</v>
      </c>
      <c r="H133" s="37">
        <v>111.36</v>
      </c>
      <c r="I133" s="35">
        <f>SUM(F133:H133)</f>
        <v>333.84</v>
      </c>
      <c r="J133" s="37">
        <v>111.36</v>
      </c>
      <c r="K133" s="37">
        <v>111.72</v>
      </c>
      <c r="L133" s="37">
        <v>111.84</v>
      </c>
      <c r="M133" s="35">
        <f>SUM(J133:L133)</f>
        <v>334.91999999999996</v>
      </c>
      <c r="N133" s="37">
        <v>111.96</v>
      </c>
      <c r="O133" s="37">
        <v>111.84</v>
      </c>
      <c r="P133" s="38">
        <v>111.6</v>
      </c>
      <c r="Q133" s="35">
        <f>SUM(N133:P133)</f>
        <v>335.4</v>
      </c>
      <c r="R133" s="34">
        <f>Q133+M133+I133+E133</f>
        <v>1339.7999999999997</v>
      </c>
    </row>
    <row r="134" spans="1:18" ht="12.75" hidden="1" outlineLevel="3">
      <c r="A134" s="23" t="s">
        <v>16</v>
      </c>
      <c r="B134" s="3">
        <v>22</v>
      </c>
      <c r="C134" s="3">
        <v>22</v>
      </c>
      <c r="D134" s="3">
        <v>24</v>
      </c>
      <c r="E134" s="35">
        <f aca="true" t="shared" si="83" ref="E134:E140">SUM(B134:D134)</f>
        <v>68</v>
      </c>
      <c r="F134" s="37">
        <v>23.98</v>
      </c>
      <c r="G134" s="37">
        <v>23.98</v>
      </c>
      <c r="H134" s="37">
        <v>23.98</v>
      </c>
      <c r="I134" s="35">
        <f aca="true" t="shared" si="84" ref="I134:I140">SUM(F134:H134)</f>
        <v>71.94</v>
      </c>
      <c r="J134" s="37">
        <v>23.98</v>
      </c>
      <c r="K134" s="37">
        <v>23.98</v>
      </c>
      <c r="L134" s="37">
        <v>23.98</v>
      </c>
      <c r="M134" s="35">
        <f aca="true" t="shared" si="85" ref="M134:M140">SUM(J134:L134)</f>
        <v>71.94</v>
      </c>
      <c r="N134" s="37">
        <v>23.98</v>
      </c>
      <c r="O134" s="37">
        <v>23.98</v>
      </c>
      <c r="P134" s="38">
        <v>23.98</v>
      </c>
      <c r="Q134" s="35">
        <f aca="true" t="shared" si="86" ref="Q134:Q140">SUM(N134:P134)</f>
        <v>71.94</v>
      </c>
      <c r="R134" s="34">
        <f aca="true" t="shared" si="87" ref="R134:R141">Q134+M134+I134+E134</f>
        <v>283.82</v>
      </c>
    </row>
    <row r="135" spans="1:18" ht="12.75" hidden="1" outlineLevel="3">
      <c r="A135" s="23" t="s">
        <v>17</v>
      </c>
      <c r="B135" s="3">
        <v>4.52</v>
      </c>
      <c r="C135" s="3">
        <v>9.04</v>
      </c>
      <c r="D135" s="3">
        <v>4.52</v>
      </c>
      <c r="E135" s="35">
        <f t="shared" si="83"/>
        <v>18.08</v>
      </c>
      <c r="F135" s="37">
        <v>6.78</v>
      </c>
      <c r="G135" s="37">
        <v>1.13</v>
      </c>
      <c r="H135" s="37">
        <v>9.04</v>
      </c>
      <c r="I135" s="35">
        <f t="shared" si="84"/>
        <v>16.95</v>
      </c>
      <c r="J135" s="37">
        <v>5.65</v>
      </c>
      <c r="K135" s="37">
        <v>11.3</v>
      </c>
      <c r="L135" s="37">
        <v>18.08</v>
      </c>
      <c r="M135" s="35">
        <f t="shared" si="85"/>
        <v>35.03</v>
      </c>
      <c r="N135" s="37">
        <v>12.43</v>
      </c>
      <c r="O135" s="37">
        <v>11.3</v>
      </c>
      <c r="P135" s="38">
        <v>5.65</v>
      </c>
      <c r="Q135" s="35">
        <f t="shared" si="86"/>
        <v>29.380000000000003</v>
      </c>
      <c r="R135" s="34">
        <f t="shared" si="87"/>
        <v>99.44</v>
      </c>
    </row>
    <row r="136" spans="1:18" ht="12.75" hidden="1" outlineLevel="3">
      <c r="A136" s="25" t="s">
        <v>18</v>
      </c>
      <c r="B136" s="3"/>
      <c r="C136" s="3">
        <f>8.17+0.74</f>
        <v>8.91</v>
      </c>
      <c r="D136" s="3">
        <f>8.2+0.69</f>
        <v>8.889999999999999</v>
      </c>
      <c r="E136" s="35">
        <f t="shared" si="83"/>
        <v>17.799999999999997</v>
      </c>
      <c r="F136" s="37">
        <f>15.51+0.72+20.73+0.78</f>
        <v>37.74</v>
      </c>
      <c r="G136" s="37"/>
      <c r="H136" s="37">
        <v>15.75</v>
      </c>
      <c r="I136" s="35">
        <f t="shared" si="84"/>
        <v>53.49</v>
      </c>
      <c r="J136" s="37">
        <f>9.14+0.6</f>
        <v>9.74</v>
      </c>
      <c r="K136" s="37">
        <f>8.86+0.61</f>
        <v>9.469999999999999</v>
      </c>
      <c r="L136" s="37">
        <f>8.03+0.61+10.47+0.6</f>
        <v>19.71</v>
      </c>
      <c r="M136" s="35">
        <f t="shared" si="85"/>
        <v>38.92</v>
      </c>
      <c r="N136" s="37">
        <f>9.81+0.61</f>
        <v>10.42</v>
      </c>
      <c r="O136" s="37">
        <f>8.79+0.62</f>
        <v>9.409999999999998</v>
      </c>
      <c r="P136" s="38"/>
      <c r="Q136" s="35">
        <f t="shared" si="86"/>
        <v>19.83</v>
      </c>
      <c r="R136" s="34">
        <f t="shared" si="87"/>
        <v>130.04000000000002</v>
      </c>
    </row>
    <row r="137" spans="1:18" ht="12.75" hidden="1" outlineLevel="3">
      <c r="A137" s="23" t="s">
        <v>19</v>
      </c>
      <c r="B137" s="3"/>
      <c r="C137" s="3"/>
      <c r="D137" s="3">
        <v>3.72</v>
      </c>
      <c r="E137" s="35">
        <f t="shared" si="83"/>
        <v>3.72</v>
      </c>
      <c r="F137" s="37">
        <v>0.93</v>
      </c>
      <c r="G137" s="37"/>
      <c r="H137" s="37"/>
      <c r="I137" s="35">
        <f t="shared" si="84"/>
        <v>0.93</v>
      </c>
      <c r="J137" s="37">
        <v>1.86</v>
      </c>
      <c r="K137" s="37"/>
      <c r="L137" s="37">
        <v>0.93</v>
      </c>
      <c r="M137" s="35">
        <f t="shared" si="85"/>
        <v>2.79</v>
      </c>
      <c r="N137" s="37">
        <v>0.93</v>
      </c>
      <c r="O137" s="37"/>
      <c r="P137" s="38">
        <v>2.79</v>
      </c>
      <c r="Q137" s="35">
        <f t="shared" si="86"/>
        <v>3.72</v>
      </c>
      <c r="R137" s="34">
        <f t="shared" si="87"/>
        <v>11.16</v>
      </c>
    </row>
    <row r="138" spans="1:18" ht="12.75" hidden="1" outlineLevel="3">
      <c r="A138" s="23" t="s">
        <v>20</v>
      </c>
      <c r="B138" s="3">
        <v>16</v>
      </c>
      <c r="C138" s="3">
        <v>57.5</v>
      </c>
      <c r="D138" s="3">
        <f>34.5+0.3+18.08</f>
        <v>52.879999999999995</v>
      </c>
      <c r="E138" s="35">
        <f t="shared" si="83"/>
        <v>126.38</v>
      </c>
      <c r="F138" s="37">
        <v>3</v>
      </c>
      <c r="G138" s="37">
        <v>9</v>
      </c>
      <c r="H138" s="37">
        <v>12.5</v>
      </c>
      <c r="I138" s="35">
        <f t="shared" si="84"/>
        <v>24.5</v>
      </c>
      <c r="J138" s="37">
        <v>12.62</v>
      </c>
      <c r="K138" s="37">
        <f>17.5+0.12</f>
        <v>17.62</v>
      </c>
      <c r="L138" s="37">
        <f>32+1.113</f>
        <v>33.113</v>
      </c>
      <c r="M138" s="35">
        <f t="shared" si="85"/>
        <v>63.353</v>
      </c>
      <c r="N138" s="37">
        <v>10.5</v>
      </c>
      <c r="O138" s="37">
        <v>7.5</v>
      </c>
      <c r="P138" s="38">
        <f>5.5+1.13</f>
        <v>6.63</v>
      </c>
      <c r="Q138" s="35">
        <f t="shared" si="86"/>
        <v>24.63</v>
      </c>
      <c r="R138" s="34">
        <f t="shared" si="87"/>
        <v>238.863</v>
      </c>
    </row>
    <row r="139" spans="1:18" ht="12.75" hidden="1" outlineLevel="3">
      <c r="A139" s="23" t="s">
        <v>21</v>
      </c>
      <c r="B139" s="3"/>
      <c r="C139" s="3"/>
      <c r="D139" s="3"/>
      <c r="E139" s="35">
        <f t="shared" si="83"/>
        <v>0</v>
      </c>
      <c r="F139" s="37"/>
      <c r="G139" s="37"/>
      <c r="H139" s="37"/>
      <c r="I139" s="35">
        <f t="shared" si="84"/>
        <v>0</v>
      </c>
      <c r="J139" s="37"/>
      <c r="K139" s="37"/>
      <c r="L139" s="37"/>
      <c r="M139" s="35">
        <f t="shared" si="85"/>
        <v>0</v>
      </c>
      <c r="N139" s="37"/>
      <c r="O139" s="37"/>
      <c r="P139" s="38"/>
      <c r="Q139" s="35">
        <f t="shared" si="86"/>
        <v>0</v>
      </c>
      <c r="R139" s="34">
        <f t="shared" si="87"/>
        <v>0</v>
      </c>
    </row>
    <row r="140" spans="1:18" ht="12.75" hidden="1" outlineLevel="3">
      <c r="A140" s="23" t="s">
        <v>22</v>
      </c>
      <c r="B140" s="3"/>
      <c r="C140" s="3">
        <v>2.26</v>
      </c>
      <c r="D140" s="3"/>
      <c r="E140" s="35">
        <f t="shared" si="83"/>
        <v>2.26</v>
      </c>
      <c r="F140" s="37"/>
      <c r="G140" s="37"/>
      <c r="H140" s="37"/>
      <c r="I140" s="35">
        <f t="shared" si="84"/>
        <v>0</v>
      </c>
      <c r="J140" s="37">
        <v>8.52</v>
      </c>
      <c r="K140" s="37"/>
      <c r="L140" s="37"/>
      <c r="M140" s="35">
        <f t="shared" si="85"/>
        <v>8.52</v>
      </c>
      <c r="N140" s="37">
        <v>4.26</v>
      </c>
      <c r="O140" s="37"/>
      <c r="P140" s="38"/>
      <c r="Q140" s="35">
        <f t="shared" si="86"/>
        <v>4.26</v>
      </c>
      <c r="R140" s="34">
        <f t="shared" si="87"/>
        <v>15.04</v>
      </c>
    </row>
    <row r="141" spans="1:18" ht="12.75" hidden="1" outlineLevel="2">
      <c r="A141" s="28" t="s">
        <v>50</v>
      </c>
      <c r="B141" s="43">
        <f aca="true" t="shared" si="88" ref="B141:Q141">SUM(B133:B140)</f>
        <v>154.48</v>
      </c>
      <c r="C141" s="43">
        <f t="shared" si="88"/>
        <v>211.54999999999998</v>
      </c>
      <c r="D141" s="43">
        <f t="shared" si="88"/>
        <v>205.85</v>
      </c>
      <c r="E141" s="42">
        <f t="shared" si="88"/>
        <v>571.88</v>
      </c>
      <c r="F141" s="43">
        <f t="shared" si="88"/>
        <v>183.67000000000002</v>
      </c>
      <c r="G141" s="43">
        <f t="shared" si="88"/>
        <v>145.35</v>
      </c>
      <c r="H141" s="43">
        <f t="shared" si="88"/>
        <v>172.63</v>
      </c>
      <c r="I141" s="42">
        <f t="shared" si="88"/>
        <v>501.65</v>
      </c>
      <c r="J141" s="43">
        <f t="shared" si="88"/>
        <v>173.73000000000005</v>
      </c>
      <c r="K141" s="43">
        <f t="shared" si="88"/>
        <v>174.09</v>
      </c>
      <c r="L141" s="43">
        <f t="shared" si="88"/>
        <v>207.653</v>
      </c>
      <c r="M141" s="42">
        <f t="shared" si="88"/>
        <v>555.473</v>
      </c>
      <c r="N141" s="43">
        <f t="shared" si="88"/>
        <v>174.48</v>
      </c>
      <c r="O141" s="43">
        <f t="shared" si="88"/>
        <v>164.03</v>
      </c>
      <c r="P141" s="43">
        <f t="shared" si="88"/>
        <v>150.64999999999998</v>
      </c>
      <c r="Q141" s="42">
        <f t="shared" si="88"/>
        <v>489.15999999999997</v>
      </c>
      <c r="R141" s="44">
        <f t="shared" si="87"/>
        <v>2118.163</v>
      </c>
    </row>
    <row r="142" spans="1:21" ht="13.5" outlineLevel="1" collapsed="1" thickBot="1">
      <c r="A142" s="26" t="s">
        <v>48</v>
      </c>
      <c r="B142" s="46">
        <f aca="true" t="shared" si="89" ref="B142:R142">B141+B132</f>
        <v>154.48</v>
      </c>
      <c r="C142" s="46">
        <f t="shared" si="89"/>
        <v>211.54999999999998</v>
      </c>
      <c r="D142" s="46">
        <f t="shared" si="89"/>
        <v>205.85</v>
      </c>
      <c r="E142" s="45">
        <f t="shared" si="89"/>
        <v>571.88</v>
      </c>
      <c r="F142" s="46">
        <f t="shared" si="89"/>
        <v>189.26000000000002</v>
      </c>
      <c r="G142" s="46">
        <f t="shared" si="89"/>
        <v>145.35</v>
      </c>
      <c r="H142" s="46">
        <f t="shared" si="89"/>
        <v>172.63</v>
      </c>
      <c r="I142" s="45">
        <f t="shared" si="89"/>
        <v>507.23999999999995</v>
      </c>
      <c r="J142" s="46">
        <f t="shared" si="89"/>
        <v>173.73000000000005</v>
      </c>
      <c r="K142" s="46">
        <f t="shared" si="89"/>
        <v>174.09</v>
      </c>
      <c r="L142" s="46">
        <f t="shared" si="89"/>
        <v>478.533</v>
      </c>
      <c r="M142" s="45">
        <f t="shared" si="89"/>
        <v>826.353</v>
      </c>
      <c r="N142" s="46">
        <f t="shared" si="89"/>
        <v>177.86999999999998</v>
      </c>
      <c r="O142" s="46">
        <f t="shared" si="89"/>
        <v>164.03</v>
      </c>
      <c r="P142" s="46">
        <f t="shared" si="89"/>
        <v>161.35999999999999</v>
      </c>
      <c r="Q142" s="45">
        <f t="shared" si="89"/>
        <v>503.26</v>
      </c>
      <c r="R142" s="47">
        <f t="shared" si="89"/>
        <v>2408.733</v>
      </c>
      <c r="S142" s="53">
        <f>((B133/0.12)+(C133/0.12)+(D133/0.12)+(F133/0.12)+(G133/0.12)+(H133/0.12)+(J133/0.12)+(K133/0.12)+(L133/0.12)+(N133/0.12)+(O133/0.12)+(P133/0.12))/12</f>
        <v>930.4166666666666</v>
      </c>
      <c r="T142" s="54">
        <f>R142/S142</f>
        <v>2.5888755933721455</v>
      </c>
      <c r="U142" s="56">
        <f>R135/R142</f>
        <v>0.04128311440080739</v>
      </c>
    </row>
    <row r="143" spans="1:18" ht="13.5" outlineLevel="1" thickTop="1">
      <c r="A143" s="16" t="s">
        <v>33</v>
      </c>
      <c r="B143" s="17"/>
      <c r="C143" s="17"/>
      <c r="D143" s="17"/>
      <c r="E143" s="14"/>
      <c r="F143" s="17"/>
      <c r="G143" s="17"/>
      <c r="H143" s="17"/>
      <c r="I143" s="14"/>
      <c r="J143" s="17"/>
      <c r="K143" s="17"/>
      <c r="L143" s="17"/>
      <c r="M143" s="14"/>
      <c r="N143" s="17"/>
      <c r="O143" s="17"/>
      <c r="P143" s="17"/>
      <c r="Q143" s="14"/>
      <c r="R143" s="27"/>
    </row>
    <row r="144" spans="1:18" ht="12.75" hidden="1" outlineLevel="3">
      <c r="A144" s="19" t="s">
        <v>40</v>
      </c>
      <c r="B144" s="20"/>
      <c r="C144" s="20"/>
      <c r="D144" s="20"/>
      <c r="E144" s="12">
        <f aca="true" t="shared" si="90" ref="E144:E150">SUM(B144:D144)</f>
        <v>0</v>
      </c>
      <c r="F144" s="20"/>
      <c r="G144" s="20"/>
      <c r="H144" s="20"/>
      <c r="I144" s="12">
        <f aca="true" t="shared" si="91" ref="I144:I150">SUM(F144:H144)</f>
        <v>0</v>
      </c>
      <c r="J144" s="20"/>
      <c r="K144" s="20"/>
      <c r="L144" s="20"/>
      <c r="M144" s="12">
        <f aca="true" t="shared" si="92" ref="M144:M150">SUM(J144:L144)</f>
        <v>0</v>
      </c>
      <c r="N144" s="20"/>
      <c r="O144" s="20"/>
      <c r="P144" s="20"/>
      <c r="Q144" s="12">
        <f aca="true" t="shared" si="93" ref="Q144:Q150">SUM(N144:P144)</f>
        <v>0</v>
      </c>
      <c r="R144" s="21">
        <f aca="true" t="shared" si="94" ref="R144:R150">Q144+M144+I144+E144</f>
        <v>0</v>
      </c>
    </row>
    <row r="145" spans="1:18" ht="12.75" hidden="1" outlineLevel="3">
      <c r="A145" s="19" t="s">
        <v>41</v>
      </c>
      <c r="B145" s="20"/>
      <c r="C145" s="20"/>
      <c r="D145" s="20"/>
      <c r="E145" s="12">
        <f t="shared" si="90"/>
        <v>0</v>
      </c>
      <c r="F145" s="20"/>
      <c r="G145" s="20"/>
      <c r="H145" s="20"/>
      <c r="I145" s="12">
        <f t="shared" si="91"/>
        <v>0</v>
      </c>
      <c r="J145" s="20"/>
      <c r="K145" s="20"/>
      <c r="L145" s="20"/>
      <c r="M145" s="12">
        <f t="shared" si="92"/>
        <v>0</v>
      </c>
      <c r="N145" s="20"/>
      <c r="O145" s="20"/>
      <c r="P145" s="20"/>
      <c r="Q145" s="12">
        <f t="shared" si="93"/>
        <v>0</v>
      </c>
      <c r="R145" s="21">
        <f t="shared" si="94"/>
        <v>0</v>
      </c>
    </row>
    <row r="146" spans="1:18" ht="12.75" hidden="1" outlineLevel="3">
      <c r="A146" s="19" t="s">
        <v>42</v>
      </c>
      <c r="B146" s="20"/>
      <c r="C146" s="20"/>
      <c r="D146" s="20"/>
      <c r="E146" s="12">
        <f t="shared" si="90"/>
        <v>0</v>
      </c>
      <c r="F146" s="20"/>
      <c r="G146" s="20"/>
      <c r="H146" s="20"/>
      <c r="I146" s="12">
        <f t="shared" si="91"/>
        <v>0</v>
      </c>
      <c r="J146" s="20"/>
      <c r="K146" s="20"/>
      <c r="L146" s="20"/>
      <c r="M146" s="12">
        <f t="shared" si="92"/>
        <v>0</v>
      </c>
      <c r="N146" s="20"/>
      <c r="O146" s="20"/>
      <c r="P146" s="20"/>
      <c r="Q146" s="12">
        <f t="shared" si="93"/>
        <v>0</v>
      </c>
      <c r="R146" s="21">
        <f t="shared" si="94"/>
        <v>0</v>
      </c>
    </row>
    <row r="147" spans="1:18" ht="12.75" hidden="1" outlineLevel="3">
      <c r="A147" s="19" t="s">
        <v>43</v>
      </c>
      <c r="B147" s="20"/>
      <c r="C147" s="20"/>
      <c r="D147" s="20"/>
      <c r="E147" s="12">
        <f t="shared" si="90"/>
        <v>0</v>
      </c>
      <c r="F147" s="20"/>
      <c r="G147" s="20"/>
      <c r="H147" s="20"/>
      <c r="I147" s="12">
        <f t="shared" si="91"/>
        <v>0</v>
      </c>
      <c r="J147" s="20"/>
      <c r="K147" s="20"/>
      <c r="L147" s="20"/>
      <c r="M147" s="12">
        <f t="shared" si="92"/>
        <v>0</v>
      </c>
      <c r="N147" s="20"/>
      <c r="O147" s="20"/>
      <c r="P147" s="20"/>
      <c r="Q147" s="12">
        <f t="shared" si="93"/>
        <v>0</v>
      </c>
      <c r="R147" s="21">
        <f t="shared" si="94"/>
        <v>0</v>
      </c>
    </row>
    <row r="148" spans="1:18" ht="12.75" hidden="1" outlineLevel="3">
      <c r="A148" s="19" t="s">
        <v>44</v>
      </c>
      <c r="B148" s="20"/>
      <c r="C148" s="20"/>
      <c r="D148" s="20"/>
      <c r="E148" s="12">
        <f t="shared" si="90"/>
        <v>0</v>
      </c>
      <c r="F148" s="20"/>
      <c r="G148" s="20"/>
      <c r="H148" s="20"/>
      <c r="I148" s="12">
        <f t="shared" si="91"/>
        <v>0</v>
      </c>
      <c r="J148" s="20"/>
      <c r="K148" s="20"/>
      <c r="L148" s="20"/>
      <c r="M148" s="12">
        <f t="shared" si="92"/>
        <v>0</v>
      </c>
      <c r="N148" s="20"/>
      <c r="O148" s="20"/>
      <c r="P148" s="20"/>
      <c r="Q148" s="12">
        <f t="shared" si="93"/>
        <v>0</v>
      </c>
      <c r="R148" s="21">
        <f t="shared" si="94"/>
        <v>0</v>
      </c>
    </row>
    <row r="149" spans="1:18" ht="12.75" hidden="1" outlineLevel="3">
      <c r="A149" s="19" t="s">
        <v>45</v>
      </c>
      <c r="B149" s="20"/>
      <c r="C149" s="20"/>
      <c r="D149" s="20"/>
      <c r="E149" s="12">
        <f t="shared" si="90"/>
        <v>0</v>
      </c>
      <c r="F149" s="20">
        <v>2.64</v>
      </c>
      <c r="G149" s="20"/>
      <c r="H149" s="20"/>
      <c r="I149" s="12">
        <f t="shared" si="91"/>
        <v>2.64</v>
      </c>
      <c r="J149" s="20"/>
      <c r="K149" s="20"/>
      <c r="L149" s="20">
        <v>128.02</v>
      </c>
      <c r="M149" s="12">
        <f t="shared" si="92"/>
        <v>128.02</v>
      </c>
      <c r="N149" s="20">
        <v>1.6</v>
      </c>
      <c r="O149" s="20"/>
      <c r="P149" s="20">
        <f>4.83+0.34</f>
        <v>5.17</v>
      </c>
      <c r="Q149" s="12">
        <f t="shared" si="93"/>
        <v>6.77</v>
      </c>
      <c r="R149" s="21">
        <f t="shared" si="94"/>
        <v>137.43</v>
      </c>
    </row>
    <row r="150" spans="1:18" ht="12.75" hidden="1" outlineLevel="3">
      <c r="A150" s="19" t="s">
        <v>46</v>
      </c>
      <c r="B150" s="20"/>
      <c r="C150" s="20"/>
      <c r="D150" s="20"/>
      <c r="E150" s="12">
        <f t="shared" si="90"/>
        <v>0</v>
      </c>
      <c r="F150" s="20"/>
      <c r="G150" s="20"/>
      <c r="H150" s="20"/>
      <c r="I150" s="12">
        <f t="shared" si="91"/>
        <v>0</v>
      </c>
      <c r="J150" s="20"/>
      <c r="K150" s="20"/>
      <c r="L150" s="20"/>
      <c r="M150" s="12">
        <f t="shared" si="92"/>
        <v>0</v>
      </c>
      <c r="N150" s="20"/>
      <c r="O150" s="20"/>
      <c r="P150" s="20"/>
      <c r="Q150" s="12">
        <f t="shared" si="93"/>
        <v>0</v>
      </c>
      <c r="R150" s="21">
        <f t="shared" si="94"/>
        <v>0</v>
      </c>
    </row>
    <row r="151" spans="1:18" ht="12.75" hidden="1" outlineLevel="3">
      <c r="A151" s="19" t="s">
        <v>58</v>
      </c>
      <c r="B151" s="24"/>
      <c r="C151" s="24"/>
      <c r="D151" s="24"/>
      <c r="E151" s="59">
        <f>SUM(B151:D151)</f>
        <v>0</v>
      </c>
      <c r="F151" s="52"/>
      <c r="G151" s="52"/>
      <c r="H151" s="52"/>
      <c r="I151" s="59">
        <f>SUM(F151:H151)</f>
        <v>0</v>
      </c>
      <c r="J151" s="52"/>
      <c r="K151" s="52"/>
      <c r="L151" s="52"/>
      <c r="M151" s="59">
        <f>SUM(J151:L151)</f>
        <v>0</v>
      </c>
      <c r="N151" s="52"/>
      <c r="O151" s="52"/>
      <c r="P151" s="52"/>
      <c r="Q151" s="59">
        <f>SUM(N151:P151)</f>
        <v>0</v>
      </c>
      <c r="R151" s="60">
        <f>Q151+M151+I151+E151</f>
        <v>0</v>
      </c>
    </row>
    <row r="152" spans="1:18" ht="12.75" hidden="1" outlineLevel="2" collapsed="1">
      <c r="A152" s="22" t="s">
        <v>47</v>
      </c>
      <c r="B152" s="3">
        <f aca="true" t="shared" si="95" ref="B152:Q152">SUM(B144:B151)</f>
        <v>0</v>
      </c>
      <c r="C152" s="3">
        <f t="shared" si="95"/>
        <v>0</v>
      </c>
      <c r="D152" s="3">
        <f t="shared" si="95"/>
        <v>0</v>
      </c>
      <c r="E152" s="33">
        <f t="shared" si="95"/>
        <v>0</v>
      </c>
      <c r="F152" s="33">
        <f t="shared" si="95"/>
        <v>2.64</v>
      </c>
      <c r="G152" s="33">
        <f t="shared" si="95"/>
        <v>0</v>
      </c>
      <c r="H152" s="33">
        <f t="shared" si="95"/>
        <v>0</v>
      </c>
      <c r="I152" s="33">
        <f t="shared" si="95"/>
        <v>2.64</v>
      </c>
      <c r="J152" s="33">
        <f t="shared" si="95"/>
        <v>0</v>
      </c>
      <c r="K152" s="33">
        <f t="shared" si="95"/>
        <v>0</v>
      </c>
      <c r="L152" s="33">
        <f t="shared" si="95"/>
        <v>128.02</v>
      </c>
      <c r="M152" s="33">
        <f t="shared" si="95"/>
        <v>128.02</v>
      </c>
      <c r="N152" s="33">
        <f t="shared" si="95"/>
        <v>1.6</v>
      </c>
      <c r="O152" s="33">
        <f t="shared" si="95"/>
        <v>0</v>
      </c>
      <c r="P152" s="33">
        <f t="shared" si="95"/>
        <v>5.17</v>
      </c>
      <c r="Q152" s="33">
        <f t="shared" si="95"/>
        <v>6.77</v>
      </c>
      <c r="R152" s="34">
        <f>Q152+M152+I152+E152</f>
        <v>137.43</v>
      </c>
    </row>
    <row r="153" spans="1:18" ht="12.75" hidden="1" outlineLevel="3">
      <c r="A153" s="23" t="s">
        <v>15</v>
      </c>
      <c r="B153" s="3">
        <v>54.12</v>
      </c>
      <c r="C153" s="3">
        <v>53.52</v>
      </c>
      <c r="D153" s="3">
        <v>53.04</v>
      </c>
      <c r="E153" s="35">
        <f>SUM(B153:D153)</f>
        <v>160.68</v>
      </c>
      <c r="F153" s="37">
        <v>52.56</v>
      </c>
      <c r="G153" s="37">
        <v>51.96</v>
      </c>
      <c r="H153" s="37">
        <v>50.76</v>
      </c>
      <c r="I153" s="35">
        <f>SUM(F153:H153)</f>
        <v>155.28</v>
      </c>
      <c r="J153" s="37">
        <v>50.16</v>
      </c>
      <c r="K153" s="37">
        <v>50.52</v>
      </c>
      <c r="L153" s="37">
        <v>51.24</v>
      </c>
      <c r="M153" s="35">
        <f>SUM(J153:L153)</f>
        <v>151.92000000000002</v>
      </c>
      <c r="N153" s="37">
        <v>54.12</v>
      </c>
      <c r="O153" s="37">
        <v>54.12</v>
      </c>
      <c r="P153" s="38">
        <v>54.12</v>
      </c>
      <c r="Q153" s="35">
        <f>SUM(N153:P153)</f>
        <v>162.35999999999999</v>
      </c>
      <c r="R153" s="34">
        <f>Q153+M153+I153+E153</f>
        <v>630.24</v>
      </c>
    </row>
    <row r="154" spans="1:18" ht="12.75" hidden="1" outlineLevel="3">
      <c r="A154" s="23" t="s">
        <v>16</v>
      </c>
      <c r="B154" s="3">
        <v>22</v>
      </c>
      <c r="C154" s="3">
        <v>22</v>
      </c>
      <c r="D154" s="3">
        <v>10</v>
      </c>
      <c r="E154" s="35">
        <f aca="true" t="shared" si="96" ref="E154:E160">SUM(B154:D154)</f>
        <v>54</v>
      </c>
      <c r="F154" s="37">
        <v>10.01</v>
      </c>
      <c r="G154" s="37">
        <v>10.01</v>
      </c>
      <c r="H154" s="37">
        <v>10.01</v>
      </c>
      <c r="I154" s="35">
        <f aca="true" t="shared" si="97" ref="I154:I160">SUM(F154:H154)</f>
        <v>30.03</v>
      </c>
      <c r="J154" s="37">
        <v>10.01</v>
      </c>
      <c r="K154" s="37">
        <v>10.01</v>
      </c>
      <c r="L154" s="37">
        <v>10.01</v>
      </c>
      <c r="M154" s="35">
        <f aca="true" t="shared" si="98" ref="M154:M160">SUM(J154:L154)</f>
        <v>30.03</v>
      </c>
      <c r="N154" s="37">
        <v>10.01</v>
      </c>
      <c r="O154" s="37">
        <v>10.01</v>
      </c>
      <c r="P154" s="38">
        <v>10.01</v>
      </c>
      <c r="Q154" s="35">
        <f aca="true" t="shared" si="99" ref="Q154:Q160">SUM(N154:P154)</f>
        <v>30.03</v>
      </c>
      <c r="R154" s="34">
        <f aca="true" t="shared" si="100" ref="R154:R161">Q154+M154+I154+E154</f>
        <v>144.09</v>
      </c>
    </row>
    <row r="155" spans="1:18" ht="12.75" hidden="1" outlineLevel="3">
      <c r="A155" s="23" t="s">
        <v>17</v>
      </c>
      <c r="B155" s="3">
        <v>25.99</v>
      </c>
      <c r="C155" s="3">
        <v>22.6</v>
      </c>
      <c r="D155" s="3">
        <v>7.91</v>
      </c>
      <c r="E155" s="35">
        <f t="shared" si="96"/>
        <v>56.5</v>
      </c>
      <c r="F155" s="37">
        <v>3.39</v>
      </c>
      <c r="G155" s="37">
        <v>6.78</v>
      </c>
      <c r="H155" s="37">
        <v>6.78</v>
      </c>
      <c r="I155" s="35">
        <f t="shared" si="97"/>
        <v>16.95</v>
      </c>
      <c r="J155" s="37">
        <v>5.65</v>
      </c>
      <c r="K155" s="37">
        <v>9.04</v>
      </c>
      <c r="L155" s="37">
        <v>19.21</v>
      </c>
      <c r="M155" s="35">
        <f t="shared" si="98"/>
        <v>33.9</v>
      </c>
      <c r="N155" s="37">
        <v>28.25</v>
      </c>
      <c r="O155" s="37">
        <v>15.82</v>
      </c>
      <c r="P155" s="38">
        <v>11.3</v>
      </c>
      <c r="Q155" s="35">
        <f t="shared" si="99"/>
        <v>55.370000000000005</v>
      </c>
      <c r="R155" s="34">
        <f t="shared" si="100"/>
        <v>162.72000000000003</v>
      </c>
    </row>
    <row r="156" spans="1:18" ht="12.75" hidden="1" outlineLevel="3">
      <c r="A156" s="25" t="s">
        <v>18</v>
      </c>
      <c r="B156" s="3"/>
      <c r="C156" s="3">
        <f>3.81+0.74</f>
        <v>4.55</v>
      </c>
      <c r="D156" s="3">
        <f>3.83+0.69</f>
        <v>4.52</v>
      </c>
      <c r="E156" s="35">
        <f t="shared" si="96"/>
        <v>9.07</v>
      </c>
      <c r="F156" s="37">
        <f>7.24+0.72+9.8+0.78</f>
        <v>18.540000000000003</v>
      </c>
      <c r="G156" s="37"/>
      <c r="H156" s="37">
        <f>7.11+0.7</f>
        <v>7.8100000000000005</v>
      </c>
      <c r="I156" s="35">
        <f t="shared" si="97"/>
        <v>26.35</v>
      </c>
      <c r="J156" s="37">
        <f>4.32+0.6</f>
        <v>4.92</v>
      </c>
      <c r="K156" s="37">
        <f>4.19+0.61</f>
        <v>4.800000000000001</v>
      </c>
      <c r="L156" s="37">
        <f>3.8+0.61+4.95+0.6</f>
        <v>9.959999999999999</v>
      </c>
      <c r="M156" s="35">
        <f t="shared" si="98"/>
        <v>19.68</v>
      </c>
      <c r="N156" s="37">
        <f>4.63+0.61</f>
        <v>5.24</v>
      </c>
      <c r="O156" s="37">
        <v>4.78</v>
      </c>
      <c r="P156" s="38"/>
      <c r="Q156" s="35">
        <f t="shared" si="99"/>
        <v>10.02</v>
      </c>
      <c r="R156" s="34">
        <f t="shared" si="100"/>
        <v>65.12</v>
      </c>
    </row>
    <row r="157" spans="1:18" ht="12.75" hidden="1" outlineLevel="3">
      <c r="A157" s="23" t="s">
        <v>19</v>
      </c>
      <c r="B157" s="3"/>
      <c r="C157" s="3">
        <v>2.79</v>
      </c>
      <c r="D157" s="3">
        <v>1.86</v>
      </c>
      <c r="E157" s="35">
        <f t="shared" si="96"/>
        <v>4.65</v>
      </c>
      <c r="F157" s="37"/>
      <c r="G157" s="37">
        <v>0.93</v>
      </c>
      <c r="H157" s="37"/>
      <c r="I157" s="35">
        <f t="shared" si="97"/>
        <v>0.93</v>
      </c>
      <c r="J157" s="37"/>
      <c r="K157" s="37"/>
      <c r="L157" s="37"/>
      <c r="M157" s="35">
        <f t="shared" si="98"/>
        <v>0</v>
      </c>
      <c r="N157" s="37"/>
      <c r="O157" s="37"/>
      <c r="P157" s="38">
        <v>0.93</v>
      </c>
      <c r="Q157" s="35">
        <f t="shared" si="99"/>
        <v>0.93</v>
      </c>
      <c r="R157" s="34">
        <f t="shared" si="100"/>
        <v>6.510000000000001</v>
      </c>
    </row>
    <row r="158" spans="1:18" ht="12.75" hidden="1" outlineLevel="3">
      <c r="A158" s="23" t="s">
        <v>20</v>
      </c>
      <c r="B158" s="3">
        <v>0.5</v>
      </c>
      <c r="C158" s="3"/>
      <c r="D158" s="3"/>
      <c r="E158" s="35">
        <f t="shared" si="96"/>
        <v>0.5</v>
      </c>
      <c r="F158" s="37"/>
      <c r="G158" s="37"/>
      <c r="H158" s="37"/>
      <c r="I158" s="35">
        <f t="shared" si="97"/>
        <v>0</v>
      </c>
      <c r="J158" s="37">
        <v>3</v>
      </c>
      <c r="K158" s="37"/>
      <c r="L158" s="37"/>
      <c r="M158" s="35">
        <f t="shared" si="98"/>
        <v>3</v>
      </c>
      <c r="N158" s="37"/>
      <c r="O158" s="37"/>
      <c r="P158" s="38"/>
      <c r="Q158" s="35">
        <f t="shared" si="99"/>
        <v>0</v>
      </c>
      <c r="R158" s="34">
        <f t="shared" si="100"/>
        <v>3.5</v>
      </c>
    </row>
    <row r="159" spans="1:18" ht="12.75" hidden="1" outlineLevel="3">
      <c r="A159" s="23" t="s">
        <v>21</v>
      </c>
      <c r="B159" s="3"/>
      <c r="C159" s="3"/>
      <c r="D159" s="3"/>
      <c r="E159" s="35">
        <f t="shared" si="96"/>
        <v>0</v>
      </c>
      <c r="F159" s="37"/>
      <c r="G159" s="37"/>
      <c r="H159" s="37"/>
      <c r="I159" s="35">
        <f t="shared" si="97"/>
        <v>0</v>
      </c>
      <c r="J159" s="37"/>
      <c r="K159" s="37"/>
      <c r="L159" s="37"/>
      <c r="M159" s="35">
        <f t="shared" si="98"/>
        <v>0</v>
      </c>
      <c r="N159" s="37"/>
      <c r="O159" s="37"/>
      <c r="P159" s="38"/>
      <c r="Q159" s="35">
        <f t="shared" si="99"/>
        <v>0</v>
      </c>
      <c r="R159" s="34">
        <f t="shared" si="100"/>
        <v>0</v>
      </c>
    </row>
    <row r="160" spans="1:18" ht="12.75" hidden="1" outlineLevel="3">
      <c r="A160" s="23" t="s">
        <v>22</v>
      </c>
      <c r="B160" s="3"/>
      <c r="C160" s="3"/>
      <c r="D160" s="3"/>
      <c r="E160" s="35">
        <f t="shared" si="96"/>
        <v>0</v>
      </c>
      <c r="F160" s="37"/>
      <c r="G160" s="37">
        <v>8.52</v>
      </c>
      <c r="H160" s="37">
        <v>8.52</v>
      </c>
      <c r="I160" s="35">
        <f t="shared" si="97"/>
        <v>17.04</v>
      </c>
      <c r="J160" s="37"/>
      <c r="K160" s="37">
        <v>8.52</v>
      </c>
      <c r="L160" s="37">
        <v>12.78</v>
      </c>
      <c r="M160" s="35">
        <f t="shared" si="98"/>
        <v>21.299999999999997</v>
      </c>
      <c r="N160" s="37"/>
      <c r="O160" s="37"/>
      <c r="P160" s="38">
        <v>12.78</v>
      </c>
      <c r="Q160" s="35">
        <f t="shared" si="99"/>
        <v>12.78</v>
      </c>
      <c r="R160" s="34">
        <f t="shared" si="100"/>
        <v>51.12</v>
      </c>
    </row>
    <row r="161" spans="1:18" ht="12.75" hidden="1" outlineLevel="2" collapsed="1">
      <c r="A161" s="28" t="s">
        <v>50</v>
      </c>
      <c r="B161" s="43">
        <f aca="true" t="shared" si="101" ref="B161:Q161">SUM(B153:B160)</f>
        <v>102.61</v>
      </c>
      <c r="C161" s="43">
        <f t="shared" si="101"/>
        <v>105.46000000000001</v>
      </c>
      <c r="D161" s="43">
        <f t="shared" si="101"/>
        <v>77.33</v>
      </c>
      <c r="E161" s="42">
        <f t="shared" si="101"/>
        <v>285.4</v>
      </c>
      <c r="F161" s="43">
        <f t="shared" si="101"/>
        <v>84.5</v>
      </c>
      <c r="G161" s="43">
        <f t="shared" si="101"/>
        <v>78.2</v>
      </c>
      <c r="H161" s="43">
        <f t="shared" si="101"/>
        <v>83.88</v>
      </c>
      <c r="I161" s="42">
        <f t="shared" si="101"/>
        <v>246.57999999999998</v>
      </c>
      <c r="J161" s="43">
        <f t="shared" si="101"/>
        <v>73.74</v>
      </c>
      <c r="K161" s="43">
        <f t="shared" si="101"/>
        <v>82.88999999999999</v>
      </c>
      <c r="L161" s="43">
        <f t="shared" si="101"/>
        <v>103.2</v>
      </c>
      <c r="M161" s="42">
        <f t="shared" si="101"/>
        <v>259.83000000000004</v>
      </c>
      <c r="N161" s="43">
        <f t="shared" si="101"/>
        <v>97.61999999999999</v>
      </c>
      <c r="O161" s="43">
        <f t="shared" si="101"/>
        <v>84.72999999999999</v>
      </c>
      <c r="P161" s="43">
        <f t="shared" si="101"/>
        <v>89.14</v>
      </c>
      <c r="Q161" s="42">
        <f t="shared" si="101"/>
        <v>271.48999999999995</v>
      </c>
      <c r="R161" s="44">
        <f t="shared" si="100"/>
        <v>1063.2999999999997</v>
      </c>
    </row>
    <row r="162" spans="1:21" ht="13.5" outlineLevel="1" collapsed="1" thickBot="1">
      <c r="A162" s="26" t="s">
        <v>48</v>
      </c>
      <c r="B162" s="46">
        <f aca="true" t="shared" si="102" ref="B162:R162">B161+B152</f>
        <v>102.61</v>
      </c>
      <c r="C162" s="46">
        <f t="shared" si="102"/>
        <v>105.46000000000001</v>
      </c>
      <c r="D162" s="46">
        <f t="shared" si="102"/>
        <v>77.33</v>
      </c>
      <c r="E162" s="45">
        <f t="shared" si="102"/>
        <v>285.4</v>
      </c>
      <c r="F162" s="46">
        <f t="shared" si="102"/>
        <v>87.14</v>
      </c>
      <c r="G162" s="46">
        <f t="shared" si="102"/>
        <v>78.2</v>
      </c>
      <c r="H162" s="46">
        <f t="shared" si="102"/>
        <v>83.88</v>
      </c>
      <c r="I162" s="45">
        <f t="shared" si="102"/>
        <v>249.21999999999997</v>
      </c>
      <c r="J162" s="46">
        <f t="shared" si="102"/>
        <v>73.74</v>
      </c>
      <c r="K162" s="46">
        <f t="shared" si="102"/>
        <v>82.88999999999999</v>
      </c>
      <c r="L162" s="46">
        <f t="shared" si="102"/>
        <v>231.22000000000003</v>
      </c>
      <c r="M162" s="45">
        <f t="shared" si="102"/>
        <v>387.85</v>
      </c>
      <c r="N162" s="46">
        <f t="shared" si="102"/>
        <v>99.21999999999998</v>
      </c>
      <c r="O162" s="46">
        <f t="shared" si="102"/>
        <v>84.72999999999999</v>
      </c>
      <c r="P162" s="46">
        <f t="shared" si="102"/>
        <v>94.31</v>
      </c>
      <c r="Q162" s="45">
        <f t="shared" si="102"/>
        <v>278.25999999999993</v>
      </c>
      <c r="R162" s="47">
        <f t="shared" si="102"/>
        <v>1200.7299999999998</v>
      </c>
      <c r="S162" s="53">
        <f>((B153/0.12)+(C153/0.12)+(D153/0.12)+(F153/0.12)+(G153/0.12)+(H153/0.12)+(J153/0.12)+(K153/0.12)+(L153/0.12)+(N153/0.12)+(O153/0.12)+(P153/0.12))/12</f>
        <v>437.6666666666667</v>
      </c>
      <c r="T162" s="54">
        <f>R162/S162</f>
        <v>2.743480578827113</v>
      </c>
      <c r="U162" s="56">
        <f>R155/R162</f>
        <v>0.13551756015090824</v>
      </c>
    </row>
    <row r="163" spans="1:18" ht="13.5" outlineLevel="1" thickTop="1">
      <c r="A163" s="16" t="s">
        <v>34</v>
      </c>
      <c r="B163" s="17"/>
      <c r="C163" s="17"/>
      <c r="D163" s="17"/>
      <c r="E163" s="14"/>
      <c r="F163" s="17"/>
      <c r="G163" s="17"/>
      <c r="H163" s="17"/>
      <c r="I163" s="14"/>
      <c r="J163" s="17"/>
      <c r="K163" s="17"/>
      <c r="L163" s="17"/>
      <c r="M163" s="14"/>
      <c r="N163" s="17"/>
      <c r="O163" s="17"/>
      <c r="P163" s="17"/>
      <c r="Q163" s="14"/>
      <c r="R163" s="27"/>
    </row>
    <row r="164" spans="1:18" ht="12.75" hidden="1" outlineLevel="3">
      <c r="A164" s="19" t="s">
        <v>40</v>
      </c>
      <c r="B164" s="20"/>
      <c r="C164" s="20"/>
      <c r="D164" s="20"/>
      <c r="E164" s="12">
        <f aca="true" t="shared" si="103" ref="E164:E170">SUM(B164:D164)</f>
        <v>0</v>
      </c>
      <c r="F164" s="20"/>
      <c r="G164" s="20"/>
      <c r="H164" s="20"/>
      <c r="I164" s="12">
        <f aca="true" t="shared" si="104" ref="I164:I170">SUM(F164:H164)</f>
        <v>0</v>
      </c>
      <c r="J164" s="20"/>
      <c r="K164" s="20"/>
      <c r="L164" s="20"/>
      <c r="M164" s="12">
        <f aca="true" t="shared" si="105" ref="M164:M170">SUM(J164:L164)</f>
        <v>0</v>
      </c>
      <c r="N164" s="20"/>
      <c r="O164" s="20"/>
      <c r="P164" s="20"/>
      <c r="Q164" s="12">
        <f aca="true" t="shared" si="106" ref="Q164:Q170">SUM(N164:P164)</f>
        <v>0</v>
      </c>
      <c r="R164" s="21">
        <f aca="true" t="shared" si="107" ref="R164:R170">Q164+M164+I164+E164</f>
        <v>0</v>
      </c>
    </row>
    <row r="165" spans="1:18" ht="12.75" hidden="1" outlineLevel="3">
      <c r="A165" s="19" t="s">
        <v>41</v>
      </c>
      <c r="B165" s="20"/>
      <c r="C165" s="20"/>
      <c r="D165" s="20"/>
      <c r="E165" s="12">
        <f t="shared" si="103"/>
        <v>0</v>
      </c>
      <c r="F165" s="20"/>
      <c r="G165" s="20"/>
      <c r="H165" s="20"/>
      <c r="I165" s="12">
        <f t="shared" si="104"/>
        <v>0</v>
      </c>
      <c r="J165" s="20"/>
      <c r="K165" s="20"/>
      <c r="L165" s="20"/>
      <c r="M165" s="12">
        <f t="shared" si="105"/>
        <v>0</v>
      </c>
      <c r="N165" s="20"/>
      <c r="O165" s="20"/>
      <c r="P165" s="20"/>
      <c r="Q165" s="12">
        <f t="shared" si="106"/>
        <v>0</v>
      </c>
      <c r="R165" s="21">
        <f t="shared" si="107"/>
        <v>0</v>
      </c>
    </row>
    <row r="166" spans="1:18" ht="12.75" hidden="1" outlineLevel="3">
      <c r="A166" s="19" t="s">
        <v>42</v>
      </c>
      <c r="B166" s="20"/>
      <c r="C166" s="20"/>
      <c r="D166" s="20"/>
      <c r="E166" s="12">
        <f t="shared" si="103"/>
        <v>0</v>
      </c>
      <c r="F166" s="20"/>
      <c r="G166" s="20"/>
      <c r="H166" s="20"/>
      <c r="I166" s="12">
        <f t="shared" si="104"/>
        <v>0</v>
      </c>
      <c r="J166" s="20"/>
      <c r="K166" s="20"/>
      <c r="L166" s="20"/>
      <c r="M166" s="12">
        <f t="shared" si="105"/>
        <v>0</v>
      </c>
      <c r="N166" s="20"/>
      <c r="O166" s="20"/>
      <c r="P166" s="20"/>
      <c r="Q166" s="12">
        <f t="shared" si="106"/>
        <v>0</v>
      </c>
      <c r="R166" s="21">
        <f t="shared" si="107"/>
        <v>0</v>
      </c>
    </row>
    <row r="167" spans="1:18" ht="12.75" hidden="1" outlineLevel="3">
      <c r="A167" s="19" t="s">
        <v>43</v>
      </c>
      <c r="B167" s="20"/>
      <c r="C167" s="20">
        <v>792.13</v>
      </c>
      <c r="D167" s="20"/>
      <c r="E167" s="12">
        <f t="shared" si="103"/>
        <v>792.13</v>
      </c>
      <c r="F167" s="20"/>
      <c r="G167" s="20"/>
      <c r="H167" s="20"/>
      <c r="I167" s="12">
        <f t="shared" si="104"/>
        <v>0</v>
      </c>
      <c r="J167" s="20"/>
      <c r="K167" s="20"/>
      <c r="L167" s="20"/>
      <c r="M167" s="12">
        <f t="shared" si="105"/>
        <v>0</v>
      </c>
      <c r="N167" s="20"/>
      <c r="O167" s="20"/>
      <c r="P167" s="20"/>
      <c r="Q167" s="12">
        <f t="shared" si="106"/>
        <v>0</v>
      </c>
      <c r="R167" s="21">
        <f t="shared" si="107"/>
        <v>792.13</v>
      </c>
    </row>
    <row r="168" spans="1:18" ht="12.75" hidden="1" outlineLevel="3">
      <c r="A168" s="19" t="s">
        <v>44</v>
      </c>
      <c r="B168" s="20"/>
      <c r="C168" s="20"/>
      <c r="D168" s="20"/>
      <c r="E168" s="12">
        <f t="shared" si="103"/>
        <v>0</v>
      </c>
      <c r="F168" s="20"/>
      <c r="G168" s="20"/>
      <c r="H168" s="20"/>
      <c r="I168" s="12">
        <f t="shared" si="104"/>
        <v>0</v>
      </c>
      <c r="J168" s="20"/>
      <c r="K168" s="20"/>
      <c r="L168" s="20"/>
      <c r="M168" s="12">
        <f t="shared" si="105"/>
        <v>0</v>
      </c>
      <c r="N168" s="20"/>
      <c r="O168" s="20"/>
      <c r="P168" s="20"/>
      <c r="Q168" s="12">
        <f t="shared" si="106"/>
        <v>0</v>
      </c>
      <c r="R168" s="21">
        <f t="shared" si="107"/>
        <v>0</v>
      </c>
    </row>
    <row r="169" spans="1:18" ht="12.75" hidden="1" outlineLevel="3">
      <c r="A169" s="19" t="s">
        <v>45</v>
      </c>
      <c r="B169" s="20"/>
      <c r="C169" s="20"/>
      <c r="D169" s="20"/>
      <c r="E169" s="12">
        <f t="shared" si="103"/>
        <v>0</v>
      </c>
      <c r="F169" s="20">
        <v>4.21</v>
      </c>
      <c r="G169" s="20"/>
      <c r="H169" s="20"/>
      <c r="I169" s="12">
        <f t="shared" si="104"/>
        <v>4.21</v>
      </c>
      <c r="J169" s="20"/>
      <c r="K169" s="20"/>
      <c r="L169" s="20">
        <v>205.94</v>
      </c>
      <c r="M169" s="12">
        <f t="shared" si="105"/>
        <v>205.94</v>
      </c>
      <c r="N169" s="20">
        <v>2.55</v>
      </c>
      <c r="O169" s="20"/>
      <c r="P169" s="20">
        <f>7.89+0.06</f>
        <v>7.949999999999999</v>
      </c>
      <c r="Q169" s="12">
        <f t="shared" si="106"/>
        <v>10.5</v>
      </c>
      <c r="R169" s="21">
        <f t="shared" si="107"/>
        <v>220.65</v>
      </c>
    </row>
    <row r="170" spans="1:18" ht="12.75" hidden="1" outlineLevel="3">
      <c r="A170" s="19" t="s">
        <v>46</v>
      </c>
      <c r="B170" s="20"/>
      <c r="C170" s="20"/>
      <c r="D170" s="20"/>
      <c r="E170" s="12">
        <f t="shared" si="103"/>
        <v>0</v>
      </c>
      <c r="F170" s="20"/>
      <c r="G170" s="20"/>
      <c r="H170" s="20"/>
      <c r="I170" s="12">
        <f t="shared" si="104"/>
        <v>0</v>
      </c>
      <c r="J170" s="20"/>
      <c r="K170" s="20"/>
      <c r="L170" s="20"/>
      <c r="M170" s="12">
        <f t="shared" si="105"/>
        <v>0</v>
      </c>
      <c r="N170" s="20"/>
      <c r="O170" s="20"/>
      <c r="P170" s="20"/>
      <c r="Q170" s="12">
        <f t="shared" si="106"/>
        <v>0</v>
      </c>
      <c r="R170" s="21">
        <f t="shared" si="107"/>
        <v>0</v>
      </c>
    </row>
    <row r="171" spans="1:18" ht="12.75" hidden="1" outlineLevel="3">
      <c r="A171" s="19" t="s">
        <v>58</v>
      </c>
      <c r="B171" s="24"/>
      <c r="C171" s="24"/>
      <c r="D171" s="24"/>
      <c r="E171" s="59">
        <f>SUM(B171:D171)</f>
        <v>0</v>
      </c>
      <c r="F171" s="52"/>
      <c r="G171" s="52"/>
      <c r="H171" s="52"/>
      <c r="I171" s="59">
        <f>SUM(F171:H171)</f>
        <v>0</v>
      </c>
      <c r="J171" s="52"/>
      <c r="K171" s="52"/>
      <c r="L171" s="52"/>
      <c r="M171" s="59">
        <f>SUM(J171:L171)</f>
        <v>0</v>
      </c>
      <c r="N171" s="52"/>
      <c r="O171" s="52"/>
      <c r="P171" s="52"/>
      <c r="Q171" s="59">
        <f>SUM(N171:P171)</f>
        <v>0</v>
      </c>
      <c r="R171" s="60">
        <f>Q171+M171+I171+E171</f>
        <v>0</v>
      </c>
    </row>
    <row r="172" spans="1:18" ht="12.75" hidden="1" outlineLevel="2" collapsed="1">
      <c r="A172" s="22" t="s">
        <v>47</v>
      </c>
      <c r="B172" s="3">
        <f aca="true" t="shared" si="108" ref="B172:Q172">SUM(B164:B171)</f>
        <v>0</v>
      </c>
      <c r="C172" s="3">
        <f t="shared" si="108"/>
        <v>792.13</v>
      </c>
      <c r="D172" s="3">
        <f t="shared" si="108"/>
        <v>0</v>
      </c>
      <c r="E172" s="33">
        <f t="shared" si="108"/>
        <v>792.13</v>
      </c>
      <c r="F172" s="33">
        <f t="shared" si="108"/>
        <v>4.21</v>
      </c>
      <c r="G172" s="33">
        <f t="shared" si="108"/>
        <v>0</v>
      </c>
      <c r="H172" s="33">
        <f t="shared" si="108"/>
        <v>0</v>
      </c>
      <c r="I172" s="33">
        <f t="shared" si="108"/>
        <v>4.21</v>
      </c>
      <c r="J172" s="33">
        <f t="shared" si="108"/>
        <v>0</v>
      </c>
      <c r="K172" s="33">
        <f t="shared" si="108"/>
        <v>0</v>
      </c>
      <c r="L172" s="33">
        <f t="shared" si="108"/>
        <v>205.94</v>
      </c>
      <c r="M172" s="33">
        <f t="shared" si="108"/>
        <v>205.94</v>
      </c>
      <c r="N172" s="33">
        <f t="shared" si="108"/>
        <v>2.55</v>
      </c>
      <c r="O172" s="33">
        <f t="shared" si="108"/>
        <v>0</v>
      </c>
      <c r="P172" s="33">
        <f t="shared" si="108"/>
        <v>7.949999999999999</v>
      </c>
      <c r="Q172" s="33">
        <f t="shared" si="108"/>
        <v>10.5</v>
      </c>
      <c r="R172" s="34">
        <f>Q172+M172+I172+E172</f>
        <v>1012.78</v>
      </c>
    </row>
    <row r="173" spans="1:18" ht="12.75" hidden="1" outlineLevel="3">
      <c r="A173" s="23" t="s">
        <v>15</v>
      </c>
      <c r="B173" s="3"/>
      <c r="C173" s="3">
        <v>168</v>
      </c>
      <c r="D173" s="3">
        <v>85.08</v>
      </c>
      <c r="E173" s="35">
        <f>SUM(B173:D173)</f>
        <v>253.07999999999998</v>
      </c>
      <c r="F173" s="37">
        <v>84.48</v>
      </c>
      <c r="G173" s="37">
        <v>84.24</v>
      </c>
      <c r="H173" s="37">
        <v>84.48</v>
      </c>
      <c r="I173" s="35">
        <f>SUM(F173:H173)</f>
        <v>253.2</v>
      </c>
      <c r="J173" s="37">
        <v>85.68</v>
      </c>
      <c r="K173" s="37">
        <v>85.44</v>
      </c>
      <c r="L173" s="37">
        <v>86.76</v>
      </c>
      <c r="M173" s="35">
        <f>SUM(J173:L173)</f>
        <v>257.88</v>
      </c>
      <c r="N173" s="37">
        <v>88.32</v>
      </c>
      <c r="O173" s="37">
        <v>88.08</v>
      </c>
      <c r="P173" s="38">
        <v>87.84</v>
      </c>
      <c r="Q173" s="35">
        <f>SUM(N173:P173)</f>
        <v>264.24</v>
      </c>
      <c r="R173" s="34">
        <f>Q173+M173+I173+E173</f>
        <v>1028.3999999999999</v>
      </c>
    </row>
    <row r="174" spans="1:18" ht="12.75" hidden="1" outlineLevel="3">
      <c r="A174" s="23" t="s">
        <v>16</v>
      </c>
      <c r="B174" s="3"/>
      <c r="C174" s="3"/>
      <c r="D174" s="3">
        <v>17</v>
      </c>
      <c r="E174" s="35">
        <f aca="true" t="shared" si="109" ref="E174:E180">SUM(B174:D174)</f>
        <v>17</v>
      </c>
      <c r="F174" s="37">
        <v>17.05</v>
      </c>
      <c r="G174" s="37">
        <v>17.05</v>
      </c>
      <c r="H174" s="37">
        <v>17.05</v>
      </c>
      <c r="I174" s="35">
        <f aca="true" t="shared" si="110" ref="I174:I180">SUM(F174:H174)</f>
        <v>51.150000000000006</v>
      </c>
      <c r="J174" s="37">
        <v>17.05</v>
      </c>
      <c r="K174" s="37">
        <v>17.05</v>
      </c>
      <c r="L174" s="37">
        <v>17.05</v>
      </c>
      <c r="M174" s="35">
        <f aca="true" t="shared" si="111" ref="M174:M180">SUM(J174:L174)</f>
        <v>51.150000000000006</v>
      </c>
      <c r="N174" s="37">
        <v>17.05</v>
      </c>
      <c r="O174" s="37">
        <v>17.05</v>
      </c>
      <c r="P174" s="38">
        <v>17.05</v>
      </c>
      <c r="Q174" s="35">
        <f aca="true" t="shared" si="112" ref="Q174:Q180">SUM(N174:P174)</f>
        <v>51.150000000000006</v>
      </c>
      <c r="R174" s="34">
        <f aca="true" t="shared" si="113" ref="R174:R181">Q174+M174+I174+E174</f>
        <v>170.45000000000002</v>
      </c>
    </row>
    <row r="175" spans="1:18" ht="12.75" hidden="1" outlineLevel="3">
      <c r="A175" s="23" t="s">
        <v>17</v>
      </c>
      <c r="B175" s="3"/>
      <c r="C175" s="3"/>
      <c r="D175" s="3">
        <v>19.21</v>
      </c>
      <c r="E175" s="35">
        <f t="shared" si="109"/>
        <v>19.21</v>
      </c>
      <c r="F175" s="37">
        <v>12.43</v>
      </c>
      <c r="G175" s="37">
        <v>9.04</v>
      </c>
      <c r="H175" s="37">
        <v>7.91</v>
      </c>
      <c r="I175" s="35">
        <f t="shared" si="110"/>
        <v>29.38</v>
      </c>
      <c r="J175" s="37">
        <v>6.78</v>
      </c>
      <c r="K175" s="37">
        <v>20.34</v>
      </c>
      <c r="L175" s="37">
        <v>18.08</v>
      </c>
      <c r="M175" s="35">
        <f t="shared" si="111"/>
        <v>45.2</v>
      </c>
      <c r="N175" s="37">
        <v>23.73</v>
      </c>
      <c r="O175" s="37">
        <v>6.78</v>
      </c>
      <c r="P175" s="38">
        <v>14.69</v>
      </c>
      <c r="Q175" s="35">
        <f t="shared" si="112"/>
        <v>45.2</v>
      </c>
      <c r="R175" s="34">
        <f t="shared" si="113"/>
        <v>138.99</v>
      </c>
    </row>
    <row r="176" spans="1:18" ht="12.75" hidden="1" outlineLevel="3">
      <c r="A176" s="25" t="s">
        <v>18</v>
      </c>
      <c r="B176" s="3"/>
      <c r="C176" s="3"/>
      <c r="D176" s="3">
        <f>2.19+0.69</f>
        <v>2.88</v>
      </c>
      <c r="E176" s="35">
        <f t="shared" si="109"/>
        <v>2.88</v>
      </c>
      <c r="F176" s="37">
        <f>0.72+15.62+0.78</f>
        <v>17.12</v>
      </c>
      <c r="G176" s="37"/>
      <c r="H176" s="37">
        <v>12.04</v>
      </c>
      <c r="I176" s="35">
        <f t="shared" si="110"/>
        <v>29.16</v>
      </c>
      <c r="J176" s="37">
        <f>6.89+0.6</f>
        <v>7.489999999999999</v>
      </c>
      <c r="K176" s="37">
        <f>6.68+0.61</f>
        <v>7.29</v>
      </c>
      <c r="L176" s="37">
        <f>6.05+0.61+7.89+0.6</f>
        <v>15.15</v>
      </c>
      <c r="M176" s="35">
        <f t="shared" si="111"/>
        <v>29.93</v>
      </c>
      <c r="N176" s="37">
        <f>7.39+0.61</f>
        <v>8</v>
      </c>
      <c r="O176" s="37">
        <f>6.62+0.62</f>
        <v>7.24</v>
      </c>
      <c r="P176" s="38"/>
      <c r="Q176" s="35">
        <f t="shared" si="112"/>
        <v>15.24</v>
      </c>
      <c r="R176" s="34">
        <f t="shared" si="113"/>
        <v>77.21</v>
      </c>
    </row>
    <row r="177" spans="1:18" ht="12.75" hidden="1" outlineLevel="3">
      <c r="A177" s="23" t="s">
        <v>19</v>
      </c>
      <c r="B177" s="3"/>
      <c r="C177" s="3">
        <v>4.65</v>
      </c>
      <c r="D177" s="3">
        <v>10.23</v>
      </c>
      <c r="E177" s="35">
        <f t="shared" si="109"/>
        <v>14.88</v>
      </c>
      <c r="F177" s="37">
        <v>0.93</v>
      </c>
      <c r="G177" s="37">
        <v>1.86</v>
      </c>
      <c r="H177" s="37"/>
      <c r="I177" s="35">
        <f t="shared" si="110"/>
        <v>2.79</v>
      </c>
      <c r="J177" s="37"/>
      <c r="K177" s="37">
        <v>2.79</v>
      </c>
      <c r="L177" s="37"/>
      <c r="M177" s="35">
        <f t="shared" si="111"/>
        <v>2.79</v>
      </c>
      <c r="N177" s="37">
        <v>1.86</v>
      </c>
      <c r="O177" s="37"/>
      <c r="P177" s="38">
        <v>0.93</v>
      </c>
      <c r="Q177" s="35">
        <f t="shared" si="112"/>
        <v>2.79</v>
      </c>
      <c r="R177" s="34">
        <f t="shared" si="113"/>
        <v>23.25</v>
      </c>
    </row>
    <row r="178" spans="1:18" ht="12.75" hidden="1" outlineLevel="3">
      <c r="A178" s="23" t="s">
        <v>20</v>
      </c>
      <c r="B178" s="3"/>
      <c r="C178" s="3"/>
      <c r="D178" s="3">
        <f>37.5+0.24+6.78</f>
        <v>44.52</v>
      </c>
      <c r="E178" s="35">
        <f t="shared" si="109"/>
        <v>44.52</v>
      </c>
      <c r="F178" s="37">
        <v>5.62</v>
      </c>
      <c r="G178" s="37">
        <v>3.56</v>
      </c>
      <c r="H178" s="37">
        <v>5.5</v>
      </c>
      <c r="I178" s="35">
        <f t="shared" si="110"/>
        <v>14.68</v>
      </c>
      <c r="J178" s="37">
        <v>2</v>
      </c>
      <c r="K178" s="37">
        <f>7.5+1.13</f>
        <v>8.629999999999999</v>
      </c>
      <c r="L178" s="37">
        <v>5</v>
      </c>
      <c r="M178" s="35">
        <f t="shared" si="111"/>
        <v>15.629999999999999</v>
      </c>
      <c r="N178" s="37">
        <v>15.5</v>
      </c>
      <c r="O178" s="37">
        <v>6.5</v>
      </c>
      <c r="P178" s="38">
        <v>2.5</v>
      </c>
      <c r="Q178" s="35">
        <f t="shared" si="112"/>
        <v>24.5</v>
      </c>
      <c r="R178" s="34">
        <f t="shared" si="113"/>
        <v>99.33</v>
      </c>
    </row>
    <row r="179" spans="1:18" ht="12.75" hidden="1" outlineLevel="3">
      <c r="A179" s="23" t="s">
        <v>21</v>
      </c>
      <c r="B179" s="3"/>
      <c r="C179" s="3"/>
      <c r="D179" s="3"/>
      <c r="E179" s="35">
        <f t="shared" si="109"/>
        <v>0</v>
      </c>
      <c r="F179" s="37"/>
      <c r="G179" s="37"/>
      <c r="H179" s="37"/>
      <c r="I179" s="35">
        <f t="shared" si="110"/>
        <v>0</v>
      </c>
      <c r="J179" s="37"/>
      <c r="K179" s="37"/>
      <c r="L179" s="37"/>
      <c r="M179" s="35">
        <f t="shared" si="111"/>
        <v>0</v>
      </c>
      <c r="N179" s="37"/>
      <c r="O179" s="37"/>
      <c r="P179" s="38"/>
      <c r="Q179" s="35">
        <f t="shared" si="112"/>
        <v>0</v>
      </c>
      <c r="R179" s="34">
        <f t="shared" si="113"/>
        <v>0</v>
      </c>
    </row>
    <row r="180" spans="1:18" ht="12.75" hidden="1" outlineLevel="3">
      <c r="A180" s="23" t="s">
        <v>22</v>
      </c>
      <c r="B180" s="3"/>
      <c r="C180" s="3">
        <v>3.39</v>
      </c>
      <c r="D180" s="3"/>
      <c r="E180" s="35">
        <f t="shared" si="109"/>
        <v>3.39</v>
      </c>
      <c r="F180" s="37"/>
      <c r="G180" s="37"/>
      <c r="H180" s="37"/>
      <c r="I180" s="35">
        <f t="shared" si="110"/>
        <v>0</v>
      </c>
      <c r="J180" s="37"/>
      <c r="K180" s="37"/>
      <c r="L180" s="37"/>
      <c r="M180" s="35">
        <f t="shared" si="111"/>
        <v>0</v>
      </c>
      <c r="N180" s="37"/>
      <c r="O180" s="37">
        <v>4.26</v>
      </c>
      <c r="P180" s="38"/>
      <c r="Q180" s="35">
        <f t="shared" si="112"/>
        <v>4.26</v>
      </c>
      <c r="R180" s="34">
        <f t="shared" si="113"/>
        <v>7.65</v>
      </c>
    </row>
    <row r="181" spans="1:18" ht="12.75" hidden="1" outlineLevel="2" collapsed="1">
      <c r="A181" s="28" t="s">
        <v>50</v>
      </c>
      <c r="B181" s="43">
        <f aca="true" t="shared" si="114" ref="B181:Q181">SUM(B173:B180)</f>
        <v>0</v>
      </c>
      <c r="C181" s="43">
        <f t="shared" si="114"/>
        <v>176.04</v>
      </c>
      <c r="D181" s="43">
        <f t="shared" si="114"/>
        <v>178.92</v>
      </c>
      <c r="E181" s="42">
        <f t="shared" si="114"/>
        <v>354.9599999999999</v>
      </c>
      <c r="F181" s="43">
        <f t="shared" si="114"/>
        <v>137.63000000000002</v>
      </c>
      <c r="G181" s="43">
        <f t="shared" si="114"/>
        <v>115.74999999999999</v>
      </c>
      <c r="H181" s="43">
        <f t="shared" si="114"/>
        <v>126.97999999999999</v>
      </c>
      <c r="I181" s="42">
        <f t="shared" si="114"/>
        <v>380.36000000000007</v>
      </c>
      <c r="J181" s="43">
        <f t="shared" si="114"/>
        <v>119</v>
      </c>
      <c r="K181" s="43">
        <f t="shared" si="114"/>
        <v>141.54</v>
      </c>
      <c r="L181" s="43">
        <f t="shared" si="114"/>
        <v>142.04</v>
      </c>
      <c r="M181" s="42">
        <f t="shared" si="114"/>
        <v>402.58</v>
      </c>
      <c r="N181" s="43">
        <f t="shared" si="114"/>
        <v>154.46</v>
      </c>
      <c r="O181" s="43">
        <f t="shared" si="114"/>
        <v>129.91</v>
      </c>
      <c r="P181" s="43">
        <f t="shared" si="114"/>
        <v>123.01</v>
      </c>
      <c r="Q181" s="42">
        <f t="shared" si="114"/>
        <v>407.38</v>
      </c>
      <c r="R181" s="44">
        <f t="shared" si="113"/>
        <v>1545.2800000000002</v>
      </c>
    </row>
    <row r="182" spans="1:22" ht="13.5" outlineLevel="1" collapsed="1" thickBot="1">
      <c r="A182" s="22" t="s">
        <v>48</v>
      </c>
      <c r="B182" s="46">
        <f aca="true" t="shared" si="115" ref="B182:R182">B181+B172</f>
        <v>0</v>
      </c>
      <c r="C182" s="46">
        <f t="shared" si="115"/>
        <v>968.17</v>
      </c>
      <c r="D182" s="46">
        <f t="shared" si="115"/>
        <v>178.92</v>
      </c>
      <c r="E182" s="45">
        <f t="shared" si="115"/>
        <v>1147.09</v>
      </c>
      <c r="F182" s="46">
        <f t="shared" si="115"/>
        <v>141.84000000000003</v>
      </c>
      <c r="G182" s="46">
        <f t="shared" si="115"/>
        <v>115.74999999999999</v>
      </c>
      <c r="H182" s="46">
        <f t="shared" si="115"/>
        <v>126.97999999999999</v>
      </c>
      <c r="I182" s="45">
        <f t="shared" si="115"/>
        <v>384.57000000000005</v>
      </c>
      <c r="J182" s="46">
        <f t="shared" si="115"/>
        <v>119</v>
      </c>
      <c r="K182" s="46">
        <f t="shared" si="115"/>
        <v>141.54</v>
      </c>
      <c r="L182" s="46">
        <f t="shared" si="115"/>
        <v>347.98</v>
      </c>
      <c r="M182" s="45">
        <f t="shared" si="115"/>
        <v>608.52</v>
      </c>
      <c r="N182" s="46">
        <f t="shared" si="115"/>
        <v>157.01000000000002</v>
      </c>
      <c r="O182" s="46">
        <f t="shared" si="115"/>
        <v>129.91</v>
      </c>
      <c r="P182" s="46">
        <f t="shared" si="115"/>
        <v>130.96</v>
      </c>
      <c r="Q182" s="45">
        <f t="shared" si="115"/>
        <v>417.88</v>
      </c>
      <c r="R182" s="47">
        <f t="shared" si="115"/>
        <v>2558.0600000000004</v>
      </c>
      <c r="S182" s="53">
        <f>((B173/0.12)+(C173/0.12)+(D173/0.12)+(F173/0.12)+(G173/0.12)+(H173/0.12)+(J173/0.12)+(K173/0.12)+(L173/0.12)+(N173/0.12)+(O173/0.12)+(P173/0.12))/12</f>
        <v>714.1666666666666</v>
      </c>
      <c r="T182" s="54">
        <f>R182/S182</f>
        <v>3.581880980163361</v>
      </c>
      <c r="U182" s="56">
        <f>R175/R182</f>
        <v>0.05433414384338131</v>
      </c>
      <c r="V182" t="s">
        <v>57</v>
      </c>
    </row>
    <row r="183" spans="1:18" ht="13.5" outlineLevel="1" thickTop="1">
      <c r="A183" s="16" t="s">
        <v>35</v>
      </c>
      <c r="B183" s="17"/>
      <c r="C183" s="17"/>
      <c r="D183" s="17"/>
      <c r="E183" s="14"/>
      <c r="F183" s="17"/>
      <c r="G183" s="17"/>
      <c r="H183" s="17"/>
      <c r="I183" s="14"/>
      <c r="J183" s="17"/>
      <c r="K183" s="17"/>
      <c r="L183" s="17"/>
      <c r="M183" s="14"/>
      <c r="N183" s="17"/>
      <c r="O183" s="17"/>
      <c r="P183" s="17"/>
      <c r="Q183" s="14"/>
      <c r="R183" s="27"/>
    </row>
    <row r="184" spans="1:18" ht="12.75" hidden="1" outlineLevel="3">
      <c r="A184" s="19" t="s">
        <v>40</v>
      </c>
      <c r="B184" s="20"/>
      <c r="C184" s="20"/>
      <c r="D184" s="20"/>
      <c r="E184" s="12">
        <f aca="true" t="shared" si="116" ref="E184:E190">SUM(B184:D184)</f>
        <v>0</v>
      </c>
      <c r="F184" s="37"/>
      <c r="G184" s="37"/>
      <c r="H184" s="37"/>
      <c r="I184" s="12">
        <f aca="true" t="shared" si="117" ref="I184:I190">SUM(F184:H184)</f>
        <v>0</v>
      </c>
      <c r="J184" s="20"/>
      <c r="K184" s="20"/>
      <c r="L184" s="20"/>
      <c r="M184" s="12">
        <f aca="true" t="shared" si="118" ref="M184:M190">SUM(J184:L184)</f>
        <v>0</v>
      </c>
      <c r="N184" s="20"/>
      <c r="O184" s="20"/>
      <c r="P184" s="20"/>
      <c r="Q184" s="12">
        <f aca="true" t="shared" si="119" ref="Q184:Q190">SUM(N184:P184)</f>
        <v>0</v>
      </c>
      <c r="R184" s="21">
        <f aca="true" t="shared" si="120" ref="R184:R190">Q184+M184+I184+E184</f>
        <v>0</v>
      </c>
    </row>
    <row r="185" spans="1:18" ht="12.75" hidden="1" outlineLevel="3">
      <c r="A185" s="19" t="s">
        <v>41</v>
      </c>
      <c r="B185" s="20"/>
      <c r="C185" s="20"/>
      <c r="D185" s="20"/>
      <c r="E185" s="12">
        <f t="shared" si="116"/>
        <v>0</v>
      </c>
      <c r="F185" s="37"/>
      <c r="G185" s="37"/>
      <c r="H185" s="37"/>
      <c r="I185" s="12">
        <f t="shared" si="117"/>
        <v>0</v>
      </c>
      <c r="J185" s="20"/>
      <c r="K185" s="20"/>
      <c r="L185" s="20"/>
      <c r="M185" s="12">
        <f t="shared" si="118"/>
        <v>0</v>
      </c>
      <c r="N185" s="20"/>
      <c r="O185" s="20"/>
      <c r="P185" s="20"/>
      <c r="Q185" s="12">
        <f t="shared" si="119"/>
        <v>0</v>
      </c>
      <c r="R185" s="21">
        <f t="shared" si="120"/>
        <v>0</v>
      </c>
    </row>
    <row r="186" spans="1:18" ht="12.75" hidden="1" outlineLevel="3">
      <c r="A186" s="19" t="s">
        <v>42</v>
      </c>
      <c r="B186" s="20"/>
      <c r="C186" s="20"/>
      <c r="D186" s="20"/>
      <c r="E186" s="12">
        <f t="shared" si="116"/>
        <v>0</v>
      </c>
      <c r="F186" s="37"/>
      <c r="G186" s="37"/>
      <c r="H186" s="37"/>
      <c r="I186" s="12">
        <f t="shared" si="117"/>
        <v>0</v>
      </c>
      <c r="J186" s="20"/>
      <c r="K186" s="20"/>
      <c r="L186" s="20"/>
      <c r="M186" s="12">
        <f t="shared" si="118"/>
        <v>0</v>
      </c>
      <c r="N186" s="20"/>
      <c r="O186" s="20"/>
      <c r="P186" s="20"/>
      <c r="Q186" s="12">
        <f t="shared" si="119"/>
        <v>0</v>
      </c>
      <c r="R186" s="21">
        <f t="shared" si="120"/>
        <v>0</v>
      </c>
    </row>
    <row r="187" spans="1:18" ht="12.75" hidden="1" outlineLevel="3">
      <c r="A187" s="19" t="s">
        <v>43</v>
      </c>
      <c r="B187" s="20"/>
      <c r="C187" s="20">
        <f>544.66</f>
        <v>544.66</v>
      </c>
      <c r="D187" s="20"/>
      <c r="E187" s="12">
        <f t="shared" si="116"/>
        <v>544.66</v>
      </c>
      <c r="F187" s="37"/>
      <c r="G187" s="37"/>
      <c r="H187" s="37"/>
      <c r="I187" s="12">
        <f t="shared" si="117"/>
        <v>0</v>
      </c>
      <c r="J187" s="20"/>
      <c r="K187" s="20"/>
      <c r="L187" s="20"/>
      <c r="M187" s="12">
        <f t="shared" si="118"/>
        <v>0</v>
      </c>
      <c r="N187" s="20"/>
      <c r="O187" s="20"/>
      <c r="P187" s="20"/>
      <c r="Q187" s="12">
        <f t="shared" si="119"/>
        <v>0</v>
      </c>
      <c r="R187" s="21">
        <f t="shared" si="120"/>
        <v>544.66</v>
      </c>
    </row>
    <row r="188" spans="1:18" ht="12.75" hidden="1" outlineLevel="3">
      <c r="A188" s="19" t="s">
        <v>44</v>
      </c>
      <c r="B188" s="20"/>
      <c r="C188" s="20"/>
      <c r="D188" s="20"/>
      <c r="E188" s="12">
        <f t="shared" si="116"/>
        <v>0</v>
      </c>
      <c r="F188" s="37"/>
      <c r="G188" s="37"/>
      <c r="H188" s="37"/>
      <c r="I188" s="12">
        <f t="shared" si="117"/>
        <v>0</v>
      </c>
      <c r="J188" s="20"/>
      <c r="K188" s="20"/>
      <c r="L188" s="20"/>
      <c r="M188" s="12">
        <f t="shared" si="118"/>
        <v>0</v>
      </c>
      <c r="N188" s="20"/>
      <c r="O188" s="20"/>
      <c r="P188" s="20"/>
      <c r="Q188" s="12">
        <f t="shared" si="119"/>
        <v>0</v>
      </c>
      <c r="R188" s="21">
        <f t="shared" si="120"/>
        <v>0</v>
      </c>
    </row>
    <row r="189" spans="1:18" ht="12.75" hidden="1" outlineLevel="3">
      <c r="A189" s="19" t="s">
        <v>45</v>
      </c>
      <c r="B189" s="20"/>
      <c r="C189" s="20"/>
      <c r="D189" s="20"/>
      <c r="E189" s="12">
        <f t="shared" si="116"/>
        <v>0</v>
      </c>
      <c r="F189" s="37">
        <v>2.99</v>
      </c>
      <c r="G189" s="37"/>
      <c r="H189" s="37"/>
      <c r="I189" s="12">
        <f t="shared" si="117"/>
        <v>2.99</v>
      </c>
      <c r="J189" s="20"/>
      <c r="K189" s="20"/>
      <c r="L189" s="20">
        <v>144.72</v>
      </c>
      <c r="M189" s="12">
        <f t="shared" si="118"/>
        <v>144.72</v>
      </c>
      <c r="N189" s="20">
        <v>1.81</v>
      </c>
      <c r="O189" s="20"/>
      <c r="P189" s="20">
        <f>5.64+0.4</f>
        <v>6.04</v>
      </c>
      <c r="Q189" s="12">
        <f t="shared" si="119"/>
        <v>7.85</v>
      </c>
      <c r="R189" s="21">
        <f t="shared" si="120"/>
        <v>155.56</v>
      </c>
    </row>
    <row r="190" spans="1:18" ht="12.75" hidden="1" outlineLevel="3">
      <c r="A190" s="19" t="s">
        <v>46</v>
      </c>
      <c r="B190" s="20"/>
      <c r="C190" s="20"/>
      <c r="D190" s="20"/>
      <c r="E190" s="12">
        <f t="shared" si="116"/>
        <v>0</v>
      </c>
      <c r="F190" s="37"/>
      <c r="G190" s="37"/>
      <c r="H190" s="37"/>
      <c r="I190" s="12">
        <f t="shared" si="117"/>
        <v>0</v>
      </c>
      <c r="J190" s="20"/>
      <c r="K190" s="20"/>
      <c r="L190" s="20"/>
      <c r="M190" s="12">
        <f t="shared" si="118"/>
        <v>0</v>
      </c>
      <c r="N190" s="20"/>
      <c r="O190" s="20"/>
      <c r="P190" s="20"/>
      <c r="Q190" s="12">
        <f t="shared" si="119"/>
        <v>0</v>
      </c>
      <c r="R190" s="21">
        <f t="shared" si="120"/>
        <v>0</v>
      </c>
    </row>
    <row r="191" spans="1:18" ht="12.75" hidden="1" outlineLevel="3">
      <c r="A191" s="19" t="s">
        <v>58</v>
      </c>
      <c r="B191" s="24"/>
      <c r="C191" s="24"/>
      <c r="D191" s="24"/>
      <c r="E191" s="59">
        <f>SUM(B191:D191)</f>
        <v>0</v>
      </c>
      <c r="F191" s="52"/>
      <c r="G191" s="52"/>
      <c r="H191" s="52"/>
      <c r="I191" s="59">
        <f>SUM(F191:H191)</f>
        <v>0</v>
      </c>
      <c r="J191" s="52"/>
      <c r="K191" s="52"/>
      <c r="L191" s="52"/>
      <c r="M191" s="59">
        <f>SUM(J191:L191)</f>
        <v>0</v>
      </c>
      <c r="N191" s="52"/>
      <c r="O191" s="52"/>
      <c r="P191" s="52"/>
      <c r="Q191" s="59">
        <f>SUM(N191:P191)</f>
        <v>0</v>
      </c>
      <c r="R191" s="60">
        <f>Q191+M191+I191+E191</f>
        <v>0</v>
      </c>
    </row>
    <row r="192" spans="1:18" ht="12.75" hidden="1" outlineLevel="2" collapsed="1">
      <c r="A192" s="22" t="s">
        <v>47</v>
      </c>
      <c r="B192" s="3">
        <f aca="true" t="shared" si="121" ref="B192:Q192">SUM(B184:B191)</f>
        <v>0</v>
      </c>
      <c r="C192" s="3">
        <f t="shared" si="121"/>
        <v>544.66</v>
      </c>
      <c r="D192" s="3">
        <f t="shared" si="121"/>
        <v>0</v>
      </c>
      <c r="E192" s="33">
        <f t="shared" si="121"/>
        <v>544.66</v>
      </c>
      <c r="F192" s="33">
        <f t="shared" si="121"/>
        <v>2.99</v>
      </c>
      <c r="G192" s="33">
        <f t="shared" si="121"/>
        <v>0</v>
      </c>
      <c r="H192" s="33">
        <f t="shared" si="121"/>
        <v>0</v>
      </c>
      <c r="I192" s="33">
        <f t="shared" si="121"/>
        <v>2.99</v>
      </c>
      <c r="J192" s="33">
        <f t="shared" si="121"/>
        <v>0</v>
      </c>
      <c r="K192" s="33">
        <f t="shared" si="121"/>
        <v>0</v>
      </c>
      <c r="L192" s="33">
        <f t="shared" si="121"/>
        <v>144.72</v>
      </c>
      <c r="M192" s="33">
        <f t="shared" si="121"/>
        <v>144.72</v>
      </c>
      <c r="N192" s="33">
        <f t="shared" si="121"/>
        <v>1.81</v>
      </c>
      <c r="O192" s="33">
        <f t="shared" si="121"/>
        <v>0</v>
      </c>
      <c r="P192" s="33">
        <f t="shared" si="121"/>
        <v>6.04</v>
      </c>
      <c r="Q192" s="33">
        <f t="shared" si="121"/>
        <v>7.85</v>
      </c>
      <c r="R192" s="34">
        <f>Q192+M192+I192+E192</f>
        <v>700.22</v>
      </c>
    </row>
    <row r="193" spans="1:18" ht="12.75" hidden="1" outlineLevel="3">
      <c r="A193" s="23" t="s">
        <v>15</v>
      </c>
      <c r="B193" s="3"/>
      <c r="C193" s="3">
        <v>115.2</v>
      </c>
      <c r="D193" s="3">
        <v>59.28</v>
      </c>
      <c r="E193" s="35">
        <f>SUM(B193:D193)</f>
        <v>174.48000000000002</v>
      </c>
      <c r="F193" s="37">
        <v>60.24</v>
      </c>
      <c r="G193" s="37">
        <v>60.12</v>
      </c>
      <c r="H193" s="37">
        <v>60.48</v>
      </c>
      <c r="I193" s="35">
        <f>SUM(F193:H193)</f>
        <v>180.84</v>
      </c>
      <c r="J193" s="37">
        <v>60.6</v>
      </c>
      <c r="K193" s="37">
        <v>60.72</v>
      </c>
      <c r="L193" s="37">
        <v>61.56</v>
      </c>
      <c r="M193" s="35">
        <f>SUM(J193:L193)</f>
        <v>182.88</v>
      </c>
      <c r="N193" s="37">
        <v>63.24</v>
      </c>
      <c r="O193" s="37">
        <v>63.36</v>
      </c>
      <c r="P193" s="38">
        <v>61.92</v>
      </c>
      <c r="Q193" s="35">
        <f>SUM(N193:P193)</f>
        <v>188.51999999999998</v>
      </c>
      <c r="R193" s="34">
        <f>Q193+M193+I193+E193</f>
        <v>726.72</v>
      </c>
    </row>
    <row r="194" spans="1:18" ht="12.75" hidden="1" outlineLevel="3">
      <c r="A194" s="23" t="s">
        <v>16</v>
      </c>
      <c r="B194" s="3"/>
      <c r="C194" s="3"/>
      <c r="D194" s="3">
        <v>13</v>
      </c>
      <c r="E194" s="35">
        <f aca="true" t="shared" si="122" ref="E194:E200">SUM(B194:D194)</f>
        <v>13</v>
      </c>
      <c r="F194" s="37">
        <v>12.98</v>
      </c>
      <c r="G194" s="37">
        <v>12.98</v>
      </c>
      <c r="H194" s="37">
        <v>12.98</v>
      </c>
      <c r="I194" s="35">
        <f aca="true" t="shared" si="123" ref="I194:I200">SUM(F194:H194)</f>
        <v>38.94</v>
      </c>
      <c r="J194" s="37">
        <v>12.98</v>
      </c>
      <c r="K194" s="37">
        <v>12.98</v>
      </c>
      <c r="L194" s="37">
        <v>12.98</v>
      </c>
      <c r="M194" s="35">
        <f aca="true" t="shared" si="124" ref="M194:M200">SUM(J194:L194)</f>
        <v>38.94</v>
      </c>
      <c r="N194" s="37">
        <v>12.98</v>
      </c>
      <c r="O194" s="37">
        <v>12.98</v>
      </c>
      <c r="P194" s="38">
        <v>12.98</v>
      </c>
      <c r="Q194" s="35">
        <f aca="true" t="shared" si="125" ref="Q194:Q200">SUM(N194:P194)</f>
        <v>38.94</v>
      </c>
      <c r="R194" s="34">
        <f aca="true" t="shared" si="126" ref="R194:R201">Q194+M194+I194+E194</f>
        <v>129.82</v>
      </c>
    </row>
    <row r="195" spans="1:18" ht="12.75" hidden="1" outlineLevel="3">
      <c r="A195" s="23" t="s">
        <v>17</v>
      </c>
      <c r="B195" s="3"/>
      <c r="C195" s="3"/>
      <c r="D195" s="3">
        <v>11.3</v>
      </c>
      <c r="E195" s="35">
        <f t="shared" si="122"/>
        <v>11.3</v>
      </c>
      <c r="F195" s="37">
        <v>7.91</v>
      </c>
      <c r="G195" s="37">
        <v>7.91</v>
      </c>
      <c r="H195" s="37">
        <v>5.65</v>
      </c>
      <c r="I195" s="35">
        <f t="shared" si="123"/>
        <v>21.47</v>
      </c>
      <c r="J195" s="37">
        <v>5.65</v>
      </c>
      <c r="K195" s="37">
        <v>4.52</v>
      </c>
      <c r="L195" s="37">
        <v>10.17</v>
      </c>
      <c r="M195" s="35">
        <f t="shared" si="124"/>
        <v>20.34</v>
      </c>
      <c r="N195" s="37">
        <v>12.43</v>
      </c>
      <c r="O195" s="37">
        <v>10.17</v>
      </c>
      <c r="P195" s="38">
        <v>9.04</v>
      </c>
      <c r="Q195" s="35">
        <f t="shared" si="125"/>
        <v>31.64</v>
      </c>
      <c r="R195" s="34">
        <f t="shared" si="126"/>
        <v>84.75</v>
      </c>
    </row>
    <row r="196" spans="1:18" ht="12.75" hidden="1" outlineLevel="3">
      <c r="A196" s="25" t="s">
        <v>18</v>
      </c>
      <c r="B196" s="3"/>
      <c r="C196" s="3"/>
      <c r="D196" s="3">
        <v>2.19</v>
      </c>
      <c r="E196" s="35">
        <f t="shared" si="122"/>
        <v>2.19</v>
      </c>
      <c r="F196" s="37">
        <v>11.07</v>
      </c>
      <c r="G196" s="37"/>
      <c r="H196" s="37">
        <v>8.04</v>
      </c>
      <c r="I196" s="35">
        <f t="shared" si="123"/>
        <v>19.11</v>
      </c>
      <c r="J196" s="37">
        <f>4.88+0.6</f>
        <v>5.4799999999999995</v>
      </c>
      <c r="K196" s="37">
        <f>4.73+0.61</f>
        <v>5.340000000000001</v>
      </c>
      <c r="L196" s="37">
        <f>4.29+0.61+5.6+0.6</f>
        <v>11.1</v>
      </c>
      <c r="M196" s="35">
        <f t="shared" si="124"/>
        <v>21.92</v>
      </c>
      <c r="N196" s="37">
        <f>5.24+0.61</f>
        <v>5.8500000000000005</v>
      </c>
      <c r="O196" s="37">
        <f>4.7+0.62</f>
        <v>5.32</v>
      </c>
      <c r="P196" s="38"/>
      <c r="Q196" s="35">
        <f t="shared" si="125"/>
        <v>11.170000000000002</v>
      </c>
      <c r="R196" s="34">
        <f t="shared" si="126"/>
        <v>54.39</v>
      </c>
    </row>
    <row r="197" spans="1:18" ht="12.75" hidden="1" outlineLevel="3">
      <c r="A197" s="23" t="s">
        <v>19</v>
      </c>
      <c r="B197" s="3"/>
      <c r="C197" s="3">
        <v>0.93</v>
      </c>
      <c r="D197" s="3">
        <v>1.86</v>
      </c>
      <c r="E197" s="35">
        <f t="shared" si="122"/>
        <v>2.79</v>
      </c>
      <c r="F197" s="37"/>
      <c r="G197" s="37"/>
      <c r="H197" s="37"/>
      <c r="I197" s="35">
        <f t="shared" si="123"/>
        <v>0</v>
      </c>
      <c r="J197" s="37"/>
      <c r="K197" s="37"/>
      <c r="L197" s="37">
        <v>0.93</v>
      </c>
      <c r="M197" s="35">
        <f t="shared" si="124"/>
        <v>0.93</v>
      </c>
      <c r="N197" s="37"/>
      <c r="O197" s="37"/>
      <c r="P197" s="38"/>
      <c r="Q197" s="35">
        <f t="shared" si="125"/>
        <v>0</v>
      </c>
      <c r="R197" s="34">
        <f t="shared" si="126"/>
        <v>3.72</v>
      </c>
    </row>
    <row r="198" spans="1:18" ht="12.75" hidden="1" outlineLevel="3">
      <c r="A198" s="23" t="s">
        <v>20</v>
      </c>
      <c r="B198" s="3"/>
      <c r="C198" s="3"/>
      <c r="D198" s="3">
        <f>2.5+3.39</f>
        <v>5.890000000000001</v>
      </c>
      <c r="E198" s="35">
        <f t="shared" si="122"/>
        <v>5.890000000000001</v>
      </c>
      <c r="F198" s="37">
        <v>0.5</v>
      </c>
      <c r="G198" s="37">
        <v>1</v>
      </c>
      <c r="H198" s="37">
        <v>3.5</v>
      </c>
      <c r="I198" s="35">
        <f t="shared" si="123"/>
        <v>5</v>
      </c>
      <c r="J198" s="37">
        <v>1.5</v>
      </c>
      <c r="K198" s="37">
        <v>0.5</v>
      </c>
      <c r="L198" s="37">
        <v>3</v>
      </c>
      <c r="M198" s="35">
        <f t="shared" si="124"/>
        <v>5</v>
      </c>
      <c r="N198" s="37">
        <v>0.5</v>
      </c>
      <c r="O198" s="37">
        <v>0.5</v>
      </c>
      <c r="P198" s="38">
        <v>2</v>
      </c>
      <c r="Q198" s="35">
        <f t="shared" si="125"/>
        <v>3</v>
      </c>
      <c r="R198" s="34">
        <f t="shared" si="126"/>
        <v>18.89</v>
      </c>
    </row>
    <row r="199" spans="1:18" ht="12.75" hidden="1" outlineLevel="3">
      <c r="A199" s="23" t="s">
        <v>21</v>
      </c>
      <c r="B199" s="3"/>
      <c r="C199" s="3"/>
      <c r="D199" s="3"/>
      <c r="E199" s="35">
        <f t="shared" si="122"/>
        <v>0</v>
      </c>
      <c r="G199" s="37"/>
      <c r="H199" s="37"/>
      <c r="I199" s="35">
        <f t="shared" si="123"/>
        <v>0</v>
      </c>
      <c r="J199" s="37"/>
      <c r="K199" s="37"/>
      <c r="L199" s="37"/>
      <c r="M199" s="35">
        <f t="shared" si="124"/>
        <v>0</v>
      </c>
      <c r="N199" s="37"/>
      <c r="O199" s="37"/>
      <c r="P199" s="38"/>
      <c r="Q199" s="35">
        <f t="shared" si="125"/>
        <v>0</v>
      </c>
      <c r="R199" s="34">
        <f t="shared" si="126"/>
        <v>0</v>
      </c>
    </row>
    <row r="200" spans="1:18" ht="12.75" hidden="1" outlineLevel="3">
      <c r="A200" s="23" t="s">
        <v>22</v>
      </c>
      <c r="B200" s="3"/>
      <c r="C200" s="3"/>
      <c r="D200" s="3"/>
      <c r="E200" s="35">
        <f t="shared" si="122"/>
        <v>0</v>
      </c>
      <c r="G200" s="37"/>
      <c r="H200" s="37"/>
      <c r="I200" s="35">
        <f t="shared" si="123"/>
        <v>0</v>
      </c>
      <c r="J200" s="37"/>
      <c r="K200" s="37"/>
      <c r="L200" s="37"/>
      <c r="M200" s="35">
        <f t="shared" si="124"/>
        <v>0</v>
      </c>
      <c r="N200" s="37"/>
      <c r="O200" s="37"/>
      <c r="P200" s="38"/>
      <c r="Q200" s="35">
        <f t="shared" si="125"/>
        <v>0</v>
      </c>
      <c r="R200" s="34">
        <f t="shared" si="126"/>
        <v>0</v>
      </c>
    </row>
    <row r="201" spans="1:18" ht="12.75" hidden="1" outlineLevel="2" collapsed="1">
      <c r="A201" s="28" t="s">
        <v>50</v>
      </c>
      <c r="B201" s="43">
        <f aca="true" t="shared" si="127" ref="B201:Q201">SUM(B193:B200)</f>
        <v>0</v>
      </c>
      <c r="C201" s="43">
        <f t="shared" si="127"/>
        <v>116.13000000000001</v>
      </c>
      <c r="D201" s="43">
        <f t="shared" si="127"/>
        <v>93.52</v>
      </c>
      <c r="E201" s="42">
        <f t="shared" si="127"/>
        <v>209.65000000000003</v>
      </c>
      <c r="F201" s="43">
        <f t="shared" si="127"/>
        <v>92.69999999999999</v>
      </c>
      <c r="G201" s="43">
        <f t="shared" si="127"/>
        <v>82.00999999999999</v>
      </c>
      <c r="H201" s="43">
        <f t="shared" si="127"/>
        <v>90.65</v>
      </c>
      <c r="I201" s="42">
        <f t="shared" si="127"/>
        <v>265.36</v>
      </c>
      <c r="J201" s="43">
        <f t="shared" si="127"/>
        <v>86.21000000000001</v>
      </c>
      <c r="K201" s="43">
        <f t="shared" si="127"/>
        <v>84.06</v>
      </c>
      <c r="L201" s="43">
        <f t="shared" si="127"/>
        <v>99.74000000000001</v>
      </c>
      <c r="M201" s="42">
        <f t="shared" si="127"/>
        <v>270.01</v>
      </c>
      <c r="N201" s="43">
        <f t="shared" si="127"/>
        <v>95</v>
      </c>
      <c r="O201" s="43">
        <f t="shared" si="127"/>
        <v>92.33000000000001</v>
      </c>
      <c r="P201" s="43">
        <f t="shared" si="127"/>
        <v>85.94</v>
      </c>
      <c r="Q201" s="42">
        <f t="shared" si="127"/>
        <v>273.27</v>
      </c>
      <c r="R201" s="44">
        <f t="shared" si="126"/>
        <v>1018.29</v>
      </c>
    </row>
    <row r="202" spans="1:21" ht="13.5" outlineLevel="1" collapsed="1" thickBot="1">
      <c r="A202" s="22" t="s">
        <v>48</v>
      </c>
      <c r="B202" s="46">
        <f aca="true" t="shared" si="128" ref="B202:R202">B201+B192</f>
        <v>0</v>
      </c>
      <c r="C202" s="46">
        <f t="shared" si="128"/>
        <v>660.79</v>
      </c>
      <c r="D202" s="46">
        <f t="shared" si="128"/>
        <v>93.52</v>
      </c>
      <c r="E202" s="45">
        <f t="shared" si="128"/>
        <v>754.31</v>
      </c>
      <c r="F202" s="46">
        <f t="shared" si="128"/>
        <v>95.68999999999998</v>
      </c>
      <c r="G202" s="46">
        <f t="shared" si="128"/>
        <v>82.00999999999999</v>
      </c>
      <c r="H202" s="46">
        <f t="shared" si="128"/>
        <v>90.65</v>
      </c>
      <c r="I202" s="45">
        <f t="shared" si="128"/>
        <v>268.35</v>
      </c>
      <c r="J202" s="46">
        <f t="shared" si="128"/>
        <v>86.21000000000001</v>
      </c>
      <c r="K202" s="46">
        <f t="shared" si="128"/>
        <v>84.06</v>
      </c>
      <c r="L202" s="46">
        <f t="shared" si="128"/>
        <v>244.46</v>
      </c>
      <c r="M202" s="45">
        <f t="shared" si="128"/>
        <v>414.73</v>
      </c>
      <c r="N202" s="46">
        <f t="shared" si="128"/>
        <v>96.81</v>
      </c>
      <c r="O202" s="46">
        <f t="shared" si="128"/>
        <v>92.33000000000001</v>
      </c>
      <c r="P202" s="46">
        <f t="shared" si="128"/>
        <v>91.98</v>
      </c>
      <c r="Q202" s="45">
        <f t="shared" si="128"/>
        <v>281.12</v>
      </c>
      <c r="R202" s="47">
        <f t="shared" si="128"/>
        <v>1718.51</v>
      </c>
      <c r="S202" s="53">
        <f>((B193/0.12)+(C193/0.12)+(D193/0.12)+(F193/0.12)+(G193/0.12)+(H193/0.12)+(J193/0.12)+(K193/0.12)+(L193/0.12)+(N193/0.12)+(O193/0.12)+(P193/0.12))/12</f>
        <v>504.6666666666667</v>
      </c>
      <c r="T202" s="54">
        <f>R202/S202</f>
        <v>3.405237780713342</v>
      </c>
      <c r="U202" s="56">
        <f>R195/R202</f>
        <v>0.04931597721281808</v>
      </c>
    </row>
    <row r="203" spans="1:18" ht="13.5" outlineLevel="1" thickTop="1">
      <c r="A203" s="16" t="s">
        <v>36</v>
      </c>
      <c r="B203" s="17"/>
      <c r="C203" s="17"/>
      <c r="D203" s="17"/>
      <c r="E203" s="14"/>
      <c r="F203" s="17"/>
      <c r="G203" s="17"/>
      <c r="H203" s="17"/>
      <c r="I203" s="14"/>
      <c r="J203" s="17"/>
      <c r="K203" s="17"/>
      <c r="L203" s="17"/>
      <c r="M203" s="14"/>
      <c r="N203" s="17"/>
      <c r="O203" s="17"/>
      <c r="P203" s="17"/>
      <c r="Q203" s="14"/>
      <c r="R203" s="27"/>
    </row>
    <row r="204" spans="1:18" ht="12.75" hidden="1" outlineLevel="3">
      <c r="A204" s="19" t="s">
        <v>40</v>
      </c>
      <c r="B204" s="20"/>
      <c r="C204" s="20"/>
      <c r="D204" s="20"/>
      <c r="E204" s="12">
        <f aca="true" t="shared" si="129" ref="E204:E210">SUM(B204:D204)</f>
        <v>0</v>
      </c>
      <c r="F204" s="20"/>
      <c r="G204" s="20"/>
      <c r="H204" s="20"/>
      <c r="I204" s="12">
        <f aca="true" t="shared" si="130" ref="I204:I210">SUM(F204:H204)</f>
        <v>0</v>
      </c>
      <c r="J204" s="20"/>
      <c r="K204" s="20"/>
      <c r="L204" s="20"/>
      <c r="M204" s="12">
        <f aca="true" t="shared" si="131" ref="M204:M210">SUM(J204:L204)</f>
        <v>0</v>
      </c>
      <c r="N204" s="20"/>
      <c r="O204" s="20"/>
      <c r="P204" s="20"/>
      <c r="Q204" s="12">
        <f aca="true" t="shared" si="132" ref="Q204:Q210">SUM(N204:P204)</f>
        <v>0</v>
      </c>
      <c r="R204" s="21">
        <f aca="true" t="shared" si="133" ref="R204:R210">Q204+M204+I204+E204</f>
        <v>0</v>
      </c>
    </row>
    <row r="205" spans="1:18" ht="12.75" hidden="1" outlineLevel="3">
      <c r="A205" s="19" t="s">
        <v>41</v>
      </c>
      <c r="B205" s="20"/>
      <c r="C205" s="20"/>
      <c r="D205" s="20"/>
      <c r="E205" s="12">
        <f t="shared" si="129"/>
        <v>0</v>
      </c>
      <c r="F205" s="20"/>
      <c r="G205" s="20"/>
      <c r="H205" s="20"/>
      <c r="I205" s="12">
        <f t="shared" si="130"/>
        <v>0</v>
      </c>
      <c r="J205" s="20"/>
      <c r="K205" s="20"/>
      <c r="L205" s="20"/>
      <c r="M205" s="12">
        <f t="shared" si="131"/>
        <v>0</v>
      </c>
      <c r="N205" s="20"/>
      <c r="O205" s="20"/>
      <c r="P205" s="20"/>
      <c r="Q205" s="12">
        <f t="shared" si="132"/>
        <v>0</v>
      </c>
      <c r="R205" s="21">
        <f t="shared" si="133"/>
        <v>0</v>
      </c>
    </row>
    <row r="206" spans="1:18" ht="12.75" hidden="1" outlineLevel="3">
      <c r="A206" s="19" t="s">
        <v>42</v>
      </c>
      <c r="B206" s="20"/>
      <c r="C206" s="20"/>
      <c r="D206" s="20"/>
      <c r="E206" s="12">
        <f t="shared" si="129"/>
        <v>0</v>
      </c>
      <c r="F206" s="20"/>
      <c r="G206" s="20"/>
      <c r="H206" s="20"/>
      <c r="I206" s="12">
        <f t="shared" si="130"/>
        <v>0</v>
      </c>
      <c r="J206" s="20"/>
      <c r="K206" s="20"/>
      <c r="L206" s="20"/>
      <c r="M206" s="12">
        <f t="shared" si="131"/>
        <v>0</v>
      </c>
      <c r="N206" s="20"/>
      <c r="O206" s="20"/>
      <c r="P206" s="20"/>
      <c r="Q206" s="12">
        <f t="shared" si="132"/>
        <v>0</v>
      </c>
      <c r="R206" s="21">
        <f t="shared" si="133"/>
        <v>0</v>
      </c>
    </row>
    <row r="207" spans="1:18" ht="12.75" hidden="1" outlineLevel="3">
      <c r="A207" s="19" t="s">
        <v>43</v>
      </c>
      <c r="B207" s="20"/>
      <c r="C207" s="20"/>
      <c r="D207" s="20"/>
      <c r="E207" s="12">
        <f t="shared" si="129"/>
        <v>0</v>
      </c>
      <c r="F207" s="20"/>
      <c r="G207" s="20"/>
      <c r="H207" s="20"/>
      <c r="I207" s="12">
        <f t="shared" si="130"/>
        <v>0</v>
      </c>
      <c r="J207" s="20"/>
      <c r="K207" s="20"/>
      <c r="L207" s="20"/>
      <c r="M207" s="12">
        <f t="shared" si="131"/>
        <v>0</v>
      </c>
      <c r="N207" s="20"/>
      <c r="O207" s="20"/>
      <c r="P207" s="20"/>
      <c r="Q207" s="12">
        <f t="shared" si="132"/>
        <v>0</v>
      </c>
      <c r="R207" s="21">
        <f t="shared" si="133"/>
        <v>0</v>
      </c>
    </row>
    <row r="208" spans="1:18" ht="12.75" hidden="1" outlineLevel="3">
      <c r="A208" s="19" t="s">
        <v>44</v>
      </c>
      <c r="B208" s="20"/>
      <c r="C208" s="20"/>
      <c r="D208" s="20"/>
      <c r="E208" s="12">
        <f t="shared" si="129"/>
        <v>0</v>
      </c>
      <c r="F208" s="20"/>
      <c r="G208" s="20"/>
      <c r="H208" s="20"/>
      <c r="I208" s="12">
        <f t="shared" si="130"/>
        <v>0</v>
      </c>
      <c r="J208" s="20"/>
      <c r="K208" s="20"/>
      <c r="L208" s="20"/>
      <c r="M208" s="12">
        <f t="shared" si="131"/>
        <v>0</v>
      </c>
      <c r="N208" s="20"/>
      <c r="O208" s="20"/>
      <c r="P208" s="20"/>
      <c r="Q208" s="12">
        <f t="shared" si="132"/>
        <v>0</v>
      </c>
      <c r="R208" s="21">
        <f t="shared" si="133"/>
        <v>0</v>
      </c>
    </row>
    <row r="209" spans="1:18" ht="12.75" hidden="1" outlineLevel="3">
      <c r="A209" s="19" t="s">
        <v>45</v>
      </c>
      <c r="B209" s="20"/>
      <c r="C209" s="20"/>
      <c r="D209" s="20"/>
      <c r="E209" s="12">
        <f t="shared" si="129"/>
        <v>0</v>
      </c>
      <c r="F209" s="20"/>
      <c r="G209" s="20"/>
      <c r="H209" s="20"/>
      <c r="I209" s="12">
        <f t="shared" si="130"/>
        <v>0</v>
      </c>
      <c r="J209" s="20"/>
      <c r="K209" s="20"/>
      <c r="L209" s="20"/>
      <c r="M209" s="12">
        <f t="shared" si="131"/>
        <v>0</v>
      </c>
      <c r="N209" s="20"/>
      <c r="O209" s="20"/>
      <c r="P209" s="20"/>
      <c r="Q209" s="12">
        <f t="shared" si="132"/>
        <v>0</v>
      </c>
      <c r="R209" s="21">
        <f t="shared" si="133"/>
        <v>0</v>
      </c>
    </row>
    <row r="210" spans="1:18" ht="12.75" hidden="1" outlineLevel="3">
      <c r="A210" s="19" t="s">
        <v>46</v>
      </c>
      <c r="B210" s="20"/>
      <c r="C210" s="20"/>
      <c r="D210" s="20"/>
      <c r="E210" s="12">
        <f t="shared" si="129"/>
        <v>0</v>
      </c>
      <c r="F210" s="20"/>
      <c r="G210" s="20"/>
      <c r="H210" s="20"/>
      <c r="I210" s="12">
        <f t="shared" si="130"/>
        <v>0</v>
      </c>
      <c r="J210" s="20"/>
      <c r="K210" s="20"/>
      <c r="L210" s="20"/>
      <c r="M210" s="12">
        <f t="shared" si="131"/>
        <v>0</v>
      </c>
      <c r="N210" s="20"/>
      <c r="O210" s="20"/>
      <c r="P210" s="20"/>
      <c r="Q210" s="12">
        <f t="shared" si="132"/>
        <v>0</v>
      </c>
      <c r="R210" s="21">
        <f t="shared" si="133"/>
        <v>0</v>
      </c>
    </row>
    <row r="211" spans="1:18" ht="12.75" hidden="1" outlineLevel="3">
      <c r="A211" s="19" t="s">
        <v>58</v>
      </c>
      <c r="B211" s="24"/>
      <c r="C211" s="24"/>
      <c r="D211" s="24"/>
      <c r="E211" s="59">
        <f>SUM(B211:D211)</f>
        <v>0</v>
      </c>
      <c r="F211" s="52"/>
      <c r="G211" s="52"/>
      <c r="H211" s="52"/>
      <c r="I211" s="59">
        <f>SUM(F211:H211)</f>
        <v>0</v>
      </c>
      <c r="J211" s="52"/>
      <c r="K211" s="52"/>
      <c r="L211" s="52"/>
      <c r="M211" s="59">
        <f>SUM(J211:L211)</f>
        <v>0</v>
      </c>
      <c r="N211" s="52"/>
      <c r="O211" s="52"/>
      <c r="P211" s="52"/>
      <c r="Q211" s="59">
        <f>SUM(N211:P211)</f>
        <v>0</v>
      </c>
      <c r="R211" s="60">
        <f>Q211+M211+I211+E211</f>
        <v>0</v>
      </c>
    </row>
    <row r="212" spans="1:18" ht="12.75" hidden="1" outlineLevel="2" collapsed="1">
      <c r="A212" s="22" t="s">
        <v>47</v>
      </c>
      <c r="B212" s="3">
        <f aca="true" t="shared" si="134" ref="B212:Q212">SUM(B204:B211)</f>
        <v>0</v>
      </c>
      <c r="C212" s="3">
        <f t="shared" si="134"/>
        <v>0</v>
      </c>
      <c r="D212" s="3">
        <f t="shared" si="134"/>
        <v>0</v>
      </c>
      <c r="E212" s="33">
        <f t="shared" si="134"/>
        <v>0</v>
      </c>
      <c r="F212" s="33">
        <f t="shared" si="134"/>
        <v>0</v>
      </c>
      <c r="G212" s="33">
        <f t="shared" si="134"/>
        <v>0</v>
      </c>
      <c r="H212" s="33">
        <f t="shared" si="134"/>
        <v>0</v>
      </c>
      <c r="I212" s="33">
        <f t="shared" si="134"/>
        <v>0</v>
      </c>
      <c r="J212" s="33">
        <f t="shared" si="134"/>
        <v>0</v>
      </c>
      <c r="K212" s="33">
        <f t="shared" si="134"/>
        <v>0</v>
      </c>
      <c r="L212" s="33">
        <f t="shared" si="134"/>
        <v>0</v>
      </c>
      <c r="M212" s="33">
        <f t="shared" si="134"/>
        <v>0</v>
      </c>
      <c r="N212" s="33">
        <f t="shared" si="134"/>
        <v>0</v>
      </c>
      <c r="O212" s="33">
        <f t="shared" si="134"/>
        <v>0</v>
      </c>
      <c r="P212" s="33">
        <f t="shared" si="134"/>
        <v>0</v>
      </c>
      <c r="Q212" s="33">
        <f t="shared" si="134"/>
        <v>0</v>
      </c>
      <c r="R212" s="34">
        <f>Q212+M212+I212+E212</f>
        <v>0</v>
      </c>
    </row>
    <row r="213" spans="1:18" ht="12.75" hidden="1" outlineLevel="3">
      <c r="A213" s="23" t="s">
        <v>15</v>
      </c>
      <c r="B213" s="3"/>
      <c r="C213" s="3"/>
      <c r="D213" s="3"/>
      <c r="E213" s="35">
        <f>SUM(B213:D213)</f>
        <v>0</v>
      </c>
      <c r="F213" s="37"/>
      <c r="G213" s="37"/>
      <c r="H213" s="37"/>
      <c r="I213" s="35">
        <f>SUM(F213:H213)</f>
        <v>0</v>
      </c>
      <c r="J213" s="37"/>
      <c r="K213" s="37"/>
      <c r="L213" s="37"/>
      <c r="M213" s="35">
        <f>SUM(J213:L213)</f>
        <v>0</v>
      </c>
      <c r="N213" s="37"/>
      <c r="O213" s="37"/>
      <c r="P213" s="38"/>
      <c r="Q213" s="35">
        <f>SUM(N213:P213)</f>
        <v>0</v>
      </c>
      <c r="R213" s="34">
        <f>Q213+M213+I213+E213</f>
        <v>0</v>
      </c>
    </row>
    <row r="214" spans="1:18" ht="12.75" hidden="1" outlineLevel="3">
      <c r="A214" s="23" t="s">
        <v>16</v>
      </c>
      <c r="B214" s="3"/>
      <c r="C214" s="3"/>
      <c r="D214" s="3"/>
      <c r="E214" s="35">
        <f aca="true" t="shared" si="135" ref="E214:E220">SUM(B214:D214)</f>
        <v>0</v>
      </c>
      <c r="F214" s="37"/>
      <c r="G214" s="37"/>
      <c r="H214" s="37"/>
      <c r="I214" s="35">
        <f aca="true" t="shared" si="136" ref="I214:I220">SUM(F214:H214)</f>
        <v>0</v>
      </c>
      <c r="J214" s="37"/>
      <c r="K214" s="37"/>
      <c r="L214" s="37"/>
      <c r="M214" s="35">
        <f aca="true" t="shared" si="137" ref="M214:M220">SUM(J214:L214)</f>
        <v>0</v>
      </c>
      <c r="N214" s="37"/>
      <c r="O214" s="37"/>
      <c r="P214" s="38"/>
      <c r="Q214" s="35">
        <f aca="true" t="shared" si="138" ref="Q214:Q220">SUM(N214:P214)</f>
        <v>0</v>
      </c>
      <c r="R214" s="34">
        <f aca="true" t="shared" si="139" ref="R214:R221">Q214+M214+I214+E214</f>
        <v>0</v>
      </c>
    </row>
    <row r="215" spans="1:18" ht="12.75" hidden="1" outlineLevel="3">
      <c r="A215" s="23" t="s">
        <v>17</v>
      </c>
      <c r="B215" s="3"/>
      <c r="C215" s="3"/>
      <c r="D215" s="3"/>
      <c r="E215" s="35">
        <f t="shared" si="135"/>
        <v>0</v>
      </c>
      <c r="F215" s="37"/>
      <c r="G215" s="37"/>
      <c r="H215" s="37"/>
      <c r="I215" s="35">
        <f t="shared" si="136"/>
        <v>0</v>
      </c>
      <c r="J215" s="37"/>
      <c r="K215" s="37"/>
      <c r="L215" s="37"/>
      <c r="M215" s="35">
        <f t="shared" si="137"/>
        <v>0</v>
      </c>
      <c r="N215" s="37"/>
      <c r="O215" s="37"/>
      <c r="P215" s="38"/>
      <c r="Q215" s="35">
        <f t="shared" si="138"/>
        <v>0</v>
      </c>
      <c r="R215" s="34">
        <f t="shared" si="139"/>
        <v>0</v>
      </c>
    </row>
    <row r="216" spans="1:18" ht="12.75" hidden="1" outlineLevel="3">
      <c r="A216" s="25" t="s">
        <v>18</v>
      </c>
      <c r="B216" s="3"/>
      <c r="C216" s="3"/>
      <c r="D216" s="3"/>
      <c r="E216" s="35">
        <f t="shared" si="135"/>
        <v>0</v>
      </c>
      <c r="F216" s="37"/>
      <c r="G216" s="37"/>
      <c r="H216" s="37"/>
      <c r="I216" s="35">
        <f t="shared" si="136"/>
        <v>0</v>
      </c>
      <c r="J216" s="37"/>
      <c r="K216" s="37"/>
      <c r="L216" s="37"/>
      <c r="M216" s="35">
        <f t="shared" si="137"/>
        <v>0</v>
      </c>
      <c r="N216" s="37"/>
      <c r="O216" s="37"/>
      <c r="P216" s="38"/>
      <c r="Q216" s="35">
        <f t="shared" si="138"/>
        <v>0</v>
      </c>
      <c r="R216" s="34">
        <f t="shared" si="139"/>
        <v>0</v>
      </c>
    </row>
    <row r="217" spans="1:18" ht="12.75" hidden="1" outlineLevel="3">
      <c r="A217" s="23" t="s">
        <v>19</v>
      </c>
      <c r="B217" s="3"/>
      <c r="C217" s="3"/>
      <c r="D217" s="3"/>
      <c r="E217" s="35">
        <f t="shared" si="135"/>
        <v>0</v>
      </c>
      <c r="F217" s="37"/>
      <c r="G217" s="37"/>
      <c r="H217" s="37"/>
      <c r="I217" s="35">
        <f t="shared" si="136"/>
        <v>0</v>
      </c>
      <c r="J217" s="37"/>
      <c r="K217" s="37"/>
      <c r="L217" s="37"/>
      <c r="M217" s="35">
        <f t="shared" si="137"/>
        <v>0</v>
      </c>
      <c r="N217" s="37"/>
      <c r="O217" s="37"/>
      <c r="P217" s="38"/>
      <c r="Q217" s="35">
        <f t="shared" si="138"/>
        <v>0</v>
      </c>
      <c r="R217" s="34">
        <f t="shared" si="139"/>
        <v>0</v>
      </c>
    </row>
    <row r="218" spans="1:18" ht="12.75" hidden="1" outlineLevel="3">
      <c r="A218" s="23" t="s">
        <v>20</v>
      </c>
      <c r="B218" s="3"/>
      <c r="C218" s="3"/>
      <c r="D218" s="3"/>
      <c r="E218" s="35">
        <f t="shared" si="135"/>
        <v>0</v>
      </c>
      <c r="F218" s="37"/>
      <c r="G218" s="37"/>
      <c r="H218" s="37"/>
      <c r="I218" s="35">
        <f t="shared" si="136"/>
        <v>0</v>
      </c>
      <c r="J218" s="37"/>
      <c r="K218" s="37"/>
      <c r="L218" s="37"/>
      <c r="M218" s="35">
        <f t="shared" si="137"/>
        <v>0</v>
      </c>
      <c r="N218" s="37"/>
      <c r="O218" s="37"/>
      <c r="P218" s="38"/>
      <c r="Q218" s="35">
        <f t="shared" si="138"/>
        <v>0</v>
      </c>
      <c r="R218" s="34">
        <f t="shared" si="139"/>
        <v>0</v>
      </c>
    </row>
    <row r="219" spans="1:18" ht="12.75" hidden="1" outlineLevel="3">
      <c r="A219" s="23" t="s">
        <v>21</v>
      </c>
      <c r="B219" s="3"/>
      <c r="C219" s="3"/>
      <c r="D219" s="3"/>
      <c r="E219" s="35">
        <f t="shared" si="135"/>
        <v>0</v>
      </c>
      <c r="F219" s="37"/>
      <c r="G219" s="37"/>
      <c r="H219" s="37"/>
      <c r="I219" s="35">
        <f t="shared" si="136"/>
        <v>0</v>
      </c>
      <c r="J219" s="37"/>
      <c r="K219" s="37"/>
      <c r="L219" s="37"/>
      <c r="M219" s="35">
        <f t="shared" si="137"/>
        <v>0</v>
      </c>
      <c r="N219" s="37"/>
      <c r="O219" s="37"/>
      <c r="P219" s="38"/>
      <c r="Q219" s="35">
        <f t="shared" si="138"/>
        <v>0</v>
      </c>
      <c r="R219" s="34">
        <f t="shared" si="139"/>
        <v>0</v>
      </c>
    </row>
    <row r="220" spans="1:18" ht="12.75" hidden="1" outlineLevel="3">
      <c r="A220" s="23" t="s">
        <v>22</v>
      </c>
      <c r="B220" s="3"/>
      <c r="C220" s="3"/>
      <c r="D220" s="3"/>
      <c r="E220" s="35">
        <f t="shared" si="135"/>
        <v>0</v>
      </c>
      <c r="F220" s="37"/>
      <c r="G220" s="37"/>
      <c r="H220" s="37"/>
      <c r="I220" s="35">
        <f t="shared" si="136"/>
        <v>0</v>
      </c>
      <c r="J220" s="37"/>
      <c r="K220" s="37"/>
      <c r="L220" s="37"/>
      <c r="M220" s="35">
        <f t="shared" si="137"/>
        <v>0</v>
      </c>
      <c r="N220" s="37"/>
      <c r="O220" s="37"/>
      <c r="P220" s="38"/>
      <c r="Q220" s="35">
        <f t="shared" si="138"/>
        <v>0</v>
      </c>
      <c r="R220" s="34">
        <f t="shared" si="139"/>
        <v>0</v>
      </c>
    </row>
    <row r="221" spans="1:18" ht="12.75" hidden="1" outlineLevel="2" collapsed="1">
      <c r="A221" s="28" t="s">
        <v>50</v>
      </c>
      <c r="B221" s="43">
        <f aca="true" t="shared" si="140" ref="B221:Q221">SUM(B213:B220)</f>
        <v>0</v>
      </c>
      <c r="C221" s="43">
        <f t="shared" si="140"/>
        <v>0</v>
      </c>
      <c r="D221" s="43">
        <f t="shared" si="140"/>
        <v>0</v>
      </c>
      <c r="E221" s="42">
        <f t="shared" si="140"/>
        <v>0</v>
      </c>
      <c r="F221" s="43">
        <f t="shared" si="140"/>
        <v>0</v>
      </c>
      <c r="G221" s="43">
        <f t="shared" si="140"/>
        <v>0</v>
      </c>
      <c r="H221" s="43">
        <f t="shared" si="140"/>
        <v>0</v>
      </c>
      <c r="I221" s="42">
        <f t="shared" si="140"/>
        <v>0</v>
      </c>
      <c r="J221" s="43">
        <f t="shared" si="140"/>
        <v>0</v>
      </c>
      <c r="K221" s="43">
        <f t="shared" si="140"/>
        <v>0</v>
      </c>
      <c r="L221" s="43">
        <f t="shared" si="140"/>
        <v>0</v>
      </c>
      <c r="M221" s="42">
        <f t="shared" si="140"/>
        <v>0</v>
      </c>
      <c r="N221" s="43">
        <f t="shared" si="140"/>
        <v>0</v>
      </c>
      <c r="O221" s="43">
        <f t="shared" si="140"/>
        <v>0</v>
      </c>
      <c r="P221" s="43">
        <f t="shared" si="140"/>
        <v>0</v>
      </c>
      <c r="Q221" s="42">
        <f t="shared" si="140"/>
        <v>0</v>
      </c>
      <c r="R221" s="44">
        <f t="shared" si="139"/>
        <v>0</v>
      </c>
    </row>
    <row r="222" spans="1:18" ht="13.5" outlineLevel="1" collapsed="1" thickBot="1">
      <c r="A222" s="26" t="s">
        <v>48</v>
      </c>
      <c r="B222" s="46">
        <f aca="true" t="shared" si="141" ref="B222:R222">B221+B212</f>
        <v>0</v>
      </c>
      <c r="C222" s="46">
        <f t="shared" si="141"/>
        <v>0</v>
      </c>
      <c r="D222" s="46">
        <f t="shared" si="141"/>
        <v>0</v>
      </c>
      <c r="E222" s="45">
        <f t="shared" si="141"/>
        <v>0</v>
      </c>
      <c r="F222" s="46">
        <f t="shared" si="141"/>
        <v>0</v>
      </c>
      <c r="G222" s="46">
        <f t="shared" si="141"/>
        <v>0</v>
      </c>
      <c r="H222" s="46">
        <f t="shared" si="141"/>
        <v>0</v>
      </c>
      <c r="I222" s="45">
        <f t="shared" si="141"/>
        <v>0</v>
      </c>
      <c r="J222" s="46">
        <f t="shared" si="141"/>
        <v>0</v>
      </c>
      <c r="K222" s="46">
        <f t="shared" si="141"/>
        <v>0</v>
      </c>
      <c r="L222" s="46">
        <f t="shared" si="141"/>
        <v>0</v>
      </c>
      <c r="M222" s="45">
        <f t="shared" si="141"/>
        <v>0</v>
      </c>
      <c r="N222" s="46">
        <f t="shared" si="141"/>
        <v>0</v>
      </c>
      <c r="O222" s="46">
        <f t="shared" si="141"/>
        <v>0</v>
      </c>
      <c r="P222" s="46">
        <f t="shared" si="141"/>
        <v>0</v>
      </c>
      <c r="Q222" s="45">
        <f t="shared" si="141"/>
        <v>0</v>
      </c>
      <c r="R222" s="47">
        <f t="shared" si="141"/>
        <v>0</v>
      </c>
    </row>
    <row r="223" spans="1:18" ht="13.5" outlineLevel="1" thickTop="1">
      <c r="A223" s="16" t="s">
        <v>37</v>
      </c>
      <c r="B223" s="17"/>
      <c r="C223" s="17"/>
      <c r="D223" s="17"/>
      <c r="E223" s="14"/>
      <c r="F223" s="17"/>
      <c r="G223" s="17"/>
      <c r="H223" s="17"/>
      <c r="I223" s="14"/>
      <c r="J223" s="17"/>
      <c r="K223" s="17"/>
      <c r="L223" s="17"/>
      <c r="M223" s="14"/>
      <c r="N223" s="17"/>
      <c r="O223" s="17"/>
      <c r="P223" s="17"/>
      <c r="Q223" s="14"/>
      <c r="R223" s="27"/>
    </row>
    <row r="224" spans="1:18" ht="12.75" hidden="1" outlineLevel="3">
      <c r="A224" s="19" t="s">
        <v>40</v>
      </c>
      <c r="B224" s="20"/>
      <c r="C224" s="20"/>
      <c r="D224" s="20"/>
      <c r="E224" s="12">
        <f aca="true" t="shared" si="142" ref="E224:E230">SUM(B224:D224)</f>
        <v>0</v>
      </c>
      <c r="F224" s="20"/>
      <c r="G224" s="20"/>
      <c r="H224" s="20"/>
      <c r="I224" s="12">
        <f aca="true" t="shared" si="143" ref="I224:I230">SUM(F224:H224)</f>
        <v>0</v>
      </c>
      <c r="J224" s="20"/>
      <c r="K224" s="20"/>
      <c r="L224" s="20"/>
      <c r="M224" s="12">
        <f aca="true" t="shared" si="144" ref="M224:M230">SUM(J224:L224)</f>
        <v>0</v>
      </c>
      <c r="N224" s="20"/>
      <c r="O224" s="20"/>
      <c r="P224" s="20"/>
      <c r="Q224" s="12">
        <f aca="true" t="shared" si="145" ref="Q224:Q230">SUM(N224:P224)</f>
        <v>0</v>
      </c>
      <c r="R224" s="21">
        <f aca="true" t="shared" si="146" ref="R224:R230">Q224+M224+I224+E224</f>
        <v>0</v>
      </c>
    </row>
    <row r="225" spans="1:18" ht="12.75" hidden="1" outlineLevel="3">
      <c r="A225" s="19" t="s">
        <v>41</v>
      </c>
      <c r="B225" s="20"/>
      <c r="C225" s="20"/>
      <c r="D225" s="20"/>
      <c r="E225" s="12">
        <f t="shared" si="142"/>
        <v>0</v>
      </c>
      <c r="F225" s="20"/>
      <c r="G225" s="20"/>
      <c r="H225" s="20"/>
      <c r="I225" s="12">
        <f t="shared" si="143"/>
        <v>0</v>
      </c>
      <c r="J225" s="20"/>
      <c r="K225" s="20"/>
      <c r="L225" s="20"/>
      <c r="M225" s="12">
        <f t="shared" si="144"/>
        <v>0</v>
      </c>
      <c r="N225" s="20"/>
      <c r="O225" s="20"/>
      <c r="P225" s="20"/>
      <c r="Q225" s="12">
        <f t="shared" si="145"/>
        <v>0</v>
      </c>
      <c r="R225" s="21">
        <f t="shared" si="146"/>
        <v>0</v>
      </c>
    </row>
    <row r="226" spans="1:18" ht="12.75" hidden="1" outlineLevel="3">
      <c r="A226" s="19" t="s">
        <v>42</v>
      </c>
      <c r="B226" s="20"/>
      <c r="C226" s="20"/>
      <c r="D226" s="20"/>
      <c r="E226" s="12">
        <f t="shared" si="142"/>
        <v>0</v>
      </c>
      <c r="F226" s="20"/>
      <c r="G226" s="20"/>
      <c r="H226" s="20"/>
      <c r="I226" s="12">
        <f t="shared" si="143"/>
        <v>0</v>
      </c>
      <c r="J226" s="20"/>
      <c r="K226" s="20"/>
      <c r="L226" s="20"/>
      <c r="M226" s="12">
        <f t="shared" si="144"/>
        <v>0</v>
      </c>
      <c r="N226" s="20"/>
      <c r="O226" s="20"/>
      <c r="P226" s="20"/>
      <c r="Q226" s="12">
        <f t="shared" si="145"/>
        <v>0</v>
      </c>
      <c r="R226" s="21">
        <f t="shared" si="146"/>
        <v>0</v>
      </c>
    </row>
    <row r="227" spans="1:18" ht="12.75" hidden="1" outlineLevel="3">
      <c r="A227" s="19" t="s">
        <v>43</v>
      </c>
      <c r="B227" s="20"/>
      <c r="C227" s="20"/>
      <c r="D227" s="20"/>
      <c r="E227" s="12">
        <f t="shared" si="142"/>
        <v>0</v>
      </c>
      <c r="F227" s="20"/>
      <c r="G227" s="20"/>
      <c r="H227" s="20"/>
      <c r="I227" s="12">
        <f t="shared" si="143"/>
        <v>0</v>
      </c>
      <c r="J227" s="20"/>
      <c r="K227" s="20"/>
      <c r="L227" s="20"/>
      <c r="M227" s="12">
        <f t="shared" si="144"/>
        <v>0</v>
      </c>
      <c r="N227" s="20"/>
      <c r="O227" s="20"/>
      <c r="P227" s="20"/>
      <c r="Q227" s="12">
        <f t="shared" si="145"/>
        <v>0</v>
      </c>
      <c r="R227" s="21">
        <f t="shared" si="146"/>
        <v>0</v>
      </c>
    </row>
    <row r="228" spans="1:18" ht="12.75" hidden="1" outlineLevel="3">
      <c r="A228" s="19" t="s">
        <v>44</v>
      </c>
      <c r="B228" s="20"/>
      <c r="C228" s="20"/>
      <c r="D228" s="20"/>
      <c r="E228" s="12">
        <f t="shared" si="142"/>
        <v>0</v>
      </c>
      <c r="F228" s="20"/>
      <c r="G228" s="20"/>
      <c r="H228" s="20"/>
      <c r="I228" s="12">
        <f t="shared" si="143"/>
        <v>0</v>
      </c>
      <c r="J228" s="20"/>
      <c r="K228" s="20"/>
      <c r="L228" s="20"/>
      <c r="M228" s="12">
        <f t="shared" si="144"/>
        <v>0</v>
      </c>
      <c r="N228" s="20"/>
      <c r="O228" s="20"/>
      <c r="P228" s="20"/>
      <c r="Q228" s="12">
        <f t="shared" si="145"/>
        <v>0</v>
      </c>
      <c r="R228" s="21">
        <f t="shared" si="146"/>
        <v>0</v>
      </c>
    </row>
    <row r="229" spans="1:18" ht="12.75" hidden="1" outlineLevel="3">
      <c r="A229" s="19" t="s">
        <v>45</v>
      </c>
      <c r="B229" s="20"/>
      <c r="C229" s="20"/>
      <c r="D229" s="20"/>
      <c r="E229" s="12">
        <f t="shared" si="142"/>
        <v>0</v>
      </c>
      <c r="F229" s="20"/>
      <c r="G229" s="20"/>
      <c r="H229" s="20"/>
      <c r="I229" s="12">
        <f t="shared" si="143"/>
        <v>0</v>
      </c>
      <c r="J229" s="20"/>
      <c r="K229" s="20"/>
      <c r="L229" s="20"/>
      <c r="M229" s="12">
        <f t="shared" si="144"/>
        <v>0</v>
      </c>
      <c r="N229" s="20"/>
      <c r="O229" s="20"/>
      <c r="P229" s="20"/>
      <c r="Q229" s="12">
        <f t="shared" si="145"/>
        <v>0</v>
      </c>
      <c r="R229" s="21">
        <f t="shared" si="146"/>
        <v>0</v>
      </c>
    </row>
    <row r="230" spans="1:18" ht="12.75" hidden="1" outlineLevel="3">
      <c r="A230" s="19" t="s">
        <v>46</v>
      </c>
      <c r="B230" s="20"/>
      <c r="C230" s="20"/>
      <c r="D230" s="20"/>
      <c r="E230" s="12">
        <f t="shared" si="142"/>
        <v>0</v>
      </c>
      <c r="F230" s="20"/>
      <c r="G230" s="20"/>
      <c r="H230" s="20"/>
      <c r="I230" s="12">
        <f t="shared" si="143"/>
        <v>0</v>
      </c>
      <c r="J230" s="20"/>
      <c r="K230" s="20"/>
      <c r="L230" s="20"/>
      <c r="M230" s="12">
        <f t="shared" si="144"/>
        <v>0</v>
      </c>
      <c r="N230" s="20"/>
      <c r="O230" s="20"/>
      <c r="P230" s="20"/>
      <c r="Q230" s="12">
        <f t="shared" si="145"/>
        <v>0</v>
      </c>
      <c r="R230" s="21">
        <f t="shared" si="146"/>
        <v>0</v>
      </c>
    </row>
    <row r="231" spans="1:18" ht="12.75" hidden="1" outlineLevel="3">
      <c r="A231" s="19" t="s">
        <v>58</v>
      </c>
      <c r="B231" s="24"/>
      <c r="C231" s="24"/>
      <c r="D231" s="24"/>
      <c r="E231" s="59">
        <f>SUM(B231:D231)</f>
        <v>0</v>
      </c>
      <c r="F231" s="52"/>
      <c r="G231" s="52"/>
      <c r="H231" s="52"/>
      <c r="I231" s="59">
        <f>SUM(F231:H231)</f>
        <v>0</v>
      </c>
      <c r="J231" s="52"/>
      <c r="K231" s="52"/>
      <c r="L231" s="52"/>
      <c r="M231" s="59">
        <f>SUM(J231:L231)</f>
        <v>0</v>
      </c>
      <c r="N231" s="52"/>
      <c r="O231" s="52"/>
      <c r="P231" s="52"/>
      <c r="Q231" s="59">
        <f>SUM(N231:P231)</f>
        <v>0</v>
      </c>
      <c r="R231" s="60">
        <f>Q231+M231+I231+E231</f>
        <v>0</v>
      </c>
    </row>
    <row r="232" spans="1:18" ht="12.75" hidden="1" outlineLevel="2" collapsed="1">
      <c r="A232" s="22" t="s">
        <v>47</v>
      </c>
      <c r="B232" s="3">
        <f aca="true" t="shared" si="147" ref="B232:Q232">SUM(B224:B231)</f>
        <v>0</v>
      </c>
      <c r="C232" s="3">
        <f t="shared" si="147"/>
        <v>0</v>
      </c>
      <c r="D232" s="3">
        <f t="shared" si="147"/>
        <v>0</v>
      </c>
      <c r="E232" s="33">
        <f t="shared" si="147"/>
        <v>0</v>
      </c>
      <c r="F232" s="33">
        <f t="shared" si="147"/>
        <v>0</v>
      </c>
      <c r="G232" s="33">
        <f t="shared" si="147"/>
        <v>0</v>
      </c>
      <c r="H232" s="33">
        <f t="shared" si="147"/>
        <v>0</v>
      </c>
      <c r="I232" s="33">
        <f t="shared" si="147"/>
        <v>0</v>
      </c>
      <c r="J232" s="33">
        <f t="shared" si="147"/>
        <v>0</v>
      </c>
      <c r="K232" s="33">
        <f t="shared" si="147"/>
        <v>0</v>
      </c>
      <c r="L232" s="33">
        <f t="shared" si="147"/>
        <v>0</v>
      </c>
      <c r="M232" s="33">
        <f t="shared" si="147"/>
        <v>0</v>
      </c>
      <c r="N232" s="33">
        <f t="shared" si="147"/>
        <v>0</v>
      </c>
      <c r="O232" s="33">
        <f t="shared" si="147"/>
        <v>0</v>
      </c>
      <c r="P232" s="33">
        <f t="shared" si="147"/>
        <v>0</v>
      </c>
      <c r="Q232" s="33">
        <f t="shared" si="147"/>
        <v>0</v>
      </c>
      <c r="R232" s="34">
        <f>Q232+M232+I232+E232</f>
        <v>0</v>
      </c>
    </row>
    <row r="233" spans="1:18" ht="12.75" hidden="1" outlineLevel="3">
      <c r="A233" s="23" t="s">
        <v>15</v>
      </c>
      <c r="B233" s="3"/>
      <c r="C233" s="3"/>
      <c r="D233" s="3"/>
      <c r="E233" s="35">
        <f>SUM(B233:D233)</f>
        <v>0</v>
      </c>
      <c r="F233" s="37"/>
      <c r="G233" s="37"/>
      <c r="H233" s="37"/>
      <c r="I233" s="35">
        <f>SUM(F233:H233)</f>
        <v>0</v>
      </c>
      <c r="J233" s="37"/>
      <c r="K233" s="37"/>
      <c r="L233" s="37"/>
      <c r="M233" s="35">
        <f>SUM(J233:L233)</f>
        <v>0</v>
      </c>
      <c r="N233" s="37"/>
      <c r="O233" s="37"/>
      <c r="P233" s="38"/>
      <c r="Q233" s="35">
        <f>SUM(N233:P233)</f>
        <v>0</v>
      </c>
      <c r="R233" s="34">
        <f>Q233+M233+I233+E233</f>
        <v>0</v>
      </c>
    </row>
    <row r="234" spans="1:18" ht="12.75" hidden="1" outlineLevel="3">
      <c r="A234" s="23" t="s">
        <v>16</v>
      </c>
      <c r="B234" s="3"/>
      <c r="C234" s="3"/>
      <c r="D234" s="3"/>
      <c r="E234" s="35">
        <f aca="true" t="shared" si="148" ref="E234:E240">SUM(B234:D234)</f>
        <v>0</v>
      </c>
      <c r="F234" s="37"/>
      <c r="G234" s="37"/>
      <c r="H234" s="37"/>
      <c r="I234" s="35">
        <f aca="true" t="shared" si="149" ref="I234:I240">SUM(F234:H234)</f>
        <v>0</v>
      </c>
      <c r="J234" s="37"/>
      <c r="K234" s="37"/>
      <c r="L234" s="37"/>
      <c r="M234" s="35">
        <f aca="true" t="shared" si="150" ref="M234:M240">SUM(J234:L234)</f>
        <v>0</v>
      </c>
      <c r="N234" s="37"/>
      <c r="O234" s="37"/>
      <c r="P234" s="38"/>
      <c r="Q234" s="35">
        <f aca="true" t="shared" si="151" ref="Q234:Q240">SUM(N234:P234)</f>
        <v>0</v>
      </c>
      <c r="R234" s="34">
        <f aca="true" t="shared" si="152" ref="R234:R241">Q234+M234+I234+E234</f>
        <v>0</v>
      </c>
    </row>
    <row r="235" spans="1:18" ht="12.75" hidden="1" outlineLevel="3">
      <c r="A235" s="23" t="s">
        <v>17</v>
      </c>
      <c r="B235" s="3"/>
      <c r="C235" s="3"/>
      <c r="D235" s="3"/>
      <c r="E235" s="35">
        <f t="shared" si="148"/>
        <v>0</v>
      </c>
      <c r="F235" s="37"/>
      <c r="G235" s="37"/>
      <c r="H235" s="37"/>
      <c r="I235" s="35">
        <f t="shared" si="149"/>
        <v>0</v>
      </c>
      <c r="J235" s="37"/>
      <c r="K235" s="37"/>
      <c r="L235" s="37"/>
      <c r="M235" s="35">
        <f t="shared" si="150"/>
        <v>0</v>
      </c>
      <c r="N235" s="37"/>
      <c r="O235" s="37"/>
      <c r="P235" s="38"/>
      <c r="Q235" s="35">
        <f t="shared" si="151"/>
        <v>0</v>
      </c>
      <c r="R235" s="34">
        <f t="shared" si="152"/>
        <v>0</v>
      </c>
    </row>
    <row r="236" spans="1:18" ht="12.75" hidden="1" outlineLevel="3">
      <c r="A236" s="25" t="s">
        <v>18</v>
      </c>
      <c r="B236" s="3"/>
      <c r="C236" s="3"/>
      <c r="D236" s="3"/>
      <c r="E236" s="35">
        <f t="shared" si="148"/>
        <v>0</v>
      </c>
      <c r="F236" s="37"/>
      <c r="G236" s="37"/>
      <c r="H236" s="37"/>
      <c r="I236" s="35">
        <f t="shared" si="149"/>
        <v>0</v>
      </c>
      <c r="J236" s="37"/>
      <c r="K236" s="37"/>
      <c r="L236" s="37"/>
      <c r="M236" s="35">
        <f t="shared" si="150"/>
        <v>0</v>
      </c>
      <c r="N236" s="37"/>
      <c r="O236" s="37"/>
      <c r="P236" s="38"/>
      <c r="Q236" s="35">
        <f t="shared" si="151"/>
        <v>0</v>
      </c>
      <c r="R236" s="34">
        <f t="shared" si="152"/>
        <v>0</v>
      </c>
    </row>
    <row r="237" spans="1:18" ht="12.75" hidden="1" outlineLevel="3">
      <c r="A237" s="23" t="s">
        <v>19</v>
      </c>
      <c r="B237" s="3"/>
      <c r="C237" s="3"/>
      <c r="D237" s="3"/>
      <c r="E237" s="35">
        <f t="shared" si="148"/>
        <v>0</v>
      </c>
      <c r="F237" s="37"/>
      <c r="G237" s="37"/>
      <c r="H237" s="37"/>
      <c r="I237" s="35">
        <f t="shared" si="149"/>
        <v>0</v>
      </c>
      <c r="J237" s="37"/>
      <c r="K237" s="37"/>
      <c r="L237" s="37"/>
      <c r="M237" s="35">
        <f t="shared" si="150"/>
        <v>0</v>
      </c>
      <c r="N237" s="37"/>
      <c r="O237" s="37"/>
      <c r="P237" s="38"/>
      <c r="Q237" s="35">
        <f t="shared" si="151"/>
        <v>0</v>
      </c>
      <c r="R237" s="34">
        <f t="shared" si="152"/>
        <v>0</v>
      </c>
    </row>
    <row r="238" spans="1:18" ht="12.75" hidden="1" outlineLevel="3">
      <c r="A238" s="23" t="s">
        <v>20</v>
      </c>
      <c r="B238" s="3"/>
      <c r="C238" s="3"/>
      <c r="D238" s="3"/>
      <c r="E238" s="35">
        <f t="shared" si="148"/>
        <v>0</v>
      </c>
      <c r="F238" s="37"/>
      <c r="G238" s="37"/>
      <c r="H238" s="37"/>
      <c r="I238" s="35">
        <f t="shared" si="149"/>
        <v>0</v>
      </c>
      <c r="J238" s="37"/>
      <c r="K238" s="37"/>
      <c r="L238" s="37"/>
      <c r="M238" s="35">
        <f t="shared" si="150"/>
        <v>0</v>
      </c>
      <c r="N238" s="37"/>
      <c r="O238" s="37"/>
      <c r="P238" s="38"/>
      <c r="Q238" s="35">
        <f t="shared" si="151"/>
        <v>0</v>
      </c>
      <c r="R238" s="34">
        <f t="shared" si="152"/>
        <v>0</v>
      </c>
    </row>
    <row r="239" spans="1:18" ht="12.75" hidden="1" outlineLevel="3">
      <c r="A239" s="23" t="s">
        <v>21</v>
      </c>
      <c r="B239" s="3"/>
      <c r="C239" s="3"/>
      <c r="D239" s="3"/>
      <c r="E239" s="35">
        <f t="shared" si="148"/>
        <v>0</v>
      </c>
      <c r="F239" s="37"/>
      <c r="G239" s="37"/>
      <c r="H239" s="37"/>
      <c r="I239" s="35">
        <f t="shared" si="149"/>
        <v>0</v>
      </c>
      <c r="J239" s="37"/>
      <c r="K239" s="37"/>
      <c r="L239" s="37"/>
      <c r="M239" s="35">
        <f t="shared" si="150"/>
        <v>0</v>
      </c>
      <c r="N239" s="37"/>
      <c r="O239" s="37"/>
      <c r="P239" s="38"/>
      <c r="Q239" s="35">
        <f t="shared" si="151"/>
        <v>0</v>
      </c>
      <c r="R239" s="34">
        <f t="shared" si="152"/>
        <v>0</v>
      </c>
    </row>
    <row r="240" spans="1:18" ht="12.75" hidden="1" outlineLevel="3">
      <c r="A240" s="23" t="s">
        <v>22</v>
      </c>
      <c r="B240" s="3"/>
      <c r="C240" s="3"/>
      <c r="D240" s="3"/>
      <c r="E240" s="35">
        <f t="shared" si="148"/>
        <v>0</v>
      </c>
      <c r="F240" s="37"/>
      <c r="G240" s="37"/>
      <c r="H240" s="37"/>
      <c r="I240" s="35">
        <f t="shared" si="149"/>
        <v>0</v>
      </c>
      <c r="J240" s="37"/>
      <c r="K240" s="37"/>
      <c r="L240" s="37"/>
      <c r="M240" s="35">
        <f t="shared" si="150"/>
        <v>0</v>
      </c>
      <c r="N240" s="37"/>
      <c r="O240" s="37"/>
      <c r="P240" s="38"/>
      <c r="Q240" s="35">
        <f t="shared" si="151"/>
        <v>0</v>
      </c>
      <c r="R240" s="34">
        <f t="shared" si="152"/>
        <v>0</v>
      </c>
    </row>
    <row r="241" spans="1:18" ht="12.75" hidden="1" outlineLevel="2" collapsed="1">
      <c r="A241" s="28" t="s">
        <v>50</v>
      </c>
      <c r="B241" s="43">
        <f aca="true" t="shared" si="153" ref="B241:Q241">SUM(B233:B240)</f>
        <v>0</v>
      </c>
      <c r="C241" s="43">
        <f t="shared" si="153"/>
        <v>0</v>
      </c>
      <c r="D241" s="43">
        <f t="shared" si="153"/>
        <v>0</v>
      </c>
      <c r="E241" s="42">
        <f t="shared" si="153"/>
        <v>0</v>
      </c>
      <c r="F241" s="43">
        <f t="shared" si="153"/>
        <v>0</v>
      </c>
      <c r="G241" s="43">
        <f t="shared" si="153"/>
        <v>0</v>
      </c>
      <c r="H241" s="43">
        <f t="shared" si="153"/>
        <v>0</v>
      </c>
      <c r="I241" s="42">
        <f t="shared" si="153"/>
        <v>0</v>
      </c>
      <c r="J241" s="43">
        <f t="shared" si="153"/>
        <v>0</v>
      </c>
      <c r="K241" s="43">
        <f t="shared" si="153"/>
        <v>0</v>
      </c>
      <c r="L241" s="43">
        <f t="shared" si="153"/>
        <v>0</v>
      </c>
      <c r="M241" s="42">
        <f t="shared" si="153"/>
        <v>0</v>
      </c>
      <c r="N241" s="43">
        <f t="shared" si="153"/>
        <v>0</v>
      </c>
      <c r="O241" s="43">
        <f t="shared" si="153"/>
        <v>0</v>
      </c>
      <c r="P241" s="43">
        <f t="shared" si="153"/>
        <v>0</v>
      </c>
      <c r="Q241" s="42">
        <f t="shared" si="153"/>
        <v>0</v>
      </c>
      <c r="R241" s="44">
        <f t="shared" si="152"/>
        <v>0</v>
      </c>
    </row>
    <row r="242" spans="1:18" ht="13.5" outlineLevel="1" collapsed="1" thickBot="1">
      <c r="A242" s="26" t="s">
        <v>48</v>
      </c>
      <c r="B242" s="46">
        <f aca="true" t="shared" si="154" ref="B242:R242">B241+B232</f>
        <v>0</v>
      </c>
      <c r="C242" s="46">
        <f t="shared" si="154"/>
        <v>0</v>
      </c>
      <c r="D242" s="46">
        <f t="shared" si="154"/>
        <v>0</v>
      </c>
      <c r="E242" s="45">
        <f t="shared" si="154"/>
        <v>0</v>
      </c>
      <c r="F242" s="46">
        <f t="shared" si="154"/>
        <v>0</v>
      </c>
      <c r="G242" s="46">
        <f t="shared" si="154"/>
        <v>0</v>
      </c>
      <c r="H242" s="46">
        <f t="shared" si="154"/>
        <v>0</v>
      </c>
      <c r="I242" s="45">
        <f t="shared" si="154"/>
        <v>0</v>
      </c>
      <c r="J242" s="46">
        <f t="shared" si="154"/>
        <v>0</v>
      </c>
      <c r="K242" s="46">
        <f t="shared" si="154"/>
        <v>0</v>
      </c>
      <c r="L242" s="46">
        <f t="shared" si="154"/>
        <v>0</v>
      </c>
      <c r="M242" s="45">
        <f t="shared" si="154"/>
        <v>0</v>
      </c>
      <c r="N242" s="46">
        <f t="shared" si="154"/>
        <v>0</v>
      </c>
      <c r="O242" s="46">
        <f t="shared" si="154"/>
        <v>0</v>
      </c>
      <c r="P242" s="46">
        <f t="shared" si="154"/>
        <v>0</v>
      </c>
      <c r="Q242" s="45">
        <f t="shared" si="154"/>
        <v>0</v>
      </c>
      <c r="R242" s="47">
        <f t="shared" si="154"/>
        <v>0</v>
      </c>
    </row>
    <row r="243" spans="1:18" ht="13.5" thickTop="1">
      <c r="A243" s="16" t="s">
        <v>38</v>
      </c>
      <c r="B243" s="17"/>
      <c r="C243" s="17"/>
      <c r="D243" s="17"/>
      <c r="E243" s="14"/>
      <c r="F243" s="17"/>
      <c r="G243" s="17"/>
      <c r="H243" s="17"/>
      <c r="I243" s="14"/>
      <c r="J243" s="17"/>
      <c r="K243" s="17"/>
      <c r="L243" s="17"/>
      <c r="M243" s="14"/>
      <c r="N243" s="17"/>
      <c r="O243" s="17"/>
      <c r="P243" s="17"/>
      <c r="Q243" s="14"/>
      <c r="R243" s="27"/>
    </row>
    <row r="244" spans="1:18" ht="12.75" hidden="1" outlineLevel="2">
      <c r="A244" s="19" t="s">
        <v>40</v>
      </c>
      <c r="B244" s="3">
        <f aca="true" t="shared" si="155" ref="B244:D251">B224+B204+B184+B164+B144+B124+B104+B84+B64+B44+B24+B4</f>
        <v>0</v>
      </c>
      <c r="C244" s="3">
        <f t="shared" si="155"/>
        <v>0</v>
      </c>
      <c r="D244" s="3">
        <f t="shared" si="155"/>
        <v>0</v>
      </c>
      <c r="E244" s="3">
        <f aca="true" t="shared" si="156" ref="E244:E262">SUM(B244:D244)</f>
        <v>0</v>
      </c>
      <c r="F244" s="3">
        <f aca="true" t="shared" si="157" ref="F244:H251">F224+F204+F184+F164+F144+F124+F104+F84+F64+F44+F24+F4</f>
        <v>0</v>
      </c>
      <c r="G244" s="3">
        <f t="shared" si="157"/>
        <v>0</v>
      </c>
      <c r="H244" s="3">
        <f t="shared" si="157"/>
        <v>0</v>
      </c>
      <c r="I244" s="3">
        <f aca="true" t="shared" si="158" ref="I244:I250">SUM(F244:H244)</f>
        <v>0</v>
      </c>
      <c r="J244" s="3">
        <f aca="true" t="shared" si="159" ref="J244:L251">J224+J204+J184+J164+J144+J124+J104+J84+J64+J44+J24+J4</f>
        <v>0</v>
      </c>
      <c r="K244" s="3">
        <f t="shared" si="159"/>
        <v>0</v>
      </c>
      <c r="L244" s="3">
        <f t="shared" si="159"/>
        <v>0</v>
      </c>
      <c r="M244" s="3">
        <f aca="true" t="shared" si="160" ref="M244:M250">SUM(J244:L244)</f>
        <v>0</v>
      </c>
      <c r="N244" s="3">
        <f aca="true" t="shared" si="161" ref="N244:P251">N224+N204+N184+N164+N144+N124+N104+N84+N64+N44+N24+N4</f>
        <v>0</v>
      </c>
      <c r="O244" s="3">
        <f t="shared" si="161"/>
        <v>0</v>
      </c>
      <c r="P244" s="3">
        <f t="shared" si="161"/>
        <v>0</v>
      </c>
      <c r="Q244" s="3">
        <f aca="true" t="shared" si="162" ref="Q244:Q250">SUM(N244:P244)</f>
        <v>0</v>
      </c>
      <c r="R244" s="21">
        <f aca="true" t="shared" si="163" ref="R244:R260">Q244+M244+I244+E244</f>
        <v>0</v>
      </c>
    </row>
    <row r="245" spans="1:18" ht="12.75" hidden="1" outlineLevel="2">
      <c r="A245" s="19" t="s">
        <v>41</v>
      </c>
      <c r="B245" s="3">
        <f t="shared" si="155"/>
        <v>0</v>
      </c>
      <c r="C245" s="3">
        <f t="shared" si="155"/>
        <v>0</v>
      </c>
      <c r="D245" s="3">
        <f t="shared" si="155"/>
        <v>0</v>
      </c>
      <c r="E245" s="3">
        <f t="shared" si="156"/>
        <v>0</v>
      </c>
      <c r="F245" s="3">
        <f t="shared" si="157"/>
        <v>0</v>
      </c>
      <c r="G245" s="3">
        <f t="shared" si="157"/>
        <v>0</v>
      </c>
      <c r="H245" s="3">
        <f t="shared" si="157"/>
        <v>0</v>
      </c>
      <c r="I245" s="3">
        <f t="shared" si="158"/>
        <v>0</v>
      </c>
      <c r="J245" s="3">
        <f t="shared" si="159"/>
        <v>0</v>
      </c>
      <c r="K245" s="3">
        <f t="shared" si="159"/>
        <v>0</v>
      </c>
      <c r="L245" s="3">
        <f t="shared" si="159"/>
        <v>0</v>
      </c>
      <c r="M245" s="3">
        <f t="shared" si="160"/>
        <v>0</v>
      </c>
      <c r="N245" s="3">
        <f t="shared" si="161"/>
        <v>0</v>
      </c>
      <c r="O245" s="3">
        <f t="shared" si="161"/>
        <v>0</v>
      </c>
      <c r="P245" s="3">
        <f t="shared" si="161"/>
        <v>0</v>
      </c>
      <c r="Q245" s="3">
        <f t="shared" si="162"/>
        <v>0</v>
      </c>
      <c r="R245" s="21">
        <f t="shared" si="163"/>
        <v>0</v>
      </c>
    </row>
    <row r="246" spans="1:18" ht="12.75" hidden="1" outlineLevel="2">
      <c r="A246" s="19" t="s">
        <v>42</v>
      </c>
      <c r="B246" s="3">
        <f t="shared" si="155"/>
        <v>0</v>
      </c>
      <c r="C246" s="3">
        <f t="shared" si="155"/>
        <v>0</v>
      </c>
      <c r="D246" s="3">
        <f t="shared" si="155"/>
        <v>0</v>
      </c>
      <c r="E246" s="3">
        <f t="shared" si="156"/>
        <v>0</v>
      </c>
      <c r="F246" s="3">
        <f t="shared" si="157"/>
        <v>0</v>
      </c>
      <c r="G246" s="3">
        <f t="shared" si="157"/>
        <v>0</v>
      </c>
      <c r="H246" s="3">
        <f t="shared" si="157"/>
        <v>0</v>
      </c>
      <c r="I246" s="3">
        <f t="shared" si="158"/>
        <v>0</v>
      </c>
      <c r="J246" s="3">
        <f t="shared" si="159"/>
        <v>0</v>
      </c>
      <c r="K246" s="3">
        <f t="shared" si="159"/>
        <v>0</v>
      </c>
      <c r="L246" s="3">
        <f t="shared" si="159"/>
        <v>0</v>
      </c>
      <c r="M246" s="3">
        <f t="shared" si="160"/>
        <v>0</v>
      </c>
      <c r="N246" s="3">
        <f t="shared" si="161"/>
        <v>0</v>
      </c>
      <c r="O246" s="3">
        <f t="shared" si="161"/>
        <v>0</v>
      </c>
      <c r="P246" s="3">
        <f t="shared" si="161"/>
        <v>0</v>
      </c>
      <c r="Q246" s="3">
        <f t="shared" si="162"/>
        <v>0</v>
      </c>
      <c r="R246" s="21">
        <f t="shared" si="163"/>
        <v>0</v>
      </c>
    </row>
    <row r="247" spans="1:18" ht="12.75" hidden="1" outlineLevel="2">
      <c r="A247" s="19" t="s">
        <v>43</v>
      </c>
      <c r="B247" s="3">
        <f t="shared" si="155"/>
        <v>0</v>
      </c>
      <c r="C247" s="3">
        <f t="shared" si="155"/>
        <v>1336.79</v>
      </c>
      <c r="D247" s="3">
        <f t="shared" si="155"/>
        <v>0</v>
      </c>
      <c r="E247" s="3">
        <f t="shared" si="156"/>
        <v>1336.79</v>
      </c>
      <c r="F247" s="3">
        <f t="shared" si="157"/>
        <v>0</v>
      </c>
      <c r="G247" s="3">
        <f t="shared" si="157"/>
        <v>0</v>
      </c>
      <c r="H247" s="3">
        <f t="shared" si="157"/>
        <v>0</v>
      </c>
      <c r="I247" s="3">
        <f t="shared" si="158"/>
        <v>0</v>
      </c>
      <c r="J247" s="3">
        <f t="shared" si="159"/>
        <v>0</v>
      </c>
      <c r="K247" s="3">
        <f t="shared" si="159"/>
        <v>0</v>
      </c>
      <c r="L247" s="3">
        <f t="shared" si="159"/>
        <v>0</v>
      </c>
      <c r="M247" s="3">
        <f t="shared" si="160"/>
        <v>0</v>
      </c>
      <c r="N247" s="3">
        <f t="shared" si="161"/>
        <v>0</v>
      </c>
      <c r="O247" s="3">
        <f t="shared" si="161"/>
        <v>0</v>
      </c>
      <c r="P247" s="3">
        <f t="shared" si="161"/>
        <v>0</v>
      </c>
      <c r="Q247" s="3">
        <f t="shared" si="162"/>
        <v>0</v>
      </c>
      <c r="R247" s="21">
        <f t="shared" si="163"/>
        <v>1336.79</v>
      </c>
    </row>
    <row r="248" spans="1:18" ht="12.75" hidden="1" outlineLevel="2">
      <c r="A248" s="19" t="s">
        <v>44</v>
      </c>
      <c r="B248" s="3">
        <f t="shared" si="155"/>
        <v>0</v>
      </c>
      <c r="C248" s="3">
        <f t="shared" si="155"/>
        <v>0</v>
      </c>
      <c r="D248" s="3">
        <f t="shared" si="155"/>
        <v>0</v>
      </c>
      <c r="E248" s="3">
        <f t="shared" si="156"/>
        <v>0</v>
      </c>
      <c r="F248" s="3">
        <f t="shared" si="157"/>
        <v>0</v>
      </c>
      <c r="G248" s="3">
        <f t="shared" si="157"/>
        <v>0</v>
      </c>
      <c r="H248" s="3">
        <f t="shared" si="157"/>
        <v>0</v>
      </c>
      <c r="I248" s="3">
        <f t="shared" si="158"/>
        <v>0</v>
      </c>
      <c r="J248" s="3">
        <f t="shared" si="159"/>
        <v>0</v>
      </c>
      <c r="K248" s="3">
        <f t="shared" si="159"/>
        <v>0</v>
      </c>
      <c r="L248" s="3">
        <f t="shared" si="159"/>
        <v>0</v>
      </c>
      <c r="M248" s="3">
        <f t="shared" si="160"/>
        <v>0</v>
      </c>
      <c r="N248" s="3">
        <f t="shared" si="161"/>
        <v>0</v>
      </c>
      <c r="O248" s="3">
        <f t="shared" si="161"/>
        <v>0</v>
      </c>
      <c r="P248" s="3">
        <f t="shared" si="161"/>
        <v>0</v>
      </c>
      <c r="Q248" s="3">
        <f t="shared" si="162"/>
        <v>0</v>
      </c>
      <c r="R248" s="21">
        <f t="shared" si="163"/>
        <v>0</v>
      </c>
    </row>
    <row r="249" spans="1:18" ht="12.75" hidden="1" outlineLevel="2">
      <c r="A249" s="19" t="s">
        <v>45</v>
      </c>
      <c r="B249" s="3">
        <f t="shared" si="155"/>
        <v>0</v>
      </c>
      <c r="C249" s="3">
        <f t="shared" si="155"/>
        <v>11975.98</v>
      </c>
      <c r="D249" s="3">
        <f t="shared" si="155"/>
        <v>0</v>
      </c>
      <c r="E249" s="3">
        <f t="shared" si="156"/>
        <v>11975.98</v>
      </c>
      <c r="F249" s="3">
        <f t="shared" si="157"/>
        <v>382.99</v>
      </c>
      <c r="G249" s="3">
        <f t="shared" si="157"/>
        <v>0</v>
      </c>
      <c r="H249" s="3">
        <f t="shared" si="157"/>
        <v>0</v>
      </c>
      <c r="I249" s="3">
        <f t="shared" si="158"/>
        <v>382.99</v>
      </c>
      <c r="J249" s="3">
        <f t="shared" si="159"/>
        <v>0</v>
      </c>
      <c r="K249" s="3">
        <f t="shared" si="159"/>
        <v>0</v>
      </c>
      <c r="L249" s="3">
        <f t="shared" si="159"/>
        <v>18554</v>
      </c>
      <c r="M249" s="3">
        <f t="shared" si="160"/>
        <v>18554</v>
      </c>
      <c r="N249" s="3">
        <f t="shared" si="161"/>
        <v>231.99</v>
      </c>
      <c r="O249" s="3">
        <f t="shared" si="161"/>
        <v>0</v>
      </c>
      <c r="P249" s="3">
        <f t="shared" si="161"/>
        <v>727.58</v>
      </c>
      <c r="Q249" s="3">
        <f t="shared" si="162"/>
        <v>959.57</v>
      </c>
      <c r="R249" s="21">
        <f t="shared" si="163"/>
        <v>31872.54</v>
      </c>
    </row>
    <row r="250" spans="1:18" ht="12.75" hidden="1" outlineLevel="2">
      <c r="A250" s="19" t="s">
        <v>46</v>
      </c>
      <c r="B250" s="3">
        <f t="shared" si="155"/>
        <v>0</v>
      </c>
      <c r="C250" s="3">
        <f t="shared" si="155"/>
        <v>0</v>
      </c>
      <c r="D250" s="3">
        <f t="shared" si="155"/>
        <v>0</v>
      </c>
      <c r="E250" s="3">
        <f t="shared" si="156"/>
        <v>0</v>
      </c>
      <c r="F250" s="3">
        <f t="shared" si="157"/>
        <v>0</v>
      </c>
      <c r="G250" s="3">
        <f t="shared" si="157"/>
        <v>0</v>
      </c>
      <c r="H250" s="3">
        <f t="shared" si="157"/>
        <v>0</v>
      </c>
      <c r="I250" s="3">
        <f t="shared" si="158"/>
        <v>0</v>
      </c>
      <c r="J250" s="3">
        <f t="shared" si="159"/>
        <v>0</v>
      </c>
      <c r="K250" s="3">
        <f t="shared" si="159"/>
        <v>0</v>
      </c>
      <c r="L250" s="3">
        <f t="shared" si="159"/>
        <v>0</v>
      </c>
      <c r="M250" s="3">
        <f t="shared" si="160"/>
        <v>0</v>
      </c>
      <c r="N250" s="3">
        <f t="shared" si="161"/>
        <v>0</v>
      </c>
      <c r="O250" s="3">
        <f t="shared" si="161"/>
        <v>0</v>
      </c>
      <c r="P250" s="3">
        <f t="shared" si="161"/>
        <v>0</v>
      </c>
      <c r="Q250" s="3">
        <f t="shared" si="162"/>
        <v>0</v>
      </c>
      <c r="R250" s="21">
        <f t="shared" si="163"/>
        <v>0</v>
      </c>
    </row>
    <row r="251" spans="1:18" ht="12.75" hidden="1" outlineLevel="3">
      <c r="A251" s="19" t="s">
        <v>58</v>
      </c>
      <c r="B251" s="3">
        <f t="shared" si="155"/>
        <v>0</v>
      </c>
      <c r="C251" s="3">
        <f t="shared" si="155"/>
        <v>0</v>
      </c>
      <c r="D251" s="3">
        <f t="shared" si="155"/>
        <v>0</v>
      </c>
      <c r="E251" s="3">
        <f>SUM(B251:D251)</f>
        <v>0</v>
      </c>
      <c r="F251" s="3">
        <f t="shared" si="157"/>
        <v>0</v>
      </c>
      <c r="G251" s="3">
        <f t="shared" si="157"/>
        <v>0</v>
      </c>
      <c r="H251" s="3">
        <f t="shared" si="157"/>
        <v>0</v>
      </c>
      <c r="I251" s="3">
        <f>SUM(F251:H251)</f>
        <v>0</v>
      </c>
      <c r="J251" s="3">
        <f t="shared" si="159"/>
        <v>0</v>
      </c>
      <c r="K251" s="3">
        <f t="shared" si="159"/>
        <v>0</v>
      </c>
      <c r="L251" s="3">
        <f t="shared" si="159"/>
        <v>0</v>
      </c>
      <c r="M251" s="3">
        <f>SUM(J251:L251)</f>
        <v>0</v>
      </c>
      <c r="N251" s="3">
        <f t="shared" si="161"/>
        <v>0</v>
      </c>
      <c r="O251" s="3">
        <f t="shared" si="161"/>
        <v>0</v>
      </c>
      <c r="P251" s="3">
        <f t="shared" si="161"/>
        <v>0</v>
      </c>
      <c r="Q251" s="3">
        <f>SUM(N251:P251)</f>
        <v>0</v>
      </c>
      <c r="R251" s="21">
        <f>Q251+M251+I251+E251</f>
        <v>0</v>
      </c>
    </row>
    <row r="252" spans="1:18" ht="12.75" outlineLevel="1" collapsed="1">
      <c r="A252" s="22" t="s">
        <v>47</v>
      </c>
      <c r="B252" s="3">
        <f aca="true" t="shared" si="164" ref="B252:Q252">SUM(B244:B251)</f>
        <v>0</v>
      </c>
      <c r="C252" s="3">
        <f t="shared" si="164"/>
        <v>13312.77</v>
      </c>
      <c r="D252" s="3">
        <f t="shared" si="164"/>
        <v>0</v>
      </c>
      <c r="E252" s="33">
        <f t="shared" si="164"/>
        <v>13312.77</v>
      </c>
      <c r="F252" s="33">
        <f t="shared" si="164"/>
        <v>382.99</v>
      </c>
      <c r="G252" s="33">
        <f t="shared" si="164"/>
        <v>0</v>
      </c>
      <c r="H252" s="33">
        <f t="shared" si="164"/>
        <v>0</v>
      </c>
      <c r="I252" s="33">
        <f t="shared" si="164"/>
        <v>382.99</v>
      </c>
      <c r="J252" s="33">
        <f t="shared" si="164"/>
        <v>0</v>
      </c>
      <c r="K252" s="33">
        <f t="shared" si="164"/>
        <v>0</v>
      </c>
      <c r="L252" s="33">
        <f t="shared" si="164"/>
        <v>18554</v>
      </c>
      <c r="M252" s="33">
        <f t="shared" si="164"/>
        <v>18554</v>
      </c>
      <c r="N252" s="33">
        <f t="shared" si="164"/>
        <v>231.99</v>
      </c>
      <c r="O252" s="33">
        <f t="shared" si="164"/>
        <v>0</v>
      </c>
      <c r="P252" s="33">
        <f t="shared" si="164"/>
        <v>727.58</v>
      </c>
      <c r="Q252" s="33">
        <f t="shared" si="164"/>
        <v>959.57</v>
      </c>
      <c r="R252" s="34">
        <f>Q252+M252+I252+E252</f>
        <v>33209.33</v>
      </c>
    </row>
    <row r="253" spans="1:18" ht="12.75" hidden="1" outlineLevel="2">
      <c r="A253" s="23" t="s">
        <v>15</v>
      </c>
      <c r="B253" s="3">
        <f aca="true" t="shared" si="165" ref="B253:D260">B233+B213+B193+B173+B153+B133+B113+B93+B73+B53+B33+B13</f>
        <v>7554</v>
      </c>
      <c r="C253" s="3">
        <f t="shared" si="165"/>
        <v>7829.88</v>
      </c>
      <c r="D253" s="3">
        <f t="shared" si="165"/>
        <v>7685.16</v>
      </c>
      <c r="E253" s="3">
        <f t="shared" si="156"/>
        <v>23069.04</v>
      </c>
      <c r="F253" s="3">
        <f aca="true" t="shared" si="166" ref="F253:H260">F233+F213+F193+F173+F153+F133+F113+F93+F73+F53+F33+F13</f>
        <v>7626.84</v>
      </c>
      <c r="G253" s="3">
        <f t="shared" si="166"/>
        <v>7623.12</v>
      </c>
      <c r="H253" s="3">
        <f t="shared" si="166"/>
        <v>7614</v>
      </c>
      <c r="I253" s="3">
        <f aca="true" t="shared" si="167" ref="I253:I262">SUM(F253:H253)</f>
        <v>22863.96</v>
      </c>
      <c r="J253" s="3">
        <f aca="true" t="shared" si="168" ref="J253:L260">J233+J213+J193+J173+J153+J133+J113+J93+J73+J53+J33+J13</f>
        <v>7606.56</v>
      </c>
      <c r="K253" s="3">
        <f t="shared" si="168"/>
        <v>7597.2</v>
      </c>
      <c r="L253" s="3">
        <f t="shared" si="168"/>
        <v>7615.44</v>
      </c>
      <c r="M253" s="3">
        <f aca="true" t="shared" si="169" ref="M253:M262">SUM(J253:L253)</f>
        <v>22819.2</v>
      </c>
      <c r="N253" s="3">
        <f aca="true" t="shared" si="170" ref="N253:P260">N233+N213+N193+N173+N153+N133+N113+N93+N73+N53+N33+N13</f>
        <v>7632.36</v>
      </c>
      <c r="O253" s="3">
        <f t="shared" si="170"/>
        <v>7626.719999999999</v>
      </c>
      <c r="P253" s="3">
        <f t="shared" si="170"/>
        <v>7608.72</v>
      </c>
      <c r="Q253" s="3">
        <f aca="true" t="shared" si="171" ref="Q253:Q262">SUM(N253:P253)</f>
        <v>22867.8</v>
      </c>
      <c r="R253" s="21">
        <f t="shared" si="163"/>
        <v>91620</v>
      </c>
    </row>
    <row r="254" spans="1:18" ht="12.75" hidden="1" outlineLevel="2">
      <c r="A254" s="23" t="s">
        <v>16</v>
      </c>
      <c r="B254" s="3">
        <f t="shared" si="165"/>
        <v>1320</v>
      </c>
      <c r="C254" s="3">
        <f t="shared" si="165"/>
        <v>1320</v>
      </c>
      <c r="D254" s="3">
        <f t="shared" si="165"/>
        <v>1320</v>
      </c>
      <c r="E254" s="3">
        <f t="shared" si="156"/>
        <v>3960</v>
      </c>
      <c r="F254" s="3">
        <f t="shared" si="166"/>
        <v>1320</v>
      </c>
      <c r="G254" s="3">
        <f t="shared" si="166"/>
        <v>1320</v>
      </c>
      <c r="H254" s="3">
        <f t="shared" si="166"/>
        <v>1320</v>
      </c>
      <c r="I254" s="3">
        <f t="shared" si="167"/>
        <v>3960</v>
      </c>
      <c r="J254" s="3">
        <f t="shared" si="168"/>
        <v>1320</v>
      </c>
      <c r="K254" s="3">
        <f t="shared" si="168"/>
        <v>1320</v>
      </c>
      <c r="L254" s="3">
        <f t="shared" si="168"/>
        <v>1320</v>
      </c>
      <c r="M254" s="3">
        <f t="shared" si="169"/>
        <v>3960</v>
      </c>
      <c r="N254" s="3">
        <f t="shared" si="170"/>
        <v>1320</v>
      </c>
      <c r="O254" s="3">
        <f t="shared" si="170"/>
        <v>1320</v>
      </c>
      <c r="P254" s="3">
        <f t="shared" si="170"/>
        <v>1320</v>
      </c>
      <c r="Q254" s="3">
        <f t="shared" si="171"/>
        <v>3960</v>
      </c>
      <c r="R254" s="21">
        <f t="shared" si="163"/>
        <v>15840</v>
      </c>
    </row>
    <row r="255" spans="1:18" ht="12.75" hidden="1" outlineLevel="2">
      <c r="A255" s="23" t="s">
        <v>17</v>
      </c>
      <c r="B255" s="3">
        <f t="shared" si="165"/>
        <v>1366.17</v>
      </c>
      <c r="C255" s="3">
        <f t="shared" si="165"/>
        <v>1049.77</v>
      </c>
      <c r="D255" s="3">
        <f t="shared" si="165"/>
        <v>898.3499999999999</v>
      </c>
      <c r="E255" s="3">
        <f t="shared" si="156"/>
        <v>3314.29</v>
      </c>
      <c r="F255" s="3">
        <f t="shared" si="166"/>
        <v>528.8399999999999</v>
      </c>
      <c r="G255" s="3">
        <f t="shared" si="166"/>
        <v>437.30999999999995</v>
      </c>
      <c r="H255" s="3">
        <f t="shared" si="166"/>
        <v>494.94</v>
      </c>
      <c r="I255" s="3">
        <f t="shared" si="167"/>
        <v>1461.09</v>
      </c>
      <c r="J255" s="3">
        <f t="shared" si="168"/>
        <v>412.45</v>
      </c>
      <c r="K255" s="3">
        <f t="shared" si="168"/>
        <v>736.76</v>
      </c>
      <c r="L255" s="3">
        <f t="shared" si="168"/>
        <v>1029.4299999999998</v>
      </c>
      <c r="M255" s="3">
        <f t="shared" si="169"/>
        <v>2178.64</v>
      </c>
      <c r="N255" s="3">
        <f t="shared" si="170"/>
        <v>771.79</v>
      </c>
      <c r="O255" s="3">
        <f t="shared" si="170"/>
        <v>545.79</v>
      </c>
      <c r="P255" s="3">
        <f t="shared" si="170"/>
        <v>474.6</v>
      </c>
      <c r="Q255" s="3">
        <f t="shared" si="171"/>
        <v>1792.1799999999998</v>
      </c>
      <c r="R255" s="21">
        <f t="shared" si="163"/>
        <v>8746.2</v>
      </c>
    </row>
    <row r="256" spans="1:18" ht="12.75" hidden="1" outlineLevel="2">
      <c r="A256" s="25" t="s">
        <v>18</v>
      </c>
      <c r="B256" s="3">
        <f t="shared" si="165"/>
        <v>0</v>
      </c>
      <c r="C256" s="3">
        <f t="shared" si="165"/>
        <v>550.8199999999999</v>
      </c>
      <c r="D256" s="3">
        <f t="shared" si="165"/>
        <v>552.98</v>
      </c>
      <c r="E256" s="3">
        <f t="shared" si="156"/>
        <v>1103.8</v>
      </c>
      <c r="F256" s="3">
        <f t="shared" si="166"/>
        <v>2467.14</v>
      </c>
      <c r="G256" s="3">
        <f t="shared" si="166"/>
        <v>0</v>
      </c>
      <c r="H256" s="3">
        <f t="shared" si="166"/>
        <v>1036.8</v>
      </c>
      <c r="I256" s="3">
        <f t="shared" si="167"/>
        <v>3503.9399999999996</v>
      </c>
      <c r="J256" s="3">
        <f t="shared" si="168"/>
        <v>632.14</v>
      </c>
      <c r="K256" s="3">
        <f t="shared" si="168"/>
        <v>613.04</v>
      </c>
      <c r="L256" s="3">
        <f t="shared" si="168"/>
        <v>1279.73</v>
      </c>
      <c r="M256" s="3">
        <f t="shared" si="169"/>
        <v>2524.91</v>
      </c>
      <c r="N256" s="3">
        <f t="shared" si="170"/>
        <v>677.75</v>
      </c>
      <c r="O256" s="3">
        <f t="shared" si="170"/>
        <v>608.46</v>
      </c>
      <c r="P256" s="3">
        <f t="shared" si="170"/>
        <v>0</v>
      </c>
      <c r="Q256" s="3">
        <f t="shared" si="171"/>
        <v>1286.21</v>
      </c>
      <c r="R256" s="21">
        <f t="shared" si="163"/>
        <v>8418.859999999999</v>
      </c>
    </row>
    <row r="257" spans="1:18" ht="12.75" hidden="1" outlineLevel="2">
      <c r="A257" s="23" t="s">
        <v>19</v>
      </c>
      <c r="B257" s="3">
        <f t="shared" si="165"/>
        <v>102.3</v>
      </c>
      <c r="C257" s="3">
        <f t="shared" si="165"/>
        <v>306.90000000000003</v>
      </c>
      <c r="D257" s="3">
        <f t="shared" si="165"/>
        <v>571.02</v>
      </c>
      <c r="E257" s="3">
        <f t="shared" si="156"/>
        <v>980.22</v>
      </c>
      <c r="F257" s="3">
        <f t="shared" si="166"/>
        <v>119.03999999999999</v>
      </c>
      <c r="G257" s="3">
        <f t="shared" si="166"/>
        <v>82.77</v>
      </c>
      <c r="H257" s="3">
        <f t="shared" si="166"/>
        <v>81.84</v>
      </c>
      <c r="I257" s="3">
        <f t="shared" si="167"/>
        <v>283.65</v>
      </c>
      <c r="J257" s="3">
        <f t="shared" si="168"/>
        <v>82.77</v>
      </c>
      <c r="K257" s="3">
        <f t="shared" si="168"/>
        <v>87.42</v>
      </c>
      <c r="L257" s="3">
        <f t="shared" si="168"/>
        <v>117.18</v>
      </c>
      <c r="M257" s="3">
        <f t="shared" si="169"/>
        <v>287.37</v>
      </c>
      <c r="N257" s="3">
        <f t="shared" si="170"/>
        <v>93.92999999999999</v>
      </c>
      <c r="O257" s="3">
        <f t="shared" si="170"/>
        <v>96.72</v>
      </c>
      <c r="P257" s="3">
        <f t="shared" si="170"/>
        <v>81.84</v>
      </c>
      <c r="Q257" s="3">
        <f t="shared" si="171"/>
        <v>272.49</v>
      </c>
      <c r="R257" s="21">
        <f t="shared" si="163"/>
        <v>1823.73</v>
      </c>
    </row>
    <row r="258" spans="1:18" ht="12.75" hidden="1" outlineLevel="2">
      <c r="A258" s="23" t="s">
        <v>20</v>
      </c>
      <c r="B258" s="3">
        <f t="shared" si="165"/>
        <v>434.5</v>
      </c>
      <c r="C258" s="3">
        <f t="shared" si="165"/>
        <v>933.19</v>
      </c>
      <c r="D258" s="3">
        <f t="shared" si="165"/>
        <v>1574.98</v>
      </c>
      <c r="E258" s="3">
        <f t="shared" si="156"/>
        <v>2942.67</v>
      </c>
      <c r="F258" s="3">
        <f t="shared" si="166"/>
        <v>703.9</v>
      </c>
      <c r="G258" s="3">
        <f t="shared" si="166"/>
        <v>393.87</v>
      </c>
      <c r="H258" s="3">
        <f t="shared" si="166"/>
        <v>401.63</v>
      </c>
      <c r="I258" s="3">
        <f t="shared" si="167"/>
        <v>1499.4</v>
      </c>
      <c r="J258" s="3">
        <f t="shared" si="168"/>
        <v>258.40999999999997</v>
      </c>
      <c r="K258" s="3">
        <f t="shared" si="168"/>
        <v>444.18</v>
      </c>
      <c r="L258" s="3">
        <f t="shared" si="168"/>
        <v>867.143</v>
      </c>
      <c r="M258" s="3">
        <f t="shared" si="169"/>
        <v>1569.733</v>
      </c>
      <c r="N258" s="3">
        <f t="shared" si="170"/>
        <v>452.71999999999997</v>
      </c>
      <c r="O258" s="3">
        <f t="shared" si="170"/>
        <v>305.63</v>
      </c>
      <c r="P258" s="3">
        <f t="shared" si="170"/>
        <v>333.10999999999996</v>
      </c>
      <c r="Q258" s="3">
        <f t="shared" si="171"/>
        <v>1091.4599999999998</v>
      </c>
      <c r="R258" s="21">
        <f t="shared" si="163"/>
        <v>7103.263</v>
      </c>
    </row>
    <row r="259" spans="1:18" ht="12.75" hidden="1" outlineLevel="2">
      <c r="A259" s="23" t="s">
        <v>21</v>
      </c>
      <c r="B259" s="3">
        <f t="shared" si="165"/>
        <v>1850</v>
      </c>
      <c r="C259" s="3">
        <f t="shared" si="165"/>
        <v>1480</v>
      </c>
      <c r="D259" s="3">
        <f t="shared" si="165"/>
        <v>1480</v>
      </c>
      <c r="E259" s="3">
        <f t="shared" si="156"/>
        <v>4810</v>
      </c>
      <c r="F259" s="3">
        <f t="shared" si="166"/>
        <v>1480</v>
      </c>
      <c r="G259" s="3">
        <f t="shared" si="166"/>
        <v>1480</v>
      </c>
      <c r="H259" s="3">
        <f t="shared" si="166"/>
        <v>1480</v>
      </c>
      <c r="I259" s="3">
        <f t="shared" si="167"/>
        <v>4440</v>
      </c>
      <c r="J259" s="3">
        <f t="shared" si="168"/>
        <v>1480</v>
      </c>
      <c r="K259" s="3">
        <f t="shared" si="168"/>
        <v>1480</v>
      </c>
      <c r="L259" s="3">
        <f t="shared" si="168"/>
        <v>1110</v>
      </c>
      <c r="M259" s="3">
        <f t="shared" si="169"/>
        <v>4070</v>
      </c>
      <c r="N259" s="3">
        <f t="shared" si="170"/>
        <v>1110</v>
      </c>
      <c r="O259" s="3">
        <f t="shared" si="170"/>
        <v>1110</v>
      </c>
      <c r="P259" s="3">
        <f t="shared" si="170"/>
        <v>1110</v>
      </c>
      <c r="Q259" s="3">
        <f t="shared" si="171"/>
        <v>3330</v>
      </c>
      <c r="R259" s="21">
        <f t="shared" si="163"/>
        <v>16650</v>
      </c>
    </row>
    <row r="260" spans="1:18" ht="12.75" hidden="1" outlineLevel="2">
      <c r="A260" s="23" t="s">
        <v>22</v>
      </c>
      <c r="B260" s="3">
        <f t="shared" si="165"/>
        <v>157.62</v>
      </c>
      <c r="C260" s="3">
        <f t="shared" si="165"/>
        <v>163.04</v>
      </c>
      <c r="D260" s="3">
        <f t="shared" si="165"/>
        <v>72.42</v>
      </c>
      <c r="E260" s="3">
        <f t="shared" si="156"/>
        <v>393.08</v>
      </c>
      <c r="F260" s="3">
        <f t="shared" si="166"/>
        <v>298.20000000000005</v>
      </c>
      <c r="G260" s="3">
        <f t="shared" si="166"/>
        <v>102.24</v>
      </c>
      <c r="H260" s="3">
        <f t="shared" si="166"/>
        <v>144.84</v>
      </c>
      <c r="I260" s="3">
        <f t="shared" si="167"/>
        <v>545.2800000000001</v>
      </c>
      <c r="J260" s="3">
        <f t="shared" si="168"/>
        <v>178.92</v>
      </c>
      <c r="K260" s="3">
        <f t="shared" si="168"/>
        <v>157.62</v>
      </c>
      <c r="L260" s="3">
        <f t="shared" si="168"/>
        <v>230.04</v>
      </c>
      <c r="M260" s="3">
        <f t="shared" si="169"/>
        <v>566.5799999999999</v>
      </c>
      <c r="N260" s="3">
        <f t="shared" si="170"/>
        <v>242.82</v>
      </c>
      <c r="O260" s="3">
        <f t="shared" si="170"/>
        <v>89.46</v>
      </c>
      <c r="P260" s="3">
        <f t="shared" si="170"/>
        <v>144.84</v>
      </c>
      <c r="Q260" s="3">
        <f t="shared" si="171"/>
        <v>477.12</v>
      </c>
      <c r="R260" s="21">
        <f t="shared" si="163"/>
        <v>1982.06</v>
      </c>
    </row>
    <row r="261" spans="1:18" ht="12.75" outlineLevel="1" collapsed="1">
      <c r="A261" s="28" t="s">
        <v>50</v>
      </c>
      <c r="B261" s="43">
        <f>SUM(B253:B260)</f>
        <v>12784.59</v>
      </c>
      <c r="C261" s="43">
        <f>SUM(C253:C260)</f>
        <v>13633.600000000002</v>
      </c>
      <c r="D261" s="43">
        <f>SUM(D253:D260)</f>
        <v>14154.91</v>
      </c>
      <c r="E261" s="43">
        <f t="shared" si="156"/>
        <v>40573.100000000006</v>
      </c>
      <c r="F261" s="43">
        <f>SUM(F253:F260)</f>
        <v>14543.960000000001</v>
      </c>
      <c r="G261" s="43">
        <f>SUM(G253:G260)</f>
        <v>11439.31</v>
      </c>
      <c r="H261" s="43">
        <f>SUM(H253:H260)</f>
        <v>12574.05</v>
      </c>
      <c r="I261" s="43">
        <f t="shared" si="167"/>
        <v>38557.32</v>
      </c>
      <c r="J261" s="43">
        <f>SUM(J253:J260)</f>
        <v>11971.250000000002</v>
      </c>
      <c r="K261" s="43">
        <f>SUM(K253:K260)</f>
        <v>12436.220000000001</v>
      </c>
      <c r="L261" s="43">
        <f>SUM(L253:L260)</f>
        <v>13568.963</v>
      </c>
      <c r="M261" s="43">
        <f t="shared" si="169"/>
        <v>37976.433000000005</v>
      </c>
      <c r="N261" s="43">
        <f>SUM(N253:N260)</f>
        <v>12301.37</v>
      </c>
      <c r="O261" s="43">
        <f>SUM(O253:O260)</f>
        <v>11702.779999999995</v>
      </c>
      <c r="P261" s="43">
        <f>SUM(P253:P260)</f>
        <v>11073.110000000002</v>
      </c>
      <c r="Q261" s="43">
        <f t="shared" si="171"/>
        <v>35077.259999999995</v>
      </c>
      <c r="R261" s="44">
        <f>Q261+M261+I261+E261</f>
        <v>152184.113</v>
      </c>
    </row>
    <row r="262" spans="1:21" ht="13.5" thickBot="1">
      <c r="A262" s="30" t="s">
        <v>48</v>
      </c>
      <c r="B262" s="49">
        <f>B261+B252</f>
        <v>12784.59</v>
      </c>
      <c r="C262" s="49">
        <f>C261+C252</f>
        <v>26946.370000000003</v>
      </c>
      <c r="D262" s="49">
        <f>D261+D252</f>
        <v>14154.91</v>
      </c>
      <c r="E262" s="49">
        <f t="shared" si="156"/>
        <v>53885.87000000001</v>
      </c>
      <c r="F262" s="49">
        <f>F261+F252</f>
        <v>14926.95</v>
      </c>
      <c r="G262" s="49">
        <f>G261+G252</f>
        <v>11439.31</v>
      </c>
      <c r="H262" s="49">
        <f>H261+H252</f>
        <v>12574.05</v>
      </c>
      <c r="I262" s="49">
        <f t="shared" si="167"/>
        <v>38940.31</v>
      </c>
      <c r="J262" s="49">
        <f>J261+J252</f>
        <v>11971.250000000002</v>
      </c>
      <c r="K262" s="49">
        <f>K261+K252</f>
        <v>12436.220000000001</v>
      </c>
      <c r="L262" s="49">
        <f>L261+L252</f>
        <v>32122.963</v>
      </c>
      <c r="M262" s="49">
        <f t="shared" si="169"/>
        <v>56530.433000000005</v>
      </c>
      <c r="N262" s="49">
        <f>N261+N252</f>
        <v>12533.36</v>
      </c>
      <c r="O262" s="49">
        <f>O261+O252</f>
        <v>11702.779999999995</v>
      </c>
      <c r="P262" s="49">
        <f>P261+P252</f>
        <v>11800.690000000002</v>
      </c>
      <c r="Q262" s="49">
        <f t="shared" si="171"/>
        <v>36036.83</v>
      </c>
      <c r="R262" s="44">
        <f>Q262+M262+I262+E262</f>
        <v>185393.44300000003</v>
      </c>
      <c r="S262" s="53">
        <f>((B253/0.12)+(C253/0.12)+(D253/0.12)+(F253/0.12)+(G253/0.12)+(H253/0.12)+(J253/0.12)+(K253/0.12)+(L253/0.12)+(N253/0.12)+(O253/0.12)+(P253/0.12))/12</f>
        <v>63625</v>
      </c>
      <c r="T262" s="54">
        <f>R262/S262</f>
        <v>2.9138458624754424</v>
      </c>
      <c r="U262" s="56">
        <f>R255/R262</f>
        <v>0.04717642575956691</v>
      </c>
    </row>
  </sheetData>
  <printOptions/>
  <pageMargins left="0.75" right="0.62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2" sqref="B12"/>
    </sheetView>
  </sheetViews>
  <sheetFormatPr defaultColWidth="9.140625" defaultRowHeight="12.75" outlineLevelRow="3" outlineLevelCol="2"/>
  <cols>
    <col min="1" max="1" width="19.28125" style="0" customWidth="1"/>
    <col min="2" max="4" width="8.7109375" style="0" hidden="1" customWidth="1" outlineLevel="2"/>
    <col min="5" max="5" width="8.7109375" style="0" customWidth="1" outlineLevel="1" collapsed="1"/>
    <col min="6" max="7" width="8.7109375" style="0" hidden="1" customWidth="1" outlineLevel="2"/>
    <col min="8" max="8" width="9.7109375" style="0" hidden="1" customWidth="1" outlineLevel="2"/>
    <col min="9" max="9" width="9.7109375" style="0" customWidth="1" outlineLevel="1" collapsed="1"/>
    <col min="10" max="10" width="8.7109375" style="0" hidden="1" customWidth="1" outlineLevel="2"/>
    <col min="11" max="11" width="9.28125" style="0" hidden="1" customWidth="1" outlineLevel="2"/>
    <col min="12" max="12" width="8.7109375" style="0" hidden="1" customWidth="1" outlineLevel="2"/>
    <col min="13" max="13" width="9.140625" style="0" customWidth="1" outlineLevel="1" collapsed="1"/>
    <col min="14" max="16" width="8.7109375" style="0" hidden="1" customWidth="1" outlineLevel="2"/>
    <col min="17" max="17" width="8.7109375" style="0" customWidth="1" outlineLevel="1" collapsed="1"/>
    <col min="18" max="18" width="11.421875" style="0" customWidth="1"/>
    <col min="19" max="19" width="10.57421875" style="0" customWidth="1"/>
    <col min="20" max="20" width="9.8515625" style="0" customWidth="1"/>
    <col min="21" max="21" width="8.421875" style="0" customWidth="1"/>
    <col min="22" max="22" width="10.421875" style="0" customWidth="1"/>
  </cols>
  <sheetData>
    <row r="1" ht="18.75" thickBot="1">
      <c r="A1" s="1" t="s">
        <v>0</v>
      </c>
    </row>
    <row r="2" spans="1:22" ht="64.5" thickBot="1">
      <c r="A2" s="15" t="s">
        <v>60</v>
      </c>
      <c r="B2" s="9" t="s">
        <v>5</v>
      </c>
      <c r="C2" s="6" t="s">
        <v>6</v>
      </c>
      <c r="D2" s="10" t="s">
        <v>7</v>
      </c>
      <c r="E2" s="7" t="s">
        <v>23</v>
      </c>
      <c r="F2" s="9" t="s">
        <v>2</v>
      </c>
      <c r="G2" s="10" t="s">
        <v>3</v>
      </c>
      <c r="H2" s="10" t="s">
        <v>8</v>
      </c>
      <c r="I2" s="7" t="s">
        <v>24</v>
      </c>
      <c r="J2" s="9" t="s">
        <v>9</v>
      </c>
      <c r="K2" s="6" t="s">
        <v>10</v>
      </c>
      <c r="L2" s="10" t="s">
        <v>11</v>
      </c>
      <c r="M2" s="7" t="s">
        <v>25</v>
      </c>
      <c r="N2" s="9" t="s">
        <v>12</v>
      </c>
      <c r="O2" s="6" t="s">
        <v>13</v>
      </c>
      <c r="P2" s="10" t="s">
        <v>14</v>
      </c>
      <c r="Q2" s="7" t="s">
        <v>26</v>
      </c>
      <c r="R2" s="8" t="s">
        <v>4</v>
      </c>
      <c r="S2" s="55" t="s">
        <v>53</v>
      </c>
      <c r="T2" s="55" t="s">
        <v>52</v>
      </c>
      <c r="U2" s="57" t="s">
        <v>54</v>
      </c>
      <c r="V2" s="58" t="s">
        <v>55</v>
      </c>
    </row>
    <row r="3" spans="1:18" ht="12.75" outlineLevel="1">
      <c r="A3" s="16" t="s">
        <v>1</v>
      </c>
      <c r="B3" s="17"/>
      <c r="C3" s="17"/>
      <c r="D3" s="17"/>
      <c r="E3" s="61"/>
      <c r="F3" s="17"/>
      <c r="G3" s="17"/>
      <c r="H3" s="17"/>
      <c r="I3" s="61"/>
      <c r="J3" s="17"/>
      <c r="K3" s="17"/>
      <c r="L3" s="17"/>
      <c r="M3" s="61"/>
      <c r="N3" s="17"/>
      <c r="O3" s="17"/>
      <c r="P3" s="17"/>
      <c r="Q3" s="61"/>
      <c r="R3" s="18"/>
    </row>
    <row r="4" spans="1:18" ht="12.75" hidden="1" outlineLevel="3">
      <c r="A4" s="19" t="s">
        <v>40</v>
      </c>
      <c r="B4" s="62"/>
      <c r="C4" s="62"/>
      <c r="D4" s="62"/>
      <c r="E4" s="35">
        <f aca="true" t="shared" si="0" ref="E4:E11">SUM(B4:D4)</f>
        <v>0</v>
      </c>
      <c r="F4" s="52"/>
      <c r="G4" s="52"/>
      <c r="H4" s="52"/>
      <c r="I4" s="35">
        <f aca="true" t="shared" si="1" ref="I4:I11">SUM(F4:H4)</f>
        <v>0</v>
      </c>
      <c r="J4" s="20"/>
      <c r="K4" s="20"/>
      <c r="L4" s="20"/>
      <c r="M4" s="35">
        <f aca="true" t="shared" si="2" ref="M4:M11">SUM(J4:L4)</f>
        <v>0</v>
      </c>
      <c r="N4" s="51"/>
      <c r="O4" s="51"/>
      <c r="P4" s="51"/>
      <c r="Q4" s="35">
        <f aca="true" t="shared" si="3" ref="Q4:Q11">SUM(N4:P4)</f>
        <v>0</v>
      </c>
      <c r="R4" s="34">
        <f aca="true" t="shared" si="4" ref="R4:R22">Q4+M4+I4+E4</f>
        <v>0</v>
      </c>
    </row>
    <row r="5" spans="1:18" ht="12.75" hidden="1" outlineLevel="3">
      <c r="A5" s="19" t="s">
        <v>41</v>
      </c>
      <c r="B5" s="62"/>
      <c r="C5" s="62"/>
      <c r="D5" s="62"/>
      <c r="E5" s="35">
        <f t="shared" si="0"/>
        <v>0</v>
      </c>
      <c r="F5" s="52"/>
      <c r="G5" s="52"/>
      <c r="H5" s="52"/>
      <c r="I5" s="35">
        <f t="shared" si="1"/>
        <v>0</v>
      </c>
      <c r="J5" s="20"/>
      <c r="K5" s="20"/>
      <c r="L5" s="20"/>
      <c r="M5" s="35">
        <f t="shared" si="2"/>
        <v>0</v>
      </c>
      <c r="N5" s="51"/>
      <c r="O5" s="51"/>
      <c r="P5" s="51"/>
      <c r="Q5" s="35">
        <f t="shared" si="3"/>
        <v>0</v>
      </c>
      <c r="R5" s="34">
        <f t="shared" si="4"/>
        <v>0</v>
      </c>
    </row>
    <row r="6" spans="1:18" ht="12.75" hidden="1" outlineLevel="3">
      <c r="A6" s="19" t="s">
        <v>42</v>
      </c>
      <c r="B6" s="62"/>
      <c r="C6" s="62"/>
      <c r="D6" s="62"/>
      <c r="E6" s="35">
        <f t="shared" si="0"/>
        <v>0</v>
      </c>
      <c r="F6" s="52"/>
      <c r="G6" s="52"/>
      <c r="H6" s="52"/>
      <c r="I6" s="35">
        <f t="shared" si="1"/>
        <v>0</v>
      </c>
      <c r="J6" s="20"/>
      <c r="K6" s="20"/>
      <c r="L6" s="20"/>
      <c r="M6" s="35">
        <f t="shared" si="2"/>
        <v>0</v>
      </c>
      <c r="N6" s="51"/>
      <c r="O6" s="51"/>
      <c r="P6" s="51"/>
      <c r="Q6" s="35">
        <f t="shared" si="3"/>
        <v>0</v>
      </c>
      <c r="R6" s="34">
        <f t="shared" si="4"/>
        <v>0</v>
      </c>
    </row>
    <row r="7" spans="1:18" ht="12.75" hidden="1" outlineLevel="3">
      <c r="A7" s="19" t="s">
        <v>43</v>
      </c>
      <c r="B7" s="62"/>
      <c r="C7" s="62"/>
      <c r="D7" s="62"/>
      <c r="E7" s="35">
        <f t="shared" si="0"/>
        <v>0</v>
      </c>
      <c r="F7" s="52"/>
      <c r="G7" s="52"/>
      <c r="H7" s="52"/>
      <c r="I7" s="35">
        <f t="shared" si="1"/>
        <v>0</v>
      </c>
      <c r="J7" s="20"/>
      <c r="K7" s="20"/>
      <c r="L7" s="20"/>
      <c r="M7" s="35">
        <f t="shared" si="2"/>
        <v>0</v>
      </c>
      <c r="N7" s="51"/>
      <c r="O7" s="51"/>
      <c r="P7" s="51"/>
      <c r="Q7" s="35">
        <f t="shared" si="3"/>
        <v>0</v>
      </c>
      <c r="R7" s="34">
        <f t="shared" si="4"/>
        <v>0</v>
      </c>
    </row>
    <row r="8" spans="1:18" ht="12.75" hidden="1" outlineLevel="3">
      <c r="A8" s="19" t="s">
        <v>44</v>
      </c>
      <c r="B8" s="62"/>
      <c r="C8" s="62"/>
      <c r="D8" s="62"/>
      <c r="E8" s="35">
        <f t="shared" si="0"/>
        <v>0</v>
      </c>
      <c r="F8" s="52"/>
      <c r="G8" s="52"/>
      <c r="H8" s="52"/>
      <c r="I8" s="35">
        <f t="shared" si="1"/>
        <v>0</v>
      </c>
      <c r="J8" s="20"/>
      <c r="K8" s="20"/>
      <c r="L8" s="20"/>
      <c r="M8" s="35">
        <f t="shared" si="2"/>
        <v>0</v>
      </c>
      <c r="N8" s="51"/>
      <c r="O8" s="51"/>
      <c r="P8" s="51"/>
      <c r="Q8" s="35">
        <f t="shared" si="3"/>
        <v>0</v>
      </c>
      <c r="R8" s="34">
        <f t="shared" si="4"/>
        <v>0</v>
      </c>
    </row>
    <row r="9" spans="1:18" ht="12.75" hidden="1" outlineLevel="3">
      <c r="A9" s="19" t="s">
        <v>45</v>
      </c>
      <c r="B9" s="62">
        <v>-560.7</v>
      </c>
      <c r="C9" s="62"/>
      <c r="D9" s="62"/>
      <c r="E9" s="35">
        <f t="shared" si="0"/>
        <v>-560.7</v>
      </c>
      <c r="F9" s="62"/>
      <c r="G9" s="62"/>
      <c r="H9" s="62"/>
      <c r="I9" s="35">
        <f t="shared" si="1"/>
        <v>0</v>
      </c>
      <c r="J9" s="62"/>
      <c r="K9" s="62"/>
      <c r="L9" s="62"/>
      <c r="M9" s="35">
        <f t="shared" si="2"/>
        <v>0</v>
      </c>
      <c r="N9" s="62"/>
      <c r="O9" s="62"/>
      <c r="P9" s="62"/>
      <c r="Q9" s="35">
        <f t="shared" si="3"/>
        <v>0</v>
      </c>
      <c r="R9" s="34">
        <f t="shared" si="4"/>
        <v>-560.7</v>
      </c>
    </row>
    <row r="10" spans="1:18" ht="12.75" hidden="1" outlineLevel="3">
      <c r="A10" s="19" t="s">
        <v>46</v>
      </c>
      <c r="B10" s="62"/>
      <c r="C10" s="62"/>
      <c r="D10" s="62"/>
      <c r="E10" s="35">
        <f t="shared" si="0"/>
        <v>0</v>
      </c>
      <c r="F10" s="52"/>
      <c r="G10" s="52"/>
      <c r="H10" s="52"/>
      <c r="I10" s="35">
        <f t="shared" si="1"/>
        <v>0</v>
      </c>
      <c r="J10" s="20"/>
      <c r="K10" s="20"/>
      <c r="L10" s="20"/>
      <c r="M10" s="35">
        <f t="shared" si="2"/>
        <v>0</v>
      </c>
      <c r="N10" s="51"/>
      <c r="O10" s="51"/>
      <c r="P10" s="51"/>
      <c r="Q10" s="35">
        <f t="shared" si="3"/>
        <v>0</v>
      </c>
      <c r="R10" s="34">
        <f t="shared" si="4"/>
        <v>0</v>
      </c>
    </row>
    <row r="11" spans="1:18" ht="12.75" hidden="1" outlineLevel="3">
      <c r="A11" s="19" t="s">
        <v>58</v>
      </c>
      <c r="B11" s="62"/>
      <c r="C11" s="62"/>
      <c r="D11" s="62"/>
      <c r="E11" s="35">
        <f t="shared" si="0"/>
        <v>0</v>
      </c>
      <c r="F11" s="52"/>
      <c r="G11" s="52"/>
      <c r="H11" s="52"/>
      <c r="I11" s="35">
        <f t="shared" si="1"/>
        <v>0</v>
      </c>
      <c r="J11" s="20"/>
      <c r="K11" s="20"/>
      <c r="L11" s="20">
        <v>103.61</v>
      </c>
      <c r="M11" s="35">
        <f t="shared" si="2"/>
        <v>103.61</v>
      </c>
      <c r="N11" s="51"/>
      <c r="O11" s="51"/>
      <c r="P11" s="51"/>
      <c r="Q11" s="35">
        <f t="shared" si="3"/>
        <v>0</v>
      </c>
      <c r="R11" s="34">
        <f t="shared" si="4"/>
        <v>103.61</v>
      </c>
    </row>
    <row r="12" spans="1:18" s="70" customFormat="1" ht="12.75" hidden="1" outlineLevel="2" collapsed="1">
      <c r="A12" s="22" t="s">
        <v>47</v>
      </c>
      <c r="B12" s="33">
        <f aca="true" t="shared" si="5" ref="B12:Q12">SUM(B4:B11)</f>
        <v>-560.7</v>
      </c>
      <c r="C12" s="33">
        <f t="shared" si="5"/>
        <v>0</v>
      </c>
      <c r="D12" s="33">
        <f t="shared" si="5"/>
        <v>0</v>
      </c>
      <c r="E12" s="33">
        <f t="shared" si="5"/>
        <v>-560.7</v>
      </c>
      <c r="F12" s="33">
        <f t="shared" si="5"/>
        <v>0</v>
      </c>
      <c r="G12" s="33">
        <f t="shared" si="5"/>
        <v>0</v>
      </c>
      <c r="H12" s="33">
        <f t="shared" si="5"/>
        <v>0</v>
      </c>
      <c r="I12" s="33">
        <f t="shared" si="5"/>
        <v>0</v>
      </c>
      <c r="J12" s="33">
        <f t="shared" si="5"/>
        <v>0</v>
      </c>
      <c r="K12" s="33">
        <f t="shared" si="5"/>
        <v>0</v>
      </c>
      <c r="L12" s="33">
        <f t="shared" si="5"/>
        <v>103.61</v>
      </c>
      <c r="M12" s="33">
        <f t="shared" si="5"/>
        <v>103.61</v>
      </c>
      <c r="N12" s="33">
        <f t="shared" si="5"/>
        <v>0</v>
      </c>
      <c r="O12" s="33">
        <f t="shared" si="5"/>
        <v>0</v>
      </c>
      <c r="P12" s="33">
        <f t="shared" si="5"/>
        <v>0</v>
      </c>
      <c r="Q12" s="33">
        <f t="shared" si="5"/>
        <v>0</v>
      </c>
      <c r="R12" s="34">
        <f t="shared" si="4"/>
        <v>-457.09000000000003</v>
      </c>
    </row>
    <row r="13" spans="1:18" ht="12.75" hidden="1" outlineLevel="3">
      <c r="A13" s="23" t="s">
        <v>15</v>
      </c>
      <c r="B13" s="62">
        <v>5951.52</v>
      </c>
      <c r="C13" s="62">
        <v>5944.8</v>
      </c>
      <c r="D13" s="62">
        <v>5939.4</v>
      </c>
      <c r="E13" s="35">
        <f aca="true" t="shared" si="6" ref="E13:E20">SUM(B13:D13)</f>
        <v>17835.72</v>
      </c>
      <c r="F13" s="38">
        <v>5894.4</v>
      </c>
      <c r="G13" s="38">
        <v>5892.72</v>
      </c>
      <c r="H13" s="38">
        <v>5886</v>
      </c>
      <c r="I13" s="35">
        <f aca="true" t="shared" si="7" ref="I13:I20">SUM(F13:H13)</f>
        <v>17673.12</v>
      </c>
      <c r="J13" s="38">
        <v>5883.48</v>
      </c>
      <c r="K13" s="38">
        <v>5875.68</v>
      </c>
      <c r="L13" s="38">
        <v>5869.08</v>
      </c>
      <c r="M13" s="35">
        <f aca="true" t="shared" si="8" ref="M13:M20">SUM(J13:L13)</f>
        <v>17628.239999999998</v>
      </c>
      <c r="N13" s="38">
        <v>5864.52</v>
      </c>
      <c r="O13" s="38">
        <v>5852.64</v>
      </c>
      <c r="P13" s="38">
        <v>5855.64</v>
      </c>
      <c r="Q13" s="35">
        <f aca="true" t="shared" si="9" ref="Q13:Q20">SUM(N13:P13)</f>
        <v>17572.8</v>
      </c>
      <c r="R13" s="72">
        <f t="shared" si="4"/>
        <v>70709.87999999999</v>
      </c>
    </row>
    <row r="14" spans="1:18" ht="12.75" hidden="1" outlineLevel="3">
      <c r="A14" s="23" t="s">
        <v>16</v>
      </c>
      <c r="B14" s="62">
        <v>990</v>
      </c>
      <c r="C14" s="62">
        <v>990</v>
      </c>
      <c r="D14" s="62">
        <v>990</v>
      </c>
      <c r="E14" s="35">
        <f t="shared" si="6"/>
        <v>2970</v>
      </c>
      <c r="F14" s="38">
        <v>990</v>
      </c>
      <c r="G14" s="38">
        <v>990</v>
      </c>
      <c r="H14" s="38">
        <v>990</v>
      </c>
      <c r="I14" s="35">
        <f t="shared" si="7"/>
        <v>2970</v>
      </c>
      <c r="J14" s="38">
        <v>990</v>
      </c>
      <c r="K14" s="38">
        <v>990</v>
      </c>
      <c r="L14" s="38">
        <v>990</v>
      </c>
      <c r="M14" s="35">
        <f t="shared" si="8"/>
        <v>2970</v>
      </c>
      <c r="N14" s="38">
        <v>990</v>
      </c>
      <c r="O14" s="38">
        <v>990</v>
      </c>
      <c r="P14" s="38">
        <v>990</v>
      </c>
      <c r="Q14" s="35">
        <f t="shared" si="9"/>
        <v>2970</v>
      </c>
      <c r="R14" s="72">
        <f t="shared" si="4"/>
        <v>11880</v>
      </c>
    </row>
    <row r="15" spans="1:18" ht="12.75" hidden="1" outlineLevel="3">
      <c r="A15" s="23" t="s">
        <v>17</v>
      </c>
      <c r="B15" s="62">
        <v>811.34</v>
      </c>
      <c r="C15" s="62">
        <v>1079.15</v>
      </c>
      <c r="D15" s="62">
        <v>581.95</v>
      </c>
      <c r="E15" s="35">
        <f t="shared" si="6"/>
        <v>2472.4400000000005</v>
      </c>
      <c r="F15" s="38">
        <v>420.36</v>
      </c>
      <c r="G15" s="38">
        <v>301.71</v>
      </c>
      <c r="H15" s="38">
        <v>801.17</v>
      </c>
      <c r="I15" s="35">
        <f t="shared" si="7"/>
        <v>1523.2399999999998</v>
      </c>
      <c r="J15" s="38">
        <v>787.61</v>
      </c>
      <c r="K15" s="38">
        <v>1144.69</v>
      </c>
      <c r="L15" s="38">
        <v>1226.05</v>
      </c>
      <c r="M15" s="35">
        <f t="shared" si="8"/>
        <v>3158.3500000000004</v>
      </c>
      <c r="N15" s="38">
        <v>1045.25</v>
      </c>
      <c r="O15" s="38">
        <v>658.79</v>
      </c>
      <c r="P15" s="38">
        <v>675.74</v>
      </c>
      <c r="Q15" s="35">
        <f t="shared" si="9"/>
        <v>2379.7799999999997</v>
      </c>
      <c r="R15" s="72">
        <f t="shared" si="4"/>
        <v>9533.810000000001</v>
      </c>
    </row>
    <row r="16" spans="1:18" ht="12.75" hidden="1" outlineLevel="3">
      <c r="A16" s="25" t="s">
        <v>18</v>
      </c>
      <c r="B16" s="62">
        <f>357.84+0.61</f>
        <v>358.45</v>
      </c>
      <c r="C16" s="62">
        <f>311+0.6</f>
        <v>311.6</v>
      </c>
      <c r="D16" s="62">
        <f>340.28+0.6+877.95+0.66</f>
        <v>1219.49</v>
      </c>
      <c r="E16" s="35">
        <f t="shared" si="6"/>
        <v>1889.54</v>
      </c>
      <c r="F16" s="62"/>
      <c r="G16" s="62">
        <f>942.82+0.71</f>
        <v>943.5300000000001</v>
      </c>
      <c r="H16" s="62">
        <f>653.06+0.64</f>
        <v>653.6999999999999</v>
      </c>
      <c r="I16" s="35">
        <f t="shared" si="7"/>
        <v>1597.23</v>
      </c>
      <c r="J16" s="62"/>
      <c r="K16" s="62"/>
      <c r="L16" s="62">
        <f>328.94+0.05</f>
        <v>328.99</v>
      </c>
      <c r="M16" s="35">
        <f t="shared" si="8"/>
        <v>328.99</v>
      </c>
      <c r="N16" s="62"/>
      <c r="O16" s="62"/>
      <c r="P16" s="62">
        <f>0.04+273.62+0.05+387.66+0.04+314.4+0.07</f>
        <v>975.8800000000001</v>
      </c>
      <c r="Q16" s="35">
        <f t="shared" si="9"/>
        <v>975.8800000000001</v>
      </c>
      <c r="R16" s="34">
        <f t="shared" si="4"/>
        <v>4791.64</v>
      </c>
    </row>
    <row r="17" spans="1:18" ht="12.75" hidden="1" outlineLevel="3">
      <c r="A17" s="23" t="s">
        <v>19</v>
      </c>
      <c r="B17" s="62">
        <v>65.1</v>
      </c>
      <c r="C17" s="62">
        <v>335.73</v>
      </c>
      <c r="D17" s="62">
        <v>416.64</v>
      </c>
      <c r="E17" s="35">
        <f t="shared" si="6"/>
        <v>817.47</v>
      </c>
      <c r="F17" s="38">
        <v>91.14</v>
      </c>
      <c r="G17" s="38">
        <v>71.61</v>
      </c>
      <c r="H17" s="38">
        <v>67.89</v>
      </c>
      <c r="I17" s="35">
        <f t="shared" si="7"/>
        <v>230.64</v>
      </c>
      <c r="J17" s="38">
        <v>52.08</v>
      </c>
      <c r="K17" s="38">
        <v>76.26</v>
      </c>
      <c r="L17" s="38">
        <v>67.89</v>
      </c>
      <c r="M17" s="35">
        <f t="shared" si="8"/>
        <v>196.23000000000002</v>
      </c>
      <c r="N17" s="38">
        <v>77.19</v>
      </c>
      <c r="O17" s="38">
        <v>59.52</v>
      </c>
      <c r="P17" s="38">
        <v>42.78</v>
      </c>
      <c r="Q17" s="35">
        <f t="shared" si="9"/>
        <v>179.49</v>
      </c>
      <c r="R17" s="72">
        <f t="shared" si="4"/>
        <v>1423.83</v>
      </c>
    </row>
    <row r="18" spans="1:18" ht="12.75" hidden="1" outlineLevel="3">
      <c r="A18" s="23" t="s">
        <v>20</v>
      </c>
      <c r="B18" s="62">
        <f>521+0.48+10.17</f>
        <v>531.65</v>
      </c>
      <c r="C18" s="62">
        <f>881.5+5.94+590.99</f>
        <v>1478.43</v>
      </c>
      <c r="D18" s="62">
        <f>707+11.04+905.13</f>
        <v>1623.17</v>
      </c>
      <c r="E18" s="35">
        <f t="shared" si="6"/>
        <v>3633.25</v>
      </c>
      <c r="F18" s="38">
        <f>439+2.46+22.6</f>
        <v>464.06</v>
      </c>
      <c r="G18" s="38">
        <f>267.5+1.2+11.3</f>
        <v>280</v>
      </c>
      <c r="H18" s="38">
        <f>551.5+1.98+21.47</f>
        <v>574.95</v>
      </c>
      <c r="I18" s="35">
        <f t="shared" si="7"/>
        <v>1319.01</v>
      </c>
      <c r="J18" s="38">
        <f>498.5+1.74+13.56</f>
        <v>513.8</v>
      </c>
      <c r="K18" s="38">
        <f>780+1.62+11.3</f>
        <v>792.92</v>
      </c>
      <c r="L18" s="38">
        <f>749.5+0.9+16.95</f>
        <v>767.35</v>
      </c>
      <c r="M18" s="35">
        <f t="shared" si="8"/>
        <v>2074.0699999999997</v>
      </c>
      <c r="N18" s="38">
        <f>821+4.2+22.6</f>
        <v>847.8000000000001</v>
      </c>
      <c r="O18" s="38">
        <f>479.5+1.08+20.34</f>
        <v>500.91999999999996</v>
      </c>
      <c r="P18" s="38">
        <f>444+0.42+12.43</f>
        <v>456.85</v>
      </c>
      <c r="Q18" s="35">
        <f t="shared" si="9"/>
        <v>1805.5700000000002</v>
      </c>
      <c r="R18" s="72">
        <f t="shared" si="4"/>
        <v>8831.9</v>
      </c>
    </row>
    <row r="19" spans="1:22" ht="12.75" hidden="1" outlineLevel="3">
      <c r="A19" s="23" t="s">
        <v>21</v>
      </c>
      <c r="B19" s="62">
        <v>1110</v>
      </c>
      <c r="C19" s="62">
        <v>1110</v>
      </c>
      <c r="D19" s="62">
        <v>1110</v>
      </c>
      <c r="E19" s="35">
        <f t="shared" si="6"/>
        <v>3330</v>
      </c>
      <c r="F19" s="38">
        <v>1110</v>
      </c>
      <c r="G19" s="38">
        <v>1110</v>
      </c>
      <c r="H19" s="38">
        <v>1110</v>
      </c>
      <c r="I19" s="35">
        <f t="shared" si="7"/>
        <v>3330</v>
      </c>
      <c r="J19" s="38">
        <v>1110</v>
      </c>
      <c r="K19" s="38">
        <v>1110</v>
      </c>
      <c r="L19" s="38">
        <v>1110</v>
      </c>
      <c r="M19" s="35">
        <f t="shared" si="8"/>
        <v>3330</v>
      </c>
      <c r="N19" s="38">
        <v>1110</v>
      </c>
      <c r="O19" s="38">
        <v>1110</v>
      </c>
      <c r="P19" s="38">
        <v>1110</v>
      </c>
      <c r="Q19" s="35">
        <f t="shared" si="9"/>
        <v>3330</v>
      </c>
      <c r="R19" s="72">
        <f t="shared" si="4"/>
        <v>13320</v>
      </c>
      <c r="V19">
        <f>R19/R23</f>
        <v>0.10891983982241812</v>
      </c>
    </row>
    <row r="20" spans="1:18" ht="12.75" hidden="1" outlineLevel="3">
      <c r="A20" s="23" t="s">
        <v>22</v>
      </c>
      <c r="B20" s="62">
        <v>213</v>
      </c>
      <c r="C20" s="62">
        <v>149.1</v>
      </c>
      <c r="D20" s="62">
        <v>221.52</v>
      </c>
      <c r="E20" s="35">
        <f t="shared" si="6"/>
        <v>583.62</v>
      </c>
      <c r="F20" s="38">
        <v>328.02</v>
      </c>
      <c r="G20" s="38">
        <v>119.28</v>
      </c>
      <c r="H20" s="38">
        <v>157.62</v>
      </c>
      <c r="I20" s="35">
        <f t="shared" si="7"/>
        <v>604.92</v>
      </c>
      <c r="J20" s="38">
        <v>178.92</v>
      </c>
      <c r="K20" s="38">
        <v>213</v>
      </c>
      <c r="L20" s="38">
        <v>157.62</v>
      </c>
      <c r="M20" s="35">
        <f t="shared" si="8"/>
        <v>549.54</v>
      </c>
      <c r="N20" s="38">
        <v>230.04</v>
      </c>
      <c r="O20" s="38">
        <v>115.02</v>
      </c>
      <c r="P20" s="38">
        <v>174.66</v>
      </c>
      <c r="Q20" s="35">
        <f t="shared" si="9"/>
        <v>519.72</v>
      </c>
      <c r="R20" s="72">
        <f t="shared" si="4"/>
        <v>2257.7999999999997</v>
      </c>
    </row>
    <row r="21" spans="1:18" ht="12.75" hidden="1" outlineLevel="3">
      <c r="A21" s="23" t="s">
        <v>61</v>
      </c>
      <c r="B21" s="62"/>
      <c r="C21" s="62"/>
      <c r="D21" s="62"/>
      <c r="E21" s="35">
        <f>SUM(B21:D21)</f>
        <v>0</v>
      </c>
      <c r="F21" s="38"/>
      <c r="G21" s="38"/>
      <c r="H21" s="38"/>
      <c r="I21" s="35">
        <f>SUM(F21:H21)</f>
        <v>0</v>
      </c>
      <c r="J21" s="38"/>
      <c r="K21" s="38"/>
      <c r="L21" s="38"/>
      <c r="M21" s="35">
        <f>SUM(J21:L21)</f>
        <v>0</v>
      </c>
      <c r="N21" s="38"/>
      <c r="O21" s="38"/>
      <c r="P21" s="38"/>
      <c r="Q21" s="35">
        <f>SUM(N21:P21)</f>
        <v>0</v>
      </c>
      <c r="R21" s="72">
        <f>Q21+M21+I21+E21</f>
        <v>0</v>
      </c>
    </row>
    <row r="22" spans="1:18" s="70" customFormat="1" ht="12.75" hidden="1" outlineLevel="2" collapsed="1">
      <c r="A22" s="22" t="s">
        <v>49</v>
      </c>
      <c r="B22" s="33">
        <f aca="true" t="shared" si="10" ref="B22:Q22">SUM(B13:B20)</f>
        <v>10031.060000000001</v>
      </c>
      <c r="C22" s="33">
        <f t="shared" si="10"/>
        <v>11398.810000000001</v>
      </c>
      <c r="D22" s="33">
        <f t="shared" si="10"/>
        <v>12102.17</v>
      </c>
      <c r="E22" s="32">
        <f t="shared" si="10"/>
        <v>33532.04000000001</v>
      </c>
      <c r="F22" s="33">
        <f t="shared" si="10"/>
        <v>9297.98</v>
      </c>
      <c r="G22" s="33">
        <f t="shared" si="10"/>
        <v>9708.85</v>
      </c>
      <c r="H22" s="33">
        <f t="shared" si="10"/>
        <v>10241.330000000002</v>
      </c>
      <c r="I22" s="32">
        <f t="shared" si="10"/>
        <v>29248.159999999996</v>
      </c>
      <c r="J22" s="33">
        <f t="shared" si="10"/>
        <v>9515.89</v>
      </c>
      <c r="K22" s="33">
        <f t="shared" si="10"/>
        <v>10202.550000000001</v>
      </c>
      <c r="L22" s="33">
        <f t="shared" si="10"/>
        <v>10516.980000000001</v>
      </c>
      <c r="M22" s="32">
        <f t="shared" si="10"/>
        <v>30235.42</v>
      </c>
      <c r="N22" s="33">
        <f t="shared" si="10"/>
        <v>10164.800000000001</v>
      </c>
      <c r="O22" s="33">
        <f t="shared" si="10"/>
        <v>9286.890000000001</v>
      </c>
      <c r="P22" s="33">
        <f t="shared" si="10"/>
        <v>10281.550000000001</v>
      </c>
      <c r="Q22" s="32">
        <f t="shared" si="10"/>
        <v>29733.24</v>
      </c>
      <c r="R22" s="34">
        <f t="shared" si="4"/>
        <v>122748.86000000002</v>
      </c>
    </row>
    <row r="23" spans="1:21" ht="13.5" outlineLevel="1" collapsed="1" thickBot="1">
      <c r="A23" s="26" t="s">
        <v>48</v>
      </c>
      <c r="B23" s="64">
        <f aca="true" t="shared" si="11" ref="B23:R23">B22+B12</f>
        <v>9470.36</v>
      </c>
      <c r="C23" s="64">
        <f t="shared" si="11"/>
        <v>11398.810000000001</v>
      </c>
      <c r="D23" s="64">
        <f t="shared" si="11"/>
        <v>12102.17</v>
      </c>
      <c r="E23" s="39">
        <f t="shared" si="11"/>
        <v>32971.34000000001</v>
      </c>
      <c r="F23" s="40">
        <f t="shared" si="11"/>
        <v>9297.98</v>
      </c>
      <c r="G23" s="40">
        <f t="shared" si="11"/>
        <v>9708.85</v>
      </c>
      <c r="H23" s="40">
        <f t="shared" si="11"/>
        <v>10241.330000000002</v>
      </c>
      <c r="I23" s="39">
        <f t="shared" si="11"/>
        <v>29248.159999999996</v>
      </c>
      <c r="J23" s="40">
        <f t="shared" si="11"/>
        <v>9515.89</v>
      </c>
      <c r="K23" s="40">
        <f t="shared" si="11"/>
        <v>10202.550000000001</v>
      </c>
      <c r="L23" s="40">
        <f t="shared" si="11"/>
        <v>10620.590000000002</v>
      </c>
      <c r="M23" s="39">
        <f t="shared" si="11"/>
        <v>30339.03</v>
      </c>
      <c r="N23" s="40">
        <f t="shared" si="11"/>
        <v>10164.800000000001</v>
      </c>
      <c r="O23" s="40">
        <f t="shared" si="11"/>
        <v>9286.890000000001</v>
      </c>
      <c r="P23" s="40">
        <f t="shared" si="11"/>
        <v>10281.550000000001</v>
      </c>
      <c r="Q23" s="39">
        <f t="shared" si="11"/>
        <v>29733.24</v>
      </c>
      <c r="R23" s="41">
        <f t="shared" si="11"/>
        <v>122291.77000000002</v>
      </c>
      <c r="S23" s="65">
        <f>((B13/0.12)+(C13/0.12)+(D13/0.12)+(F13/0.12)+(G13/0.12)+(H13/0.12)+(J13/0.12)+(K13/0.12)+(L13/0.12)+(N13/0.12)+(O13/0.12)+(P13/0.12))/12</f>
        <v>49104.083333333336</v>
      </c>
      <c r="T23" s="54">
        <f>R23/S23</f>
        <v>2.490460297768855</v>
      </c>
      <c r="U23" s="66">
        <f>R15/R23</f>
        <v>0.07795953889619882</v>
      </c>
    </row>
    <row r="24" spans="1:18" ht="13.5" outlineLevel="1" thickTop="1">
      <c r="A24" s="16" t="s">
        <v>27</v>
      </c>
      <c r="B24" s="17"/>
      <c r="C24" s="17"/>
      <c r="D24" s="17"/>
      <c r="E24" s="14"/>
      <c r="F24" s="17"/>
      <c r="G24" s="17"/>
      <c r="H24" s="17"/>
      <c r="I24" s="14"/>
      <c r="J24" s="17"/>
      <c r="K24" s="17"/>
      <c r="L24" s="17"/>
      <c r="M24" s="14"/>
      <c r="N24" s="17"/>
      <c r="O24" s="17"/>
      <c r="P24" s="17"/>
      <c r="Q24" s="14"/>
      <c r="R24" s="27"/>
    </row>
    <row r="25" spans="1:18" ht="12.75" hidden="1" outlineLevel="3">
      <c r="A25" s="19" t="s">
        <v>40</v>
      </c>
      <c r="B25" s="62"/>
      <c r="C25" s="62"/>
      <c r="D25" s="62"/>
      <c r="E25" s="35">
        <f aca="true" t="shared" si="12" ref="E25:E32">SUM(B25:D25)</f>
        <v>0</v>
      </c>
      <c r="F25" s="38"/>
      <c r="G25" s="38"/>
      <c r="H25" s="38"/>
      <c r="I25" s="35">
        <f aca="true" t="shared" si="13" ref="I25:I32">SUM(F25:H25)</f>
        <v>0</v>
      </c>
      <c r="J25" s="38"/>
      <c r="K25" s="38"/>
      <c r="L25" s="38"/>
      <c r="M25" s="35">
        <f aca="true" t="shared" si="14" ref="M25:M32">SUM(J25:L25)</f>
        <v>0</v>
      </c>
      <c r="N25" s="38"/>
      <c r="O25" s="38"/>
      <c r="P25" s="38"/>
      <c r="Q25" s="35">
        <f aca="true" t="shared" si="15" ref="Q25:Q32">SUM(N25:P25)</f>
        <v>0</v>
      </c>
      <c r="R25" s="72">
        <f aca="true" t="shared" si="16" ref="R25:R43">Q25+M25+I25+E25</f>
        <v>0</v>
      </c>
    </row>
    <row r="26" spans="1:18" ht="12.75" hidden="1" outlineLevel="3">
      <c r="A26" s="19" t="s">
        <v>41</v>
      </c>
      <c r="B26" s="62"/>
      <c r="C26" s="62"/>
      <c r="D26" s="62"/>
      <c r="E26" s="35">
        <f t="shared" si="12"/>
        <v>0</v>
      </c>
      <c r="F26" s="38"/>
      <c r="G26" s="38"/>
      <c r="H26" s="38"/>
      <c r="I26" s="35">
        <f t="shared" si="13"/>
        <v>0</v>
      </c>
      <c r="J26" s="38"/>
      <c r="K26" s="38"/>
      <c r="L26" s="38"/>
      <c r="M26" s="35">
        <f t="shared" si="14"/>
        <v>0</v>
      </c>
      <c r="N26" s="38"/>
      <c r="O26" s="38"/>
      <c r="P26" s="38"/>
      <c r="Q26" s="35">
        <f t="shared" si="15"/>
        <v>0</v>
      </c>
      <c r="R26" s="72">
        <f t="shared" si="16"/>
        <v>0</v>
      </c>
    </row>
    <row r="27" spans="1:18" ht="12.75" hidden="1" outlineLevel="3">
      <c r="A27" s="19" t="s">
        <v>42</v>
      </c>
      <c r="B27" s="62"/>
      <c r="C27" s="62"/>
      <c r="D27" s="62"/>
      <c r="E27" s="35">
        <f t="shared" si="12"/>
        <v>0</v>
      </c>
      <c r="F27" s="38"/>
      <c r="G27" s="38"/>
      <c r="H27" s="38"/>
      <c r="I27" s="35">
        <f t="shared" si="13"/>
        <v>0</v>
      </c>
      <c r="J27" s="38"/>
      <c r="K27" s="38"/>
      <c r="L27" s="38"/>
      <c r="M27" s="35">
        <f t="shared" si="14"/>
        <v>0</v>
      </c>
      <c r="N27" s="38"/>
      <c r="O27" s="38"/>
      <c r="P27" s="38"/>
      <c r="Q27" s="35">
        <f t="shared" si="15"/>
        <v>0</v>
      </c>
      <c r="R27" s="72">
        <f t="shared" si="16"/>
        <v>0</v>
      </c>
    </row>
    <row r="28" spans="1:21" ht="12.75" hidden="1" outlineLevel="3">
      <c r="A28" s="19" t="s">
        <v>43</v>
      </c>
      <c r="B28" s="71"/>
      <c r="C28" s="62"/>
      <c r="D28" s="62"/>
      <c r="E28" s="35">
        <f t="shared" si="12"/>
        <v>0</v>
      </c>
      <c r="F28" s="38"/>
      <c r="G28" s="38"/>
      <c r="H28" s="38"/>
      <c r="I28" s="35">
        <f t="shared" si="13"/>
        <v>0</v>
      </c>
      <c r="J28" s="38"/>
      <c r="K28" s="38"/>
      <c r="L28" s="38"/>
      <c r="M28" s="35">
        <f t="shared" si="14"/>
        <v>0</v>
      </c>
      <c r="N28" s="38"/>
      <c r="O28" s="38"/>
      <c r="P28" s="38"/>
      <c r="Q28" s="35">
        <f t="shared" si="15"/>
        <v>0</v>
      </c>
      <c r="R28" s="72">
        <f t="shared" si="16"/>
        <v>0</v>
      </c>
      <c r="U28" s="66"/>
    </row>
    <row r="29" spans="1:18" ht="12.75" hidden="1" outlineLevel="3">
      <c r="A29" s="19" t="s">
        <v>44</v>
      </c>
      <c r="B29" s="62"/>
      <c r="C29" s="62"/>
      <c r="D29" s="62"/>
      <c r="E29" s="35">
        <f t="shared" si="12"/>
        <v>0</v>
      </c>
      <c r="F29" s="38"/>
      <c r="G29" s="38"/>
      <c r="H29" s="38"/>
      <c r="I29" s="35">
        <f t="shared" si="13"/>
        <v>0</v>
      </c>
      <c r="J29" s="38"/>
      <c r="K29" s="38"/>
      <c r="L29" s="38"/>
      <c r="M29" s="35">
        <f t="shared" si="14"/>
        <v>0</v>
      </c>
      <c r="N29" s="38"/>
      <c r="O29" s="38"/>
      <c r="P29" s="38"/>
      <c r="Q29" s="35">
        <f t="shared" si="15"/>
        <v>0</v>
      </c>
      <c r="R29" s="72">
        <f t="shared" si="16"/>
        <v>0</v>
      </c>
    </row>
    <row r="30" spans="1:18" ht="12.75" hidden="1" outlineLevel="3">
      <c r="A30" s="19" t="s">
        <v>45</v>
      </c>
      <c r="B30" s="62">
        <v>-38.66</v>
      </c>
      <c r="C30" s="62"/>
      <c r="D30" s="62"/>
      <c r="E30" s="35">
        <f t="shared" si="12"/>
        <v>-38.66</v>
      </c>
      <c r="F30" s="62"/>
      <c r="G30" s="62"/>
      <c r="H30" s="62"/>
      <c r="I30" s="35">
        <f t="shared" si="13"/>
        <v>0</v>
      </c>
      <c r="J30" s="62"/>
      <c r="K30" s="62"/>
      <c r="L30" s="62"/>
      <c r="M30" s="35">
        <f t="shared" si="14"/>
        <v>0</v>
      </c>
      <c r="N30" s="62"/>
      <c r="O30" s="62"/>
      <c r="P30" s="62"/>
      <c r="Q30" s="35">
        <f t="shared" si="15"/>
        <v>0</v>
      </c>
      <c r="R30" s="34">
        <f t="shared" si="16"/>
        <v>-38.66</v>
      </c>
    </row>
    <row r="31" spans="1:18" ht="12.75" hidden="1" outlineLevel="3">
      <c r="A31" s="19" t="s">
        <v>46</v>
      </c>
      <c r="B31" s="62"/>
      <c r="C31" s="62"/>
      <c r="D31" s="62"/>
      <c r="E31" s="35">
        <f t="shared" si="12"/>
        <v>0</v>
      </c>
      <c r="F31" s="38"/>
      <c r="G31" s="38"/>
      <c r="H31" s="38"/>
      <c r="I31" s="35">
        <f t="shared" si="13"/>
        <v>0</v>
      </c>
      <c r="J31" s="38"/>
      <c r="K31" s="38"/>
      <c r="L31" s="38"/>
      <c r="M31" s="35">
        <f t="shared" si="14"/>
        <v>0</v>
      </c>
      <c r="N31" s="38"/>
      <c r="O31" s="38"/>
      <c r="P31" s="38"/>
      <c r="Q31" s="35">
        <f t="shared" si="15"/>
        <v>0</v>
      </c>
      <c r="R31" s="72">
        <f t="shared" si="16"/>
        <v>0</v>
      </c>
    </row>
    <row r="32" spans="1:18" ht="12.75" hidden="1" outlineLevel="3">
      <c r="A32" s="19" t="s">
        <v>58</v>
      </c>
      <c r="B32" s="62"/>
      <c r="C32" s="62"/>
      <c r="D32" s="62"/>
      <c r="E32" s="35">
        <f t="shared" si="12"/>
        <v>0</v>
      </c>
      <c r="F32" s="38"/>
      <c r="G32" s="38"/>
      <c r="H32" s="38"/>
      <c r="I32" s="35">
        <f t="shared" si="13"/>
        <v>0</v>
      </c>
      <c r="J32" s="38"/>
      <c r="K32" s="38"/>
      <c r="L32" s="38">
        <v>7.32</v>
      </c>
      <c r="M32" s="35">
        <f t="shared" si="14"/>
        <v>7.32</v>
      </c>
      <c r="N32" s="38"/>
      <c r="O32" s="38"/>
      <c r="P32" s="38"/>
      <c r="Q32" s="35">
        <f t="shared" si="15"/>
        <v>0</v>
      </c>
      <c r="R32" s="72">
        <f t="shared" si="16"/>
        <v>7.32</v>
      </c>
    </row>
    <row r="33" spans="1:18" ht="12.75" hidden="1" outlineLevel="2" collapsed="1">
      <c r="A33" s="22" t="s">
        <v>47</v>
      </c>
      <c r="B33" s="63">
        <f aca="true" t="shared" si="17" ref="B33:Q33">SUM(B25:B32)</f>
        <v>-38.66</v>
      </c>
      <c r="C33" s="62">
        <f t="shared" si="17"/>
        <v>0</v>
      </c>
      <c r="D33" s="62">
        <f t="shared" si="17"/>
        <v>0</v>
      </c>
      <c r="E33" s="35">
        <f t="shared" si="17"/>
        <v>-38.66</v>
      </c>
      <c r="F33" s="38">
        <f t="shared" si="17"/>
        <v>0</v>
      </c>
      <c r="G33" s="38">
        <f t="shared" si="17"/>
        <v>0</v>
      </c>
      <c r="H33" s="38">
        <f t="shared" si="17"/>
        <v>0</v>
      </c>
      <c r="I33" s="35">
        <f t="shared" si="17"/>
        <v>0</v>
      </c>
      <c r="J33" s="38">
        <f t="shared" si="17"/>
        <v>0</v>
      </c>
      <c r="K33" s="38">
        <f t="shared" si="17"/>
        <v>0</v>
      </c>
      <c r="L33" s="38">
        <f t="shared" si="17"/>
        <v>7.32</v>
      </c>
      <c r="M33" s="35">
        <f t="shared" si="17"/>
        <v>7.32</v>
      </c>
      <c r="N33" s="38">
        <f t="shared" si="17"/>
        <v>0</v>
      </c>
      <c r="O33" s="38">
        <f t="shared" si="17"/>
        <v>0</v>
      </c>
      <c r="P33" s="38">
        <f t="shared" si="17"/>
        <v>0</v>
      </c>
      <c r="Q33" s="35">
        <f t="shared" si="17"/>
        <v>0</v>
      </c>
      <c r="R33" s="72">
        <f t="shared" si="16"/>
        <v>-31.339999999999996</v>
      </c>
    </row>
    <row r="34" spans="1:18" ht="12.75" hidden="1" outlineLevel="3">
      <c r="A34" s="23" t="s">
        <v>15</v>
      </c>
      <c r="B34" s="63">
        <v>410.04</v>
      </c>
      <c r="C34" s="63">
        <v>411.24</v>
      </c>
      <c r="D34" s="63">
        <v>411.36</v>
      </c>
      <c r="E34" s="35">
        <f aca="true" t="shared" si="18" ref="E34:E42">SUM(B34:D34)</f>
        <v>1232.6399999999999</v>
      </c>
      <c r="F34" s="37">
        <v>411.12</v>
      </c>
      <c r="G34" s="37">
        <v>410.52</v>
      </c>
      <c r="H34" s="37">
        <v>409.92</v>
      </c>
      <c r="I34" s="35">
        <f aca="true" t="shared" si="19" ref="I34:I42">SUM(F34:H34)</f>
        <v>1231.56</v>
      </c>
      <c r="J34" s="37">
        <v>409.92</v>
      </c>
      <c r="K34" s="37">
        <v>411.6</v>
      </c>
      <c r="L34" s="37">
        <v>414.72</v>
      </c>
      <c r="M34" s="35">
        <f aca="true" t="shared" si="20" ref="M34:M42">SUM(J34:L34)</f>
        <v>1236.24</v>
      </c>
      <c r="N34" s="37">
        <v>417.72</v>
      </c>
      <c r="O34" s="38">
        <v>418.92</v>
      </c>
      <c r="P34" s="38">
        <v>417.96</v>
      </c>
      <c r="Q34" s="35">
        <f aca="true" t="shared" si="21" ref="Q34:Q42">SUM(N34:P34)</f>
        <v>1254.6000000000001</v>
      </c>
      <c r="R34" s="34">
        <f t="shared" si="16"/>
        <v>4955.04</v>
      </c>
    </row>
    <row r="35" spans="1:18" ht="12.75" hidden="1" outlineLevel="3">
      <c r="A35" s="23" t="s">
        <v>16</v>
      </c>
      <c r="B35" s="63">
        <v>88</v>
      </c>
      <c r="C35" s="63">
        <v>88</v>
      </c>
      <c r="D35" s="62">
        <v>88</v>
      </c>
      <c r="E35" s="35">
        <f t="shared" si="18"/>
        <v>264</v>
      </c>
      <c r="F35" s="62">
        <v>88</v>
      </c>
      <c r="G35" s="62">
        <v>88</v>
      </c>
      <c r="H35" s="62">
        <v>88</v>
      </c>
      <c r="I35" s="35">
        <f t="shared" si="19"/>
        <v>264</v>
      </c>
      <c r="J35" s="62">
        <v>88</v>
      </c>
      <c r="K35" s="62">
        <v>88</v>
      </c>
      <c r="L35" s="62">
        <v>88</v>
      </c>
      <c r="M35" s="35">
        <f t="shared" si="20"/>
        <v>264</v>
      </c>
      <c r="N35" s="62">
        <v>88</v>
      </c>
      <c r="O35" s="62">
        <v>88</v>
      </c>
      <c r="P35" s="62">
        <v>88</v>
      </c>
      <c r="Q35" s="35">
        <f t="shared" si="21"/>
        <v>264</v>
      </c>
      <c r="R35" s="34">
        <f t="shared" si="16"/>
        <v>1056</v>
      </c>
    </row>
    <row r="36" spans="1:18" ht="12.75" hidden="1" outlineLevel="3">
      <c r="A36" s="23" t="s">
        <v>17</v>
      </c>
      <c r="B36" s="63">
        <v>53.11</v>
      </c>
      <c r="C36" s="63">
        <v>90.4</v>
      </c>
      <c r="D36" s="63">
        <v>59.89</v>
      </c>
      <c r="E36" s="35">
        <f t="shared" si="18"/>
        <v>203.39999999999998</v>
      </c>
      <c r="F36" s="37">
        <v>39.55</v>
      </c>
      <c r="G36" s="37">
        <v>35.03</v>
      </c>
      <c r="H36" s="37">
        <v>25.99</v>
      </c>
      <c r="I36" s="35">
        <f t="shared" si="19"/>
        <v>100.57</v>
      </c>
      <c r="J36" s="37">
        <v>42.94</v>
      </c>
      <c r="K36" s="37">
        <v>75.71</v>
      </c>
      <c r="L36" s="37">
        <v>85.88</v>
      </c>
      <c r="M36" s="35">
        <f t="shared" si="20"/>
        <v>204.52999999999997</v>
      </c>
      <c r="N36" s="37">
        <v>79.1</v>
      </c>
      <c r="O36" s="38">
        <v>65.54</v>
      </c>
      <c r="P36" s="38">
        <v>50.85</v>
      </c>
      <c r="Q36" s="35">
        <f t="shared" si="21"/>
        <v>195.48999999999998</v>
      </c>
      <c r="R36" s="34">
        <f t="shared" si="16"/>
        <v>703.99</v>
      </c>
    </row>
    <row r="37" spans="1:18" ht="12.75" hidden="1" outlineLevel="3">
      <c r="A37" s="25" t="s">
        <v>18</v>
      </c>
      <c r="B37" s="63">
        <f>24.94+0.61</f>
        <v>25.55</v>
      </c>
      <c r="C37" s="63">
        <f>21.68+0.6</f>
        <v>22.28</v>
      </c>
      <c r="D37" s="63">
        <f>23.72+0.6+61.2+0.66</f>
        <v>86.18</v>
      </c>
      <c r="E37" s="35">
        <f t="shared" si="18"/>
        <v>134.01</v>
      </c>
      <c r="F37" s="37"/>
      <c r="G37" s="37">
        <f>65.01+0.71</f>
        <v>65.72</v>
      </c>
      <c r="H37" s="37">
        <f>45.03+0.64</f>
        <v>45.67</v>
      </c>
      <c r="I37" s="35">
        <f t="shared" si="19"/>
        <v>111.39</v>
      </c>
      <c r="J37" s="37"/>
      <c r="K37" s="37"/>
      <c r="L37" s="37">
        <v>22.73</v>
      </c>
      <c r="M37" s="35">
        <f t="shared" si="20"/>
        <v>22.73</v>
      </c>
      <c r="N37" s="37"/>
      <c r="O37" s="38"/>
      <c r="P37" s="38">
        <f>0.04+18.87+0.05+26.73+0.04+21.68</f>
        <v>67.41</v>
      </c>
      <c r="Q37" s="35">
        <f t="shared" si="21"/>
        <v>67.41</v>
      </c>
      <c r="R37" s="34">
        <f t="shared" si="16"/>
        <v>335.53999999999996</v>
      </c>
    </row>
    <row r="38" spans="1:18" ht="12.75" hidden="1" outlineLevel="3">
      <c r="A38" s="23" t="s">
        <v>19</v>
      </c>
      <c r="B38" s="63"/>
      <c r="C38" s="63">
        <v>6.51</v>
      </c>
      <c r="D38" s="63">
        <v>6.51</v>
      </c>
      <c r="E38" s="35">
        <f t="shared" si="18"/>
        <v>13.02</v>
      </c>
      <c r="F38" s="37">
        <v>4.65</v>
      </c>
      <c r="G38" s="37">
        <v>0.93</v>
      </c>
      <c r="H38" s="37">
        <v>3.72</v>
      </c>
      <c r="I38" s="35">
        <f t="shared" si="19"/>
        <v>9.3</v>
      </c>
      <c r="J38" s="37">
        <v>2.79</v>
      </c>
      <c r="K38" s="37"/>
      <c r="L38" s="37">
        <v>0.93</v>
      </c>
      <c r="M38" s="35">
        <f t="shared" si="20"/>
        <v>3.72</v>
      </c>
      <c r="N38" s="37">
        <v>2.79</v>
      </c>
      <c r="O38" s="38">
        <v>2.79</v>
      </c>
      <c r="P38" s="38"/>
      <c r="Q38" s="35">
        <f t="shared" si="21"/>
        <v>5.58</v>
      </c>
      <c r="R38" s="34">
        <f t="shared" si="16"/>
        <v>31.62</v>
      </c>
    </row>
    <row r="39" spans="1:18" ht="12.75" hidden="1" outlineLevel="3">
      <c r="A39" s="23" t="s">
        <v>20</v>
      </c>
      <c r="B39" s="63">
        <v>22.5</v>
      </c>
      <c r="C39" s="63">
        <f>32.5+0.24+24.86</f>
        <v>57.6</v>
      </c>
      <c r="D39" s="63">
        <f>24.5+0.42+35.03</f>
        <v>59.95</v>
      </c>
      <c r="E39" s="35">
        <f t="shared" si="18"/>
        <v>140.05</v>
      </c>
      <c r="F39" s="37">
        <f>11+2.26</f>
        <v>13.26</v>
      </c>
      <c r="G39" s="37">
        <f>10+1.13</f>
        <v>11.129999999999999</v>
      </c>
      <c r="H39" s="37">
        <v>6</v>
      </c>
      <c r="I39" s="35">
        <f t="shared" si="19"/>
        <v>30.39</v>
      </c>
      <c r="J39" s="37">
        <v>12.62</v>
      </c>
      <c r="K39" s="37">
        <f>35+1.13</f>
        <v>36.13</v>
      </c>
      <c r="L39" s="37">
        <v>20</v>
      </c>
      <c r="M39" s="35">
        <f t="shared" si="20"/>
        <v>68.75</v>
      </c>
      <c r="N39" s="37">
        <f>15+0.12+2.26</f>
        <v>17.38</v>
      </c>
      <c r="O39" s="38">
        <v>13.13</v>
      </c>
      <c r="P39" s="38">
        <f>12.5+1.13</f>
        <v>13.629999999999999</v>
      </c>
      <c r="Q39" s="35">
        <f t="shared" si="21"/>
        <v>44.14</v>
      </c>
      <c r="R39" s="34">
        <f t="shared" si="16"/>
        <v>283.33000000000004</v>
      </c>
    </row>
    <row r="40" spans="1:18" ht="12.75" hidden="1" outlineLevel="3">
      <c r="A40" s="23" t="s">
        <v>21</v>
      </c>
      <c r="B40" s="63"/>
      <c r="C40" s="63"/>
      <c r="D40" s="63"/>
      <c r="E40" s="35">
        <f t="shared" si="18"/>
        <v>0</v>
      </c>
      <c r="F40" s="37"/>
      <c r="G40" s="37"/>
      <c r="H40" s="37"/>
      <c r="I40" s="35">
        <f t="shared" si="19"/>
        <v>0</v>
      </c>
      <c r="J40" s="37"/>
      <c r="K40" s="37"/>
      <c r="L40" s="37"/>
      <c r="M40" s="35">
        <f t="shared" si="20"/>
        <v>0</v>
      </c>
      <c r="N40" s="37"/>
      <c r="O40" s="38"/>
      <c r="P40" s="38"/>
      <c r="Q40" s="35">
        <f t="shared" si="21"/>
        <v>0</v>
      </c>
      <c r="R40" s="34">
        <f t="shared" si="16"/>
        <v>0</v>
      </c>
    </row>
    <row r="41" spans="1:18" ht="12.75" hidden="1" outlineLevel="3">
      <c r="A41" s="23" t="s">
        <v>22</v>
      </c>
      <c r="B41" s="63">
        <v>4.26</v>
      </c>
      <c r="C41" s="63">
        <v>8.52</v>
      </c>
      <c r="D41" s="63">
        <v>4.26</v>
      </c>
      <c r="E41" s="35">
        <f t="shared" si="18"/>
        <v>17.04</v>
      </c>
      <c r="F41" s="37">
        <v>8.52</v>
      </c>
      <c r="G41" s="37">
        <v>8.52</v>
      </c>
      <c r="H41" s="37">
        <v>8.52</v>
      </c>
      <c r="I41" s="35">
        <f t="shared" si="19"/>
        <v>25.56</v>
      </c>
      <c r="J41" s="37"/>
      <c r="K41" s="37"/>
      <c r="L41" s="37">
        <v>4.26</v>
      </c>
      <c r="M41" s="35">
        <f t="shared" si="20"/>
        <v>4.26</v>
      </c>
      <c r="N41" s="37">
        <v>25.56</v>
      </c>
      <c r="O41" s="38">
        <v>8.52</v>
      </c>
      <c r="P41" s="38">
        <v>21.3</v>
      </c>
      <c r="Q41" s="35">
        <f t="shared" si="21"/>
        <v>55.379999999999995</v>
      </c>
      <c r="R41" s="34">
        <f t="shared" si="16"/>
        <v>102.23999999999998</v>
      </c>
    </row>
    <row r="42" spans="1:18" ht="12.75" hidden="1" outlineLevel="3">
      <c r="A42" s="23" t="s">
        <v>61</v>
      </c>
      <c r="B42" s="63"/>
      <c r="C42" s="63"/>
      <c r="D42" s="62"/>
      <c r="E42" s="35">
        <f t="shared" si="18"/>
        <v>0</v>
      </c>
      <c r="F42" s="38"/>
      <c r="G42" s="38"/>
      <c r="H42" s="38"/>
      <c r="I42" s="35">
        <f t="shared" si="19"/>
        <v>0</v>
      </c>
      <c r="J42" s="38"/>
      <c r="K42" s="38"/>
      <c r="L42" s="38"/>
      <c r="M42" s="35">
        <f t="shared" si="20"/>
        <v>0</v>
      </c>
      <c r="N42" s="38"/>
      <c r="O42" s="38"/>
      <c r="P42" s="38"/>
      <c r="Q42" s="35">
        <f t="shared" si="21"/>
        <v>0</v>
      </c>
      <c r="R42" s="72">
        <f t="shared" si="16"/>
        <v>0</v>
      </c>
    </row>
    <row r="43" spans="1:18" ht="12.75" hidden="1" outlineLevel="2" collapsed="1">
      <c r="A43" s="22" t="s">
        <v>50</v>
      </c>
      <c r="B43" s="33">
        <f aca="true" t="shared" si="22" ref="B43:Q43">SUM(B34:B41)</f>
        <v>603.4599999999999</v>
      </c>
      <c r="C43" s="33">
        <f t="shared" si="22"/>
        <v>684.55</v>
      </c>
      <c r="D43" s="33">
        <f t="shared" si="22"/>
        <v>716.1500000000001</v>
      </c>
      <c r="E43" s="32">
        <f t="shared" si="22"/>
        <v>2004.1599999999999</v>
      </c>
      <c r="F43" s="33">
        <f t="shared" si="22"/>
        <v>565.0999999999999</v>
      </c>
      <c r="G43" s="33">
        <f t="shared" si="22"/>
        <v>619.8499999999999</v>
      </c>
      <c r="H43" s="33">
        <f t="shared" si="22"/>
        <v>587.8199999999999</v>
      </c>
      <c r="I43" s="32">
        <f t="shared" si="22"/>
        <v>1772.77</v>
      </c>
      <c r="J43" s="33">
        <f t="shared" si="22"/>
        <v>556.27</v>
      </c>
      <c r="K43" s="33">
        <f t="shared" si="22"/>
        <v>611.44</v>
      </c>
      <c r="L43" s="33">
        <f t="shared" si="22"/>
        <v>636.52</v>
      </c>
      <c r="M43" s="32">
        <f t="shared" si="22"/>
        <v>1804.23</v>
      </c>
      <c r="N43" s="33">
        <f t="shared" si="22"/>
        <v>630.55</v>
      </c>
      <c r="O43" s="33">
        <f t="shared" si="22"/>
        <v>596.9</v>
      </c>
      <c r="P43" s="33">
        <f t="shared" si="22"/>
        <v>659.1499999999999</v>
      </c>
      <c r="Q43" s="32">
        <f t="shared" si="22"/>
        <v>1886.6000000000004</v>
      </c>
      <c r="R43" s="34">
        <f t="shared" si="16"/>
        <v>7467.76</v>
      </c>
    </row>
    <row r="44" spans="1:21" ht="13.5" outlineLevel="1" collapsed="1" thickBot="1">
      <c r="A44" s="26" t="s">
        <v>48</v>
      </c>
      <c r="B44" s="40">
        <f aca="true" t="shared" si="23" ref="B44:R44">B43+B33</f>
        <v>564.8</v>
      </c>
      <c r="C44" s="40">
        <f t="shared" si="23"/>
        <v>684.55</v>
      </c>
      <c r="D44" s="40">
        <f t="shared" si="23"/>
        <v>716.1500000000001</v>
      </c>
      <c r="E44" s="39">
        <f t="shared" si="23"/>
        <v>1965.4999999999998</v>
      </c>
      <c r="F44" s="40">
        <f t="shared" si="23"/>
        <v>565.0999999999999</v>
      </c>
      <c r="G44" s="40">
        <f t="shared" si="23"/>
        <v>619.8499999999999</v>
      </c>
      <c r="H44" s="40">
        <f t="shared" si="23"/>
        <v>587.8199999999999</v>
      </c>
      <c r="I44" s="39">
        <f t="shared" si="23"/>
        <v>1772.77</v>
      </c>
      <c r="J44" s="40">
        <f t="shared" si="23"/>
        <v>556.27</v>
      </c>
      <c r="K44" s="40">
        <f t="shared" si="23"/>
        <v>611.44</v>
      </c>
      <c r="L44" s="40">
        <f t="shared" si="23"/>
        <v>643.84</v>
      </c>
      <c r="M44" s="39">
        <f t="shared" si="23"/>
        <v>1811.55</v>
      </c>
      <c r="N44" s="40">
        <f t="shared" si="23"/>
        <v>630.55</v>
      </c>
      <c r="O44" s="40">
        <f t="shared" si="23"/>
        <v>596.9</v>
      </c>
      <c r="P44" s="40">
        <f t="shared" si="23"/>
        <v>659.1499999999999</v>
      </c>
      <c r="Q44" s="39">
        <f t="shared" si="23"/>
        <v>1886.6000000000004</v>
      </c>
      <c r="R44" s="41">
        <f t="shared" si="23"/>
        <v>7436.42</v>
      </c>
      <c r="S44" s="65">
        <f>((B34/0.12)+(C34/0.12)+(D34/0.12)+(F34/0.12)+(G34/0.12)+(H34/0.12)+(J34/0.12)+(K34/0.12)+(L34/0.12)+(N34/0.12)+(O34/0.12)+(P34/0.12))/12</f>
        <v>3441</v>
      </c>
      <c r="T44" s="54">
        <f>R44/S44</f>
        <v>2.161121766928219</v>
      </c>
      <c r="U44" s="66">
        <f>R36/R44</f>
        <v>0.09466786437560008</v>
      </c>
    </row>
    <row r="45" spans="1:18" ht="13.5" outlineLevel="1" thickTop="1">
      <c r="A45" s="16" t="s">
        <v>28</v>
      </c>
      <c r="B45" s="17"/>
      <c r="C45" s="17"/>
      <c r="D45" s="17"/>
      <c r="E45" s="14"/>
      <c r="F45" s="17"/>
      <c r="G45" s="17"/>
      <c r="H45" s="17"/>
      <c r="I45" s="14"/>
      <c r="J45" s="17"/>
      <c r="K45" s="17"/>
      <c r="L45" s="17"/>
      <c r="M45" s="14"/>
      <c r="N45" s="17"/>
      <c r="O45" s="17"/>
      <c r="P45" s="17"/>
      <c r="Q45" s="14"/>
      <c r="R45" s="27"/>
    </row>
    <row r="46" spans="1:18" ht="12.75" hidden="1" outlineLevel="3">
      <c r="A46" s="19" t="s">
        <v>40</v>
      </c>
      <c r="B46" s="20"/>
      <c r="C46" s="20"/>
      <c r="D46" s="20"/>
      <c r="E46" s="67">
        <f aca="true" t="shared" si="24" ref="E46:E53">SUM(B46:D46)</f>
        <v>0</v>
      </c>
      <c r="F46" s="20"/>
      <c r="G46" s="20"/>
      <c r="H46" s="20"/>
      <c r="I46" s="67">
        <f aca="true" t="shared" si="25" ref="I46:I53">SUM(F46:H46)</f>
        <v>0</v>
      </c>
      <c r="J46" s="20"/>
      <c r="K46" s="20"/>
      <c r="L46" s="20"/>
      <c r="M46" s="67">
        <f aca="true" t="shared" si="26" ref="M46:M53">SUM(J46:L46)</f>
        <v>0</v>
      </c>
      <c r="N46" s="20"/>
      <c r="O46" s="20"/>
      <c r="P46" s="20"/>
      <c r="Q46" s="67">
        <f aca="true" t="shared" si="27" ref="Q46:Q53">SUM(N46:P46)</f>
        <v>0</v>
      </c>
      <c r="R46" s="21">
        <f aca="true" t="shared" si="28" ref="R46:R64">Q46+M46+I46+E46</f>
        <v>0</v>
      </c>
    </row>
    <row r="47" spans="1:18" ht="12.75" hidden="1" outlineLevel="3">
      <c r="A47" s="19" t="s">
        <v>41</v>
      </c>
      <c r="B47" s="20"/>
      <c r="C47" s="20"/>
      <c r="D47" s="20"/>
      <c r="E47" s="67">
        <f t="shared" si="24"/>
        <v>0</v>
      </c>
      <c r="F47" s="20"/>
      <c r="G47" s="20"/>
      <c r="H47" s="20"/>
      <c r="I47" s="67">
        <f t="shared" si="25"/>
        <v>0</v>
      </c>
      <c r="J47" s="20"/>
      <c r="K47" s="20"/>
      <c r="L47" s="20"/>
      <c r="M47" s="67">
        <f t="shared" si="26"/>
        <v>0</v>
      </c>
      <c r="N47" s="20"/>
      <c r="O47" s="20"/>
      <c r="P47" s="20"/>
      <c r="Q47" s="67">
        <f t="shared" si="27"/>
        <v>0</v>
      </c>
      <c r="R47" s="21">
        <f t="shared" si="28"/>
        <v>0</v>
      </c>
    </row>
    <row r="48" spans="1:18" ht="12.75" hidden="1" outlineLevel="3">
      <c r="A48" s="19" t="s">
        <v>42</v>
      </c>
      <c r="B48" s="20"/>
      <c r="C48" s="20"/>
      <c r="D48" s="20"/>
      <c r="E48" s="67">
        <f t="shared" si="24"/>
        <v>0</v>
      </c>
      <c r="F48" s="20"/>
      <c r="G48" s="20"/>
      <c r="H48" s="20"/>
      <c r="I48" s="67">
        <f t="shared" si="25"/>
        <v>0</v>
      </c>
      <c r="J48" s="20"/>
      <c r="K48" s="20"/>
      <c r="L48" s="20"/>
      <c r="M48" s="67">
        <f t="shared" si="26"/>
        <v>0</v>
      </c>
      <c r="N48" s="20"/>
      <c r="O48" s="20"/>
      <c r="P48" s="20"/>
      <c r="Q48" s="67">
        <f t="shared" si="27"/>
        <v>0</v>
      </c>
      <c r="R48" s="21">
        <f t="shared" si="28"/>
        <v>0</v>
      </c>
    </row>
    <row r="49" spans="1:18" ht="12.75" hidden="1" outlineLevel="3">
      <c r="A49" s="19" t="s">
        <v>43</v>
      </c>
      <c r="B49" s="20"/>
      <c r="C49" s="20"/>
      <c r="D49" s="20"/>
      <c r="E49" s="67">
        <f t="shared" si="24"/>
        <v>0</v>
      </c>
      <c r="F49" s="20"/>
      <c r="G49" s="20"/>
      <c r="H49" s="20"/>
      <c r="I49" s="67">
        <f t="shared" si="25"/>
        <v>0</v>
      </c>
      <c r="J49" s="20"/>
      <c r="K49" s="20"/>
      <c r="L49" s="20"/>
      <c r="M49" s="67">
        <f t="shared" si="26"/>
        <v>0</v>
      </c>
      <c r="N49" s="20"/>
      <c r="O49" s="20"/>
      <c r="P49" s="20"/>
      <c r="Q49" s="67">
        <f t="shared" si="27"/>
        <v>0</v>
      </c>
      <c r="R49" s="21">
        <f t="shared" si="28"/>
        <v>0</v>
      </c>
    </row>
    <row r="50" spans="1:18" ht="12.75" hidden="1" outlineLevel="3">
      <c r="A50" s="19" t="s">
        <v>44</v>
      </c>
      <c r="B50" s="20"/>
      <c r="C50" s="20"/>
      <c r="D50" s="20"/>
      <c r="E50" s="67">
        <f t="shared" si="24"/>
        <v>0</v>
      </c>
      <c r="F50" s="20"/>
      <c r="G50" s="20"/>
      <c r="H50" s="20"/>
      <c r="I50" s="67">
        <f t="shared" si="25"/>
        <v>0</v>
      </c>
      <c r="J50" s="20"/>
      <c r="K50" s="20"/>
      <c r="L50" s="20"/>
      <c r="M50" s="67">
        <f t="shared" si="26"/>
        <v>0</v>
      </c>
      <c r="N50" s="20"/>
      <c r="O50" s="20"/>
      <c r="P50" s="20"/>
      <c r="Q50" s="67">
        <f t="shared" si="27"/>
        <v>0</v>
      </c>
      <c r="R50" s="21">
        <f t="shared" si="28"/>
        <v>0</v>
      </c>
    </row>
    <row r="51" spans="1:18" ht="12.75" hidden="1" outlineLevel="3">
      <c r="A51" s="19" t="s">
        <v>45</v>
      </c>
      <c r="B51" s="62">
        <v>-67.38</v>
      </c>
      <c r="C51" s="62"/>
      <c r="D51" s="62"/>
      <c r="E51" s="35">
        <f t="shared" si="24"/>
        <v>-67.38</v>
      </c>
      <c r="F51" s="62"/>
      <c r="G51" s="62"/>
      <c r="H51" s="62"/>
      <c r="I51" s="35">
        <f t="shared" si="25"/>
        <v>0</v>
      </c>
      <c r="J51" s="62"/>
      <c r="K51" s="62"/>
      <c r="L51" s="62"/>
      <c r="M51" s="35">
        <f t="shared" si="26"/>
        <v>0</v>
      </c>
      <c r="N51" s="62"/>
      <c r="O51" s="62"/>
      <c r="P51" s="62"/>
      <c r="Q51" s="35">
        <f t="shared" si="27"/>
        <v>0</v>
      </c>
      <c r="R51" s="34">
        <f t="shared" si="28"/>
        <v>-67.38</v>
      </c>
    </row>
    <row r="52" spans="1:18" ht="12.75" hidden="1" outlineLevel="3">
      <c r="A52" s="19" t="s">
        <v>46</v>
      </c>
      <c r="B52" s="20"/>
      <c r="C52" s="20"/>
      <c r="D52" s="20"/>
      <c r="E52" s="67">
        <f t="shared" si="24"/>
        <v>0</v>
      </c>
      <c r="F52" s="20"/>
      <c r="G52" s="20"/>
      <c r="H52" s="20"/>
      <c r="I52" s="67">
        <f t="shared" si="25"/>
        <v>0</v>
      </c>
      <c r="J52" s="20"/>
      <c r="K52" s="20"/>
      <c r="L52" s="20"/>
      <c r="M52" s="67">
        <f t="shared" si="26"/>
        <v>0</v>
      </c>
      <c r="N52" s="20"/>
      <c r="O52" s="20"/>
      <c r="P52" s="20"/>
      <c r="Q52" s="67">
        <f t="shared" si="27"/>
        <v>0</v>
      </c>
      <c r="R52" s="21">
        <f t="shared" si="28"/>
        <v>0</v>
      </c>
    </row>
    <row r="53" spans="1:18" ht="12.75" hidden="1" outlineLevel="3">
      <c r="A53" s="19" t="s">
        <v>58</v>
      </c>
      <c r="B53" s="62"/>
      <c r="C53" s="62"/>
      <c r="D53" s="62"/>
      <c r="E53" s="59">
        <f t="shared" si="24"/>
        <v>0</v>
      </c>
      <c r="F53" s="52"/>
      <c r="G53" s="52"/>
      <c r="H53" s="52"/>
      <c r="I53" s="59">
        <f t="shared" si="25"/>
        <v>0</v>
      </c>
      <c r="J53" s="52"/>
      <c r="K53" s="52"/>
      <c r="L53" s="52">
        <v>12.77</v>
      </c>
      <c r="M53" s="59">
        <f t="shared" si="26"/>
        <v>12.77</v>
      </c>
      <c r="N53" s="52"/>
      <c r="O53" s="52"/>
      <c r="P53" s="52"/>
      <c r="Q53" s="59">
        <f t="shared" si="27"/>
        <v>0</v>
      </c>
      <c r="R53" s="60">
        <f t="shared" si="28"/>
        <v>12.77</v>
      </c>
    </row>
    <row r="54" spans="1:18" ht="12.75" hidden="1" outlineLevel="2" collapsed="1">
      <c r="A54" s="22" t="s">
        <v>47</v>
      </c>
      <c r="B54" s="63">
        <f aca="true" t="shared" si="29" ref="B54:Q54">SUM(B46:B53)</f>
        <v>-67.38</v>
      </c>
      <c r="C54" s="63">
        <f t="shared" si="29"/>
        <v>0</v>
      </c>
      <c r="D54" s="63">
        <f t="shared" si="29"/>
        <v>0</v>
      </c>
      <c r="E54" s="33">
        <f t="shared" si="29"/>
        <v>-67.38</v>
      </c>
      <c r="F54" s="33">
        <f t="shared" si="29"/>
        <v>0</v>
      </c>
      <c r="G54" s="33">
        <f t="shared" si="29"/>
        <v>0</v>
      </c>
      <c r="H54" s="33">
        <f t="shared" si="29"/>
        <v>0</v>
      </c>
      <c r="I54" s="33">
        <f t="shared" si="29"/>
        <v>0</v>
      </c>
      <c r="J54" s="33">
        <f t="shared" si="29"/>
        <v>0</v>
      </c>
      <c r="K54" s="33">
        <f t="shared" si="29"/>
        <v>0</v>
      </c>
      <c r="L54" s="33">
        <f t="shared" si="29"/>
        <v>12.77</v>
      </c>
      <c r="M54" s="33">
        <f t="shared" si="29"/>
        <v>12.77</v>
      </c>
      <c r="N54" s="33">
        <f t="shared" si="29"/>
        <v>0</v>
      </c>
      <c r="O54" s="33">
        <f t="shared" si="29"/>
        <v>0</v>
      </c>
      <c r="P54" s="33">
        <f t="shared" si="29"/>
        <v>0</v>
      </c>
      <c r="Q54" s="33">
        <f t="shared" si="29"/>
        <v>0</v>
      </c>
      <c r="R54" s="34">
        <f t="shared" si="28"/>
        <v>-54.61</v>
      </c>
    </row>
    <row r="55" spans="1:20" ht="12.75" hidden="1" outlineLevel="3">
      <c r="A55" s="23" t="s">
        <v>15</v>
      </c>
      <c r="B55" s="63">
        <v>708.48</v>
      </c>
      <c r="C55" s="63">
        <v>707.4</v>
      </c>
      <c r="D55" s="63">
        <v>707.76</v>
      </c>
      <c r="E55" s="35">
        <f aca="true" t="shared" si="30" ref="E55:E63">SUM(B55:D55)</f>
        <v>2123.6400000000003</v>
      </c>
      <c r="F55" s="37">
        <v>709.68</v>
      </c>
      <c r="G55" s="37">
        <v>707.52</v>
      </c>
      <c r="H55" s="37">
        <v>707.64</v>
      </c>
      <c r="I55" s="35">
        <f aca="true" t="shared" si="31" ref="I55:I63">SUM(F55:H55)</f>
        <v>2124.8399999999997</v>
      </c>
      <c r="J55" s="37">
        <v>710.4</v>
      </c>
      <c r="K55" s="37">
        <v>712.92</v>
      </c>
      <c r="L55" s="37">
        <v>725.16</v>
      </c>
      <c r="M55" s="35">
        <f aca="true" t="shared" si="32" ref="M55:M63">SUM(J55:L55)</f>
        <v>2148.48</v>
      </c>
      <c r="N55" s="37">
        <v>734.64</v>
      </c>
      <c r="O55" s="37">
        <v>730.32</v>
      </c>
      <c r="P55" s="38">
        <v>724.2</v>
      </c>
      <c r="Q55" s="35">
        <f aca="true" t="shared" si="33" ref="Q55:Q63">SUM(N55:P55)</f>
        <v>2189.16</v>
      </c>
      <c r="R55" s="34">
        <f t="shared" si="28"/>
        <v>8586.119999999999</v>
      </c>
      <c r="T55" s="54"/>
    </row>
    <row r="56" spans="1:18" ht="12.75" hidden="1" outlineLevel="3">
      <c r="A56" s="23" t="s">
        <v>51</v>
      </c>
      <c r="B56" s="63">
        <v>132</v>
      </c>
      <c r="C56" s="63">
        <v>132</v>
      </c>
      <c r="D56" s="63">
        <v>132</v>
      </c>
      <c r="E56" s="35">
        <f t="shared" si="30"/>
        <v>396</v>
      </c>
      <c r="F56" s="37">
        <v>132</v>
      </c>
      <c r="G56" s="37">
        <v>132</v>
      </c>
      <c r="H56" s="37">
        <v>132</v>
      </c>
      <c r="I56" s="35">
        <f t="shared" si="31"/>
        <v>396</v>
      </c>
      <c r="J56" s="37">
        <v>132</v>
      </c>
      <c r="K56" s="37">
        <v>132</v>
      </c>
      <c r="L56" s="37">
        <v>132</v>
      </c>
      <c r="M56" s="35">
        <f t="shared" si="32"/>
        <v>396</v>
      </c>
      <c r="N56" s="37">
        <v>132</v>
      </c>
      <c r="O56" s="37">
        <v>132</v>
      </c>
      <c r="P56" s="38">
        <v>132</v>
      </c>
      <c r="Q56" s="35">
        <f t="shared" si="33"/>
        <v>396</v>
      </c>
      <c r="R56" s="34">
        <f t="shared" si="28"/>
        <v>1584</v>
      </c>
    </row>
    <row r="57" spans="1:18" ht="12.75" hidden="1" outlineLevel="3">
      <c r="A57" s="23" t="s">
        <v>17</v>
      </c>
      <c r="B57" s="63">
        <v>93.79</v>
      </c>
      <c r="C57" s="63">
        <v>188.71</v>
      </c>
      <c r="D57" s="63">
        <v>118.65</v>
      </c>
      <c r="E57" s="35">
        <f t="shared" si="30"/>
        <v>401.15</v>
      </c>
      <c r="F57" s="37">
        <v>100.57</v>
      </c>
      <c r="G57" s="37">
        <v>85.88</v>
      </c>
      <c r="H57" s="37">
        <v>70.06</v>
      </c>
      <c r="I57" s="35">
        <f t="shared" si="31"/>
        <v>256.51</v>
      </c>
      <c r="J57" s="37">
        <v>122.04</v>
      </c>
      <c r="K57" s="37">
        <v>177.41</v>
      </c>
      <c r="L57" s="37">
        <v>266.68</v>
      </c>
      <c r="M57" s="35">
        <f t="shared" si="32"/>
        <v>566.13</v>
      </c>
      <c r="N57" s="37">
        <v>176.28</v>
      </c>
      <c r="O57" s="37">
        <v>108.48</v>
      </c>
      <c r="P57" s="38">
        <v>136.73</v>
      </c>
      <c r="Q57" s="35">
        <f t="shared" si="33"/>
        <v>421.49</v>
      </c>
      <c r="R57" s="34">
        <f t="shared" si="28"/>
        <v>1645.2800000000002</v>
      </c>
    </row>
    <row r="58" spans="1:18" ht="12.75" hidden="1" outlineLevel="3">
      <c r="A58" s="25" t="s">
        <v>18</v>
      </c>
      <c r="B58" s="62">
        <f>41.28+0.61</f>
        <v>41.89</v>
      </c>
      <c r="C58" s="62">
        <f>35.88+0.6</f>
        <v>36.480000000000004</v>
      </c>
      <c r="D58" s="62">
        <f>39.26+0.6+101.28+0.66</f>
        <v>141.79999999999998</v>
      </c>
      <c r="E58" s="35">
        <f t="shared" si="30"/>
        <v>220.17</v>
      </c>
      <c r="F58" s="62"/>
      <c r="G58" s="62">
        <f>113.29+0.71</f>
        <v>114</v>
      </c>
      <c r="H58" s="62">
        <f>78.47+0.64</f>
        <v>79.11</v>
      </c>
      <c r="I58" s="35">
        <f t="shared" si="31"/>
        <v>193.11</v>
      </c>
      <c r="J58" s="62"/>
      <c r="K58" s="62"/>
      <c r="L58" s="62">
        <v>39.58</v>
      </c>
      <c r="M58" s="35">
        <f t="shared" si="32"/>
        <v>39.58</v>
      </c>
      <c r="N58" s="62"/>
      <c r="O58" s="62"/>
      <c r="P58" s="62">
        <f>0.04+32.88+0.05+46.58+0.04+37.78+0.07</f>
        <v>117.44</v>
      </c>
      <c r="Q58" s="35">
        <f t="shared" si="33"/>
        <v>117.44</v>
      </c>
      <c r="R58" s="34">
        <f t="shared" si="28"/>
        <v>570.3</v>
      </c>
    </row>
    <row r="59" spans="1:18" ht="12.75" hidden="1" outlineLevel="3">
      <c r="A59" s="23" t="s">
        <v>19</v>
      </c>
      <c r="B59" s="63">
        <v>5.58</v>
      </c>
      <c r="C59" s="63">
        <v>13.02</v>
      </c>
      <c r="D59" s="63">
        <v>5.58</v>
      </c>
      <c r="E59" s="35">
        <f t="shared" si="30"/>
        <v>24.18</v>
      </c>
      <c r="F59" s="37">
        <v>4.65</v>
      </c>
      <c r="G59" s="37">
        <v>3.72</v>
      </c>
      <c r="H59" s="37">
        <v>2.79</v>
      </c>
      <c r="I59" s="35">
        <f t="shared" si="31"/>
        <v>11.16</v>
      </c>
      <c r="J59" s="37">
        <v>3.72</v>
      </c>
      <c r="K59" s="37">
        <v>3.72</v>
      </c>
      <c r="L59" s="37">
        <v>1.86</v>
      </c>
      <c r="M59" s="35">
        <f t="shared" si="32"/>
        <v>9.3</v>
      </c>
      <c r="N59" s="37">
        <v>0.93</v>
      </c>
      <c r="O59" s="37">
        <v>3.72</v>
      </c>
      <c r="P59" s="38">
        <v>0.93</v>
      </c>
      <c r="Q59" s="35">
        <f t="shared" si="33"/>
        <v>5.58</v>
      </c>
      <c r="R59" s="34">
        <f t="shared" si="28"/>
        <v>50.22</v>
      </c>
    </row>
    <row r="60" spans="1:18" ht="12.75" hidden="1" outlineLevel="3">
      <c r="A60" s="23" t="s">
        <v>20</v>
      </c>
      <c r="B60" s="63">
        <f>57.5+1.13</f>
        <v>58.63</v>
      </c>
      <c r="C60" s="63">
        <f>138.5+0.24+40.68</f>
        <v>179.42000000000002</v>
      </c>
      <c r="D60" s="63">
        <f>50+0.3+30.51</f>
        <v>80.81</v>
      </c>
      <c r="E60" s="35">
        <f t="shared" si="30"/>
        <v>318.86</v>
      </c>
      <c r="F60" s="37">
        <f>68+0.18+6.78</f>
        <v>74.96000000000001</v>
      </c>
      <c r="G60" s="37">
        <f>33.5+0.12+4.52</f>
        <v>38.14</v>
      </c>
      <c r="H60" s="37">
        <f>12.5+0.12</f>
        <v>12.62</v>
      </c>
      <c r="I60" s="35">
        <f t="shared" si="31"/>
        <v>125.72000000000001</v>
      </c>
      <c r="J60" s="37">
        <f>40+0.24+1.13</f>
        <v>41.370000000000005</v>
      </c>
      <c r="K60" s="37">
        <f>116+0.06+2.26</f>
        <v>118.32000000000001</v>
      </c>
      <c r="L60" s="37">
        <v>67.5</v>
      </c>
      <c r="M60" s="35">
        <f t="shared" si="32"/>
        <v>227.19</v>
      </c>
      <c r="N60" s="37">
        <f>38.5+0.48</f>
        <v>38.98</v>
      </c>
      <c r="O60" s="37">
        <f>33.5+0.18+3.39</f>
        <v>37.07</v>
      </c>
      <c r="P60" s="38">
        <f>50.5+0.12+2.26</f>
        <v>52.879999999999995</v>
      </c>
      <c r="Q60" s="35">
        <f t="shared" si="33"/>
        <v>128.93</v>
      </c>
      <c r="R60" s="34">
        <f t="shared" si="28"/>
        <v>800.7</v>
      </c>
    </row>
    <row r="61" spans="1:18" ht="12.75" hidden="1" outlineLevel="3">
      <c r="A61" s="23" t="s">
        <v>21</v>
      </c>
      <c r="B61" s="63"/>
      <c r="C61" s="63"/>
      <c r="D61" s="63"/>
      <c r="E61" s="35">
        <f t="shared" si="30"/>
        <v>0</v>
      </c>
      <c r="F61" s="37"/>
      <c r="G61" s="37"/>
      <c r="H61" s="37"/>
      <c r="I61" s="35">
        <f t="shared" si="31"/>
        <v>0</v>
      </c>
      <c r="J61" s="37"/>
      <c r="K61" s="37"/>
      <c r="L61" s="37"/>
      <c r="M61" s="35">
        <f t="shared" si="32"/>
        <v>0</v>
      </c>
      <c r="N61" s="37"/>
      <c r="O61" s="37"/>
      <c r="P61" s="38"/>
      <c r="Q61" s="35">
        <f t="shared" si="33"/>
        <v>0</v>
      </c>
      <c r="R61" s="34">
        <f t="shared" si="28"/>
        <v>0</v>
      </c>
    </row>
    <row r="62" spans="1:18" ht="12.75" hidden="1" outlineLevel="3">
      <c r="A62" s="23" t="s">
        <v>22</v>
      </c>
      <c r="B62" s="63"/>
      <c r="C62" s="63">
        <v>21.3</v>
      </c>
      <c r="D62" s="63">
        <v>25.56</v>
      </c>
      <c r="E62" s="35">
        <f t="shared" si="30"/>
        <v>46.86</v>
      </c>
      <c r="F62" s="37">
        <v>12.78</v>
      </c>
      <c r="G62" s="37">
        <v>4.26</v>
      </c>
      <c r="H62" s="37">
        <v>8.52</v>
      </c>
      <c r="I62" s="35">
        <f t="shared" si="31"/>
        <v>25.56</v>
      </c>
      <c r="J62" s="37">
        <v>25.56</v>
      </c>
      <c r="K62" s="37">
        <v>4.26</v>
      </c>
      <c r="L62" s="37">
        <v>12.78</v>
      </c>
      <c r="M62" s="35">
        <f t="shared" si="32"/>
        <v>42.6</v>
      </c>
      <c r="N62" s="37">
        <v>25.56</v>
      </c>
      <c r="O62" s="37">
        <v>46.86</v>
      </c>
      <c r="P62" s="38">
        <v>55.38</v>
      </c>
      <c r="Q62" s="35">
        <f t="shared" si="33"/>
        <v>127.80000000000001</v>
      </c>
      <c r="R62" s="34">
        <f t="shared" si="28"/>
        <v>242.82</v>
      </c>
    </row>
    <row r="63" spans="1:18" ht="12.75" hidden="1" outlineLevel="3">
      <c r="A63" s="23" t="s">
        <v>61</v>
      </c>
      <c r="B63" s="62"/>
      <c r="C63" s="62"/>
      <c r="D63" s="62"/>
      <c r="E63" s="35">
        <f t="shared" si="30"/>
        <v>0</v>
      </c>
      <c r="F63" s="38"/>
      <c r="G63" s="38"/>
      <c r="H63" s="38"/>
      <c r="I63" s="35">
        <f t="shared" si="31"/>
        <v>0</v>
      </c>
      <c r="J63" s="38"/>
      <c r="K63" s="38"/>
      <c r="L63" s="38"/>
      <c r="M63" s="35">
        <f t="shared" si="32"/>
        <v>0</v>
      </c>
      <c r="N63" s="38"/>
      <c r="O63" s="38"/>
      <c r="P63" s="38"/>
      <c r="Q63" s="35">
        <f t="shared" si="33"/>
        <v>0</v>
      </c>
      <c r="R63" s="72">
        <f t="shared" si="28"/>
        <v>0</v>
      </c>
    </row>
    <row r="64" spans="1:18" ht="12.75" hidden="1" outlineLevel="2" collapsed="1">
      <c r="A64" s="28" t="s">
        <v>50</v>
      </c>
      <c r="B64" s="68">
        <f aca="true" t="shared" si="34" ref="B64:Q64">SUM(B55:B62)</f>
        <v>1040.3700000000001</v>
      </c>
      <c r="C64" s="68">
        <f t="shared" si="34"/>
        <v>1278.33</v>
      </c>
      <c r="D64" s="68">
        <f t="shared" si="34"/>
        <v>1212.1599999999999</v>
      </c>
      <c r="E64" s="42">
        <f t="shared" si="34"/>
        <v>3530.8600000000006</v>
      </c>
      <c r="F64" s="43">
        <f t="shared" si="34"/>
        <v>1034.64</v>
      </c>
      <c r="G64" s="43">
        <f t="shared" si="34"/>
        <v>1085.5200000000002</v>
      </c>
      <c r="H64" s="43">
        <f t="shared" si="34"/>
        <v>1012.74</v>
      </c>
      <c r="I64" s="42">
        <f t="shared" si="34"/>
        <v>3132.899999999999</v>
      </c>
      <c r="J64" s="43">
        <f t="shared" si="34"/>
        <v>1035.09</v>
      </c>
      <c r="K64" s="43">
        <f t="shared" si="34"/>
        <v>1148.6299999999999</v>
      </c>
      <c r="L64" s="43">
        <f t="shared" si="34"/>
        <v>1245.5599999999997</v>
      </c>
      <c r="M64" s="42">
        <f t="shared" si="34"/>
        <v>3429.28</v>
      </c>
      <c r="N64" s="43">
        <f t="shared" si="34"/>
        <v>1108.39</v>
      </c>
      <c r="O64" s="43">
        <f t="shared" si="34"/>
        <v>1058.45</v>
      </c>
      <c r="P64" s="43">
        <f t="shared" si="34"/>
        <v>1219.5600000000004</v>
      </c>
      <c r="Q64" s="42">
        <f t="shared" si="34"/>
        <v>3386.3999999999996</v>
      </c>
      <c r="R64" s="44">
        <f t="shared" si="28"/>
        <v>13479.44</v>
      </c>
    </row>
    <row r="65" spans="1:21" ht="13.5" outlineLevel="1" collapsed="1" thickBot="1">
      <c r="A65" s="26" t="s">
        <v>48</v>
      </c>
      <c r="B65" s="69">
        <f aca="true" t="shared" si="35" ref="B65:R65">B64+B54</f>
        <v>972.9900000000001</v>
      </c>
      <c r="C65" s="69">
        <f t="shared" si="35"/>
        <v>1278.33</v>
      </c>
      <c r="D65" s="69">
        <f t="shared" si="35"/>
        <v>1212.1599999999999</v>
      </c>
      <c r="E65" s="45">
        <f t="shared" si="35"/>
        <v>3463.4800000000005</v>
      </c>
      <c r="F65" s="46">
        <f t="shared" si="35"/>
        <v>1034.64</v>
      </c>
      <c r="G65" s="46">
        <f t="shared" si="35"/>
        <v>1085.5200000000002</v>
      </c>
      <c r="H65" s="46">
        <f t="shared" si="35"/>
        <v>1012.74</v>
      </c>
      <c r="I65" s="45">
        <f t="shared" si="35"/>
        <v>3132.899999999999</v>
      </c>
      <c r="J65" s="46">
        <f t="shared" si="35"/>
        <v>1035.09</v>
      </c>
      <c r="K65" s="46">
        <f t="shared" si="35"/>
        <v>1148.6299999999999</v>
      </c>
      <c r="L65" s="46">
        <f t="shared" si="35"/>
        <v>1258.3299999999997</v>
      </c>
      <c r="M65" s="45">
        <f t="shared" si="35"/>
        <v>3442.05</v>
      </c>
      <c r="N65" s="46">
        <f t="shared" si="35"/>
        <v>1108.39</v>
      </c>
      <c r="O65" s="46">
        <f t="shared" si="35"/>
        <v>1058.45</v>
      </c>
      <c r="P65" s="46">
        <f t="shared" si="35"/>
        <v>1219.5600000000004</v>
      </c>
      <c r="Q65" s="45">
        <f t="shared" si="35"/>
        <v>3386.3999999999996</v>
      </c>
      <c r="R65" s="47">
        <f t="shared" si="35"/>
        <v>13424.83</v>
      </c>
      <c r="S65" s="65">
        <f>((B55/0.12)+(C55/0.12)+(D55/0.12)+(F55/0.12)+(G55/0.12)+(H55/0.12)+(J55/0.12)+(K55/0.12)+(L55/0.12)+(N55/0.12)+(O55/0.12)+(P55/0.12))/12</f>
        <v>5962.583333333333</v>
      </c>
      <c r="T65" s="54">
        <f>R65/S65</f>
        <v>2.2515123478358094</v>
      </c>
      <c r="U65" s="66">
        <f>R57/R64</f>
        <v>0.1220584831417329</v>
      </c>
    </row>
    <row r="66" spans="1:18" ht="13.5" outlineLevel="1" thickTop="1">
      <c r="A66" s="16" t="s">
        <v>29</v>
      </c>
      <c r="B66" s="17"/>
      <c r="C66" s="17"/>
      <c r="D66" s="17"/>
      <c r="E66" s="14"/>
      <c r="F66" s="17"/>
      <c r="G66" s="17"/>
      <c r="H66" s="17"/>
      <c r="I66" s="14"/>
      <c r="J66" s="17"/>
      <c r="K66" s="17"/>
      <c r="L66" s="17"/>
      <c r="M66" s="14"/>
      <c r="N66" s="17"/>
      <c r="O66" s="17"/>
      <c r="P66" s="17"/>
      <c r="Q66" s="14"/>
      <c r="R66" s="27"/>
    </row>
    <row r="67" spans="1:18" ht="12.75" hidden="1" outlineLevel="3">
      <c r="A67" s="19" t="s">
        <v>40</v>
      </c>
      <c r="B67" s="20"/>
      <c r="C67" s="20"/>
      <c r="D67" s="20"/>
      <c r="E67" s="67">
        <f aca="true" t="shared" si="36" ref="E67:E74">SUM(B67:D67)</f>
        <v>0</v>
      </c>
      <c r="F67" s="20"/>
      <c r="G67" s="20"/>
      <c r="H67" s="20"/>
      <c r="I67" s="67">
        <f aca="true" t="shared" si="37" ref="I67:I74">SUM(F67:H67)</f>
        <v>0</v>
      </c>
      <c r="J67" s="20"/>
      <c r="K67" s="20"/>
      <c r="L67" s="20"/>
      <c r="M67" s="67">
        <f aca="true" t="shared" si="38" ref="M67:M74">SUM(J67:L67)</f>
        <v>0</v>
      </c>
      <c r="N67" s="20"/>
      <c r="O67" s="20"/>
      <c r="P67" s="20"/>
      <c r="Q67" s="67">
        <f aca="true" t="shared" si="39" ref="Q67:Q74">SUM(N67:P67)</f>
        <v>0</v>
      </c>
      <c r="R67" s="21">
        <f aca="true" t="shared" si="40" ref="R67:R85">Q67+M67+I67+E67</f>
        <v>0</v>
      </c>
    </row>
    <row r="68" spans="1:18" ht="12.75" hidden="1" outlineLevel="3">
      <c r="A68" s="19" t="s">
        <v>41</v>
      </c>
      <c r="B68" s="20"/>
      <c r="C68" s="20"/>
      <c r="D68" s="20"/>
      <c r="E68" s="67">
        <f t="shared" si="36"/>
        <v>0</v>
      </c>
      <c r="F68" s="20"/>
      <c r="G68" s="20"/>
      <c r="H68" s="20"/>
      <c r="I68" s="67">
        <f t="shared" si="37"/>
        <v>0</v>
      </c>
      <c r="J68" s="20"/>
      <c r="K68" s="20"/>
      <c r="L68" s="20"/>
      <c r="M68" s="67">
        <f t="shared" si="38"/>
        <v>0</v>
      </c>
      <c r="N68" s="20"/>
      <c r="O68" s="20"/>
      <c r="P68" s="20"/>
      <c r="Q68" s="67">
        <f t="shared" si="39"/>
        <v>0</v>
      </c>
      <c r="R68" s="21">
        <f t="shared" si="40"/>
        <v>0</v>
      </c>
    </row>
    <row r="69" spans="1:18" ht="12.75" hidden="1" outlineLevel="3">
      <c r="A69" s="19" t="s">
        <v>42</v>
      </c>
      <c r="B69" s="20"/>
      <c r="C69" s="20"/>
      <c r="D69" s="20"/>
      <c r="E69" s="67">
        <f t="shared" si="36"/>
        <v>0</v>
      </c>
      <c r="F69" s="20"/>
      <c r="G69" s="20"/>
      <c r="H69" s="20"/>
      <c r="I69" s="67">
        <f t="shared" si="37"/>
        <v>0</v>
      </c>
      <c r="J69" s="20"/>
      <c r="K69" s="20"/>
      <c r="L69" s="20"/>
      <c r="M69" s="67">
        <f t="shared" si="38"/>
        <v>0</v>
      </c>
      <c r="N69" s="20"/>
      <c r="O69" s="20"/>
      <c r="P69" s="20"/>
      <c r="Q69" s="67">
        <f t="shared" si="39"/>
        <v>0</v>
      </c>
      <c r="R69" s="21">
        <f t="shared" si="40"/>
        <v>0</v>
      </c>
    </row>
    <row r="70" spans="1:18" ht="12.75" hidden="1" outlineLevel="3">
      <c r="A70" s="19" t="s">
        <v>43</v>
      </c>
      <c r="B70" s="20"/>
      <c r="C70" s="20"/>
      <c r="D70" s="20"/>
      <c r="E70" s="67">
        <f t="shared" si="36"/>
        <v>0</v>
      </c>
      <c r="F70" s="20"/>
      <c r="G70" s="20"/>
      <c r="H70" s="20"/>
      <c r="I70" s="67">
        <f t="shared" si="37"/>
        <v>0</v>
      </c>
      <c r="J70" s="20"/>
      <c r="K70" s="20"/>
      <c r="L70" s="20"/>
      <c r="M70" s="67">
        <f t="shared" si="38"/>
        <v>0</v>
      </c>
      <c r="N70" s="20"/>
      <c r="O70" s="20"/>
      <c r="P70" s="20"/>
      <c r="Q70" s="67">
        <f t="shared" si="39"/>
        <v>0</v>
      </c>
      <c r="R70" s="21">
        <f t="shared" si="40"/>
        <v>0</v>
      </c>
    </row>
    <row r="71" spans="1:18" ht="12.75" hidden="1" outlineLevel="3">
      <c r="A71" s="19" t="s">
        <v>44</v>
      </c>
      <c r="B71" s="20"/>
      <c r="C71" s="20"/>
      <c r="D71" s="20"/>
      <c r="E71" s="67">
        <f t="shared" si="36"/>
        <v>0</v>
      </c>
      <c r="F71" s="20"/>
      <c r="G71" s="20"/>
      <c r="H71" s="20"/>
      <c r="I71" s="67">
        <f t="shared" si="37"/>
        <v>0</v>
      </c>
      <c r="J71" s="20"/>
      <c r="K71" s="20"/>
      <c r="L71" s="20"/>
      <c r="M71" s="67">
        <f t="shared" si="38"/>
        <v>0</v>
      </c>
      <c r="N71" s="20"/>
      <c r="O71" s="20"/>
      <c r="P71" s="20"/>
      <c r="Q71" s="67">
        <f t="shared" si="39"/>
        <v>0</v>
      </c>
      <c r="R71" s="21">
        <f t="shared" si="40"/>
        <v>0</v>
      </c>
    </row>
    <row r="72" spans="1:18" ht="12.75" hidden="1" outlineLevel="3">
      <c r="A72" s="19" t="s">
        <v>45</v>
      </c>
      <c r="B72" s="62">
        <v>-10.17</v>
      </c>
      <c r="C72" s="62"/>
      <c r="D72" s="62"/>
      <c r="E72" s="35">
        <f t="shared" si="36"/>
        <v>-10.17</v>
      </c>
      <c r="F72" s="62"/>
      <c r="G72" s="62"/>
      <c r="H72" s="62"/>
      <c r="I72" s="35">
        <f t="shared" si="37"/>
        <v>0</v>
      </c>
      <c r="J72" s="62"/>
      <c r="K72" s="62"/>
      <c r="L72" s="62"/>
      <c r="M72" s="35">
        <f t="shared" si="38"/>
        <v>0</v>
      </c>
      <c r="N72" s="62"/>
      <c r="O72" s="62"/>
      <c r="P72" s="62"/>
      <c r="Q72" s="35">
        <f t="shared" si="39"/>
        <v>0</v>
      </c>
      <c r="R72" s="34">
        <f t="shared" si="40"/>
        <v>-10.17</v>
      </c>
    </row>
    <row r="73" spans="1:18" ht="12.75" hidden="1" outlineLevel="3">
      <c r="A73" s="19" t="s">
        <v>46</v>
      </c>
      <c r="B73" s="20"/>
      <c r="C73" s="20"/>
      <c r="D73" s="20"/>
      <c r="E73" s="67">
        <f t="shared" si="36"/>
        <v>0</v>
      </c>
      <c r="F73" s="20"/>
      <c r="G73" s="20"/>
      <c r="H73" s="20"/>
      <c r="I73" s="67">
        <f t="shared" si="37"/>
        <v>0</v>
      </c>
      <c r="J73" s="20"/>
      <c r="K73" s="20"/>
      <c r="L73" s="20"/>
      <c r="M73" s="67">
        <f t="shared" si="38"/>
        <v>0</v>
      </c>
      <c r="N73" s="20"/>
      <c r="O73" s="20"/>
      <c r="P73" s="20"/>
      <c r="Q73" s="67">
        <f t="shared" si="39"/>
        <v>0</v>
      </c>
      <c r="R73" s="21">
        <f t="shared" si="40"/>
        <v>0</v>
      </c>
    </row>
    <row r="74" spans="1:18" ht="12.75" hidden="1" outlineLevel="3">
      <c r="A74" s="19" t="s">
        <v>58</v>
      </c>
      <c r="B74" s="62"/>
      <c r="C74" s="62"/>
      <c r="D74" s="62"/>
      <c r="E74" s="59">
        <f t="shared" si="36"/>
        <v>0</v>
      </c>
      <c r="F74" s="52"/>
      <c r="G74" s="52"/>
      <c r="H74" s="52"/>
      <c r="I74" s="59">
        <f t="shared" si="37"/>
        <v>0</v>
      </c>
      <c r="J74" s="52"/>
      <c r="K74" s="52"/>
      <c r="L74" s="52">
        <v>2</v>
      </c>
      <c r="M74" s="59">
        <f t="shared" si="38"/>
        <v>2</v>
      </c>
      <c r="N74" s="52"/>
      <c r="O74" s="52"/>
      <c r="P74" s="52"/>
      <c r="Q74" s="59">
        <f t="shared" si="39"/>
        <v>0</v>
      </c>
      <c r="R74" s="60">
        <f t="shared" si="40"/>
        <v>2</v>
      </c>
    </row>
    <row r="75" spans="1:18" ht="12.75" hidden="1" outlineLevel="2" collapsed="1">
      <c r="A75" s="22" t="s">
        <v>47</v>
      </c>
      <c r="B75" s="63">
        <f aca="true" t="shared" si="41" ref="B75:Q75">SUM(B67:B74)</f>
        <v>-10.17</v>
      </c>
      <c r="C75" s="63">
        <f t="shared" si="41"/>
        <v>0</v>
      </c>
      <c r="D75" s="63">
        <f t="shared" si="41"/>
        <v>0</v>
      </c>
      <c r="E75" s="33">
        <f t="shared" si="41"/>
        <v>-10.17</v>
      </c>
      <c r="F75" s="33">
        <f t="shared" si="41"/>
        <v>0</v>
      </c>
      <c r="G75" s="33">
        <f t="shared" si="41"/>
        <v>0</v>
      </c>
      <c r="H75" s="33">
        <f t="shared" si="41"/>
        <v>0</v>
      </c>
      <c r="I75" s="33">
        <f t="shared" si="41"/>
        <v>0</v>
      </c>
      <c r="J75" s="33">
        <f t="shared" si="41"/>
        <v>0</v>
      </c>
      <c r="K75" s="33">
        <f t="shared" si="41"/>
        <v>0</v>
      </c>
      <c r="L75" s="33">
        <f t="shared" si="41"/>
        <v>2</v>
      </c>
      <c r="M75" s="33">
        <f t="shared" si="41"/>
        <v>2</v>
      </c>
      <c r="N75" s="33">
        <f t="shared" si="41"/>
        <v>0</v>
      </c>
      <c r="O75" s="33">
        <f t="shared" si="41"/>
        <v>0</v>
      </c>
      <c r="P75" s="33">
        <f t="shared" si="41"/>
        <v>0</v>
      </c>
      <c r="Q75" s="33">
        <f t="shared" si="41"/>
        <v>0</v>
      </c>
      <c r="R75" s="34">
        <f t="shared" si="40"/>
        <v>-8.17</v>
      </c>
    </row>
    <row r="76" spans="1:18" ht="12.75" hidden="1" outlineLevel="3">
      <c r="A76" s="23" t="s">
        <v>15</v>
      </c>
      <c r="B76" s="63">
        <v>107.64</v>
      </c>
      <c r="C76" s="63">
        <v>108.48</v>
      </c>
      <c r="D76" s="63">
        <v>108.72</v>
      </c>
      <c r="E76" s="35">
        <f aca="true" t="shared" si="42" ref="E76:E84">SUM(B76:D76)</f>
        <v>324.84000000000003</v>
      </c>
      <c r="F76" s="37">
        <v>107.64</v>
      </c>
      <c r="G76" s="37">
        <v>108.48</v>
      </c>
      <c r="H76" s="37">
        <v>107.88</v>
      </c>
      <c r="I76" s="35">
        <f aca="true" t="shared" si="43" ref="I76:I84">SUM(F76:H76)</f>
        <v>324</v>
      </c>
      <c r="J76" s="37">
        <v>106.32</v>
      </c>
      <c r="K76" s="37">
        <v>107.16</v>
      </c>
      <c r="L76" s="37">
        <v>109.32</v>
      </c>
      <c r="M76" s="35">
        <f aca="true" t="shared" si="44" ref="M76:M84">SUM(J76:L76)</f>
        <v>322.79999999999995</v>
      </c>
      <c r="N76" s="37">
        <v>110.4</v>
      </c>
      <c r="O76" s="37">
        <v>110.4</v>
      </c>
      <c r="P76" s="38">
        <v>109.08</v>
      </c>
      <c r="Q76" s="35">
        <f aca="true" t="shared" si="45" ref="Q76:Q84">SUM(N76:P76)</f>
        <v>329.88</v>
      </c>
      <c r="R76" s="34">
        <f t="shared" si="40"/>
        <v>1301.52</v>
      </c>
    </row>
    <row r="77" spans="1:18" ht="12.75" hidden="1" outlineLevel="3">
      <c r="A77" s="23" t="s">
        <v>16</v>
      </c>
      <c r="B77" s="62">
        <v>22.35</v>
      </c>
      <c r="C77" s="62">
        <v>22.35</v>
      </c>
      <c r="D77" s="62">
        <v>22.35</v>
      </c>
      <c r="E77" s="35">
        <f t="shared" si="42"/>
        <v>67.05000000000001</v>
      </c>
      <c r="F77" s="62">
        <v>22.35</v>
      </c>
      <c r="G77" s="62">
        <v>22.35</v>
      </c>
      <c r="H77" s="62">
        <v>22.35</v>
      </c>
      <c r="I77" s="35">
        <f t="shared" si="43"/>
        <v>67.05000000000001</v>
      </c>
      <c r="J77" s="62">
        <v>22.35</v>
      </c>
      <c r="K77" s="62">
        <v>22.35</v>
      </c>
      <c r="L77" s="62">
        <v>22.35</v>
      </c>
      <c r="M77" s="35">
        <f t="shared" si="44"/>
        <v>67.05000000000001</v>
      </c>
      <c r="N77" s="62">
        <v>22.35</v>
      </c>
      <c r="O77" s="62">
        <v>22.35</v>
      </c>
      <c r="P77" s="62">
        <v>19</v>
      </c>
      <c r="Q77" s="35">
        <f t="shared" si="45"/>
        <v>63.7</v>
      </c>
      <c r="R77" s="34">
        <f t="shared" si="40"/>
        <v>264.85</v>
      </c>
    </row>
    <row r="78" spans="1:18" ht="12.75" hidden="1" outlineLevel="3">
      <c r="A78" s="23" t="s">
        <v>17</v>
      </c>
      <c r="B78" s="63">
        <v>185.32</v>
      </c>
      <c r="C78" s="63">
        <v>106.22</v>
      </c>
      <c r="D78" s="63">
        <v>51.98</v>
      </c>
      <c r="E78" s="35">
        <f t="shared" si="42"/>
        <v>343.52</v>
      </c>
      <c r="F78" s="37">
        <v>29.38</v>
      </c>
      <c r="G78" s="37">
        <v>28.25</v>
      </c>
      <c r="H78" s="37">
        <v>29.38</v>
      </c>
      <c r="I78" s="35">
        <f t="shared" si="43"/>
        <v>87.00999999999999</v>
      </c>
      <c r="J78" s="37">
        <v>22.6</v>
      </c>
      <c r="K78" s="37">
        <v>35.03</v>
      </c>
      <c r="L78" s="37">
        <v>47.46</v>
      </c>
      <c r="M78" s="35">
        <f t="shared" si="44"/>
        <v>105.09</v>
      </c>
      <c r="N78" s="37">
        <v>33.9</v>
      </c>
      <c r="O78" s="37">
        <v>35.03</v>
      </c>
      <c r="P78" s="38">
        <v>25.99</v>
      </c>
      <c r="Q78" s="35">
        <f t="shared" si="45"/>
        <v>94.92</v>
      </c>
      <c r="R78" s="34">
        <f t="shared" si="40"/>
        <v>630.54</v>
      </c>
    </row>
    <row r="79" spans="1:18" ht="12.75" hidden="1" outlineLevel="3">
      <c r="A79" s="25" t="s">
        <v>18</v>
      </c>
      <c r="B79" s="63">
        <f>6.33+0.61</f>
        <v>6.94</v>
      </c>
      <c r="C79" s="63">
        <f>5.5+0.6</f>
        <v>6.1</v>
      </c>
      <c r="D79" s="63">
        <f>6.02+0.6+15.52+0.66</f>
        <v>22.8</v>
      </c>
      <c r="E79" s="35">
        <f t="shared" si="42"/>
        <v>35.84</v>
      </c>
      <c r="F79" s="37"/>
      <c r="G79" s="37">
        <f>17.1+0.71</f>
        <v>17.810000000000002</v>
      </c>
      <c r="H79" s="37">
        <f>11.84+0.64</f>
        <v>12.48</v>
      </c>
      <c r="I79" s="35">
        <f t="shared" si="43"/>
        <v>30.290000000000003</v>
      </c>
      <c r="J79" s="37"/>
      <c r="K79" s="37"/>
      <c r="L79" s="37">
        <f>5.96+0.05</f>
        <v>6.01</v>
      </c>
      <c r="M79" s="35">
        <f t="shared" si="44"/>
        <v>6.01</v>
      </c>
      <c r="N79" s="37"/>
      <c r="O79" s="37"/>
      <c r="P79" s="38">
        <f>0.04+4.96+0.05+7.03+0.04+5.7+0.07</f>
        <v>17.89</v>
      </c>
      <c r="Q79" s="35">
        <f t="shared" si="45"/>
        <v>17.89</v>
      </c>
      <c r="R79" s="34">
        <f t="shared" si="40"/>
        <v>90.03</v>
      </c>
    </row>
    <row r="80" spans="1:18" ht="12.75" hidden="1" outlineLevel="3">
      <c r="A80" s="23" t="s">
        <v>19</v>
      </c>
      <c r="B80" s="63">
        <v>0.93</v>
      </c>
      <c r="C80" s="63">
        <v>6.51</v>
      </c>
      <c r="D80" s="63">
        <v>11.16</v>
      </c>
      <c r="E80" s="35">
        <f t="shared" si="42"/>
        <v>18.6</v>
      </c>
      <c r="F80" s="37"/>
      <c r="G80" s="37"/>
      <c r="H80" s="37">
        <v>0.93</v>
      </c>
      <c r="I80" s="35">
        <f t="shared" si="43"/>
        <v>0.93</v>
      </c>
      <c r="J80" s="37"/>
      <c r="K80" s="37">
        <v>0.93</v>
      </c>
      <c r="L80" s="37">
        <v>1.86</v>
      </c>
      <c r="M80" s="35">
        <f t="shared" si="44"/>
        <v>2.79</v>
      </c>
      <c r="N80" s="37">
        <v>1.86</v>
      </c>
      <c r="O80" s="37">
        <v>0.93</v>
      </c>
      <c r="P80" s="38"/>
      <c r="Q80" s="35">
        <f t="shared" si="45"/>
        <v>2.79</v>
      </c>
      <c r="R80" s="34">
        <f t="shared" si="40"/>
        <v>25.11</v>
      </c>
    </row>
    <row r="81" spans="1:18" ht="12.75" hidden="1" outlineLevel="3">
      <c r="A81" s="23" t="s">
        <v>20</v>
      </c>
      <c r="B81" s="63">
        <v>77.5</v>
      </c>
      <c r="C81" s="63">
        <f>47.5+0.12+11.3</f>
        <v>58.92</v>
      </c>
      <c r="D81" s="63">
        <f>45+0.72+31.64</f>
        <v>77.36</v>
      </c>
      <c r="E81" s="35">
        <f t="shared" si="42"/>
        <v>213.78000000000003</v>
      </c>
      <c r="F81" s="37">
        <v>18.5</v>
      </c>
      <c r="G81" s="37">
        <v>15.5</v>
      </c>
      <c r="H81" s="37">
        <f>17.5+1.13</f>
        <v>18.63</v>
      </c>
      <c r="I81" s="35">
        <f t="shared" si="43"/>
        <v>52.629999999999995</v>
      </c>
      <c r="J81" s="37">
        <v>7</v>
      </c>
      <c r="K81" s="37">
        <v>18.5</v>
      </c>
      <c r="L81" s="37">
        <v>25.5</v>
      </c>
      <c r="M81" s="35">
        <f t="shared" si="44"/>
        <v>51</v>
      </c>
      <c r="N81" s="37">
        <v>16.06</v>
      </c>
      <c r="O81" s="37">
        <v>17</v>
      </c>
      <c r="P81" s="38">
        <v>8</v>
      </c>
      <c r="Q81" s="35">
        <f t="shared" si="45"/>
        <v>41.06</v>
      </c>
      <c r="R81" s="34">
        <f t="shared" si="40"/>
        <v>358.47</v>
      </c>
    </row>
    <row r="82" spans="1:18" ht="12.75" hidden="1" outlineLevel="3">
      <c r="A82" s="23" t="s">
        <v>21</v>
      </c>
      <c r="B82" s="63"/>
      <c r="C82" s="63"/>
      <c r="D82" s="63"/>
      <c r="E82" s="35">
        <f t="shared" si="42"/>
        <v>0</v>
      </c>
      <c r="F82" s="37"/>
      <c r="G82" s="37"/>
      <c r="H82" s="37"/>
      <c r="I82" s="35">
        <f t="shared" si="43"/>
        <v>0</v>
      </c>
      <c r="J82" s="37"/>
      <c r="K82" s="37"/>
      <c r="L82" s="37"/>
      <c r="M82" s="35">
        <f t="shared" si="44"/>
        <v>0</v>
      </c>
      <c r="N82" s="37"/>
      <c r="O82" s="37"/>
      <c r="P82" s="38"/>
      <c r="Q82" s="35">
        <f t="shared" si="45"/>
        <v>0</v>
      </c>
      <c r="R82" s="34">
        <f t="shared" si="40"/>
        <v>0</v>
      </c>
    </row>
    <row r="83" spans="1:18" ht="12.75" hidden="1" outlineLevel="3">
      <c r="A83" s="23" t="s">
        <v>22</v>
      </c>
      <c r="B83" s="63">
        <v>4.26</v>
      </c>
      <c r="C83" s="63"/>
      <c r="D83" s="63">
        <v>21.3</v>
      </c>
      <c r="E83" s="35">
        <f t="shared" si="42"/>
        <v>25.560000000000002</v>
      </c>
      <c r="F83" s="37">
        <v>21.3</v>
      </c>
      <c r="G83" s="37">
        <v>8.52</v>
      </c>
      <c r="H83" s="37">
        <v>4.26</v>
      </c>
      <c r="I83" s="35">
        <f t="shared" si="43"/>
        <v>34.08</v>
      </c>
      <c r="J83" s="37">
        <v>4.26</v>
      </c>
      <c r="K83" s="37">
        <v>8.52</v>
      </c>
      <c r="L83" s="37"/>
      <c r="M83" s="35">
        <f t="shared" si="44"/>
        <v>12.78</v>
      </c>
      <c r="N83" s="37">
        <v>8.52</v>
      </c>
      <c r="O83" s="37">
        <v>8.52</v>
      </c>
      <c r="P83" s="38">
        <v>8.52</v>
      </c>
      <c r="Q83" s="35">
        <f t="shared" si="45"/>
        <v>25.56</v>
      </c>
      <c r="R83" s="34">
        <f t="shared" si="40"/>
        <v>97.97999999999999</v>
      </c>
    </row>
    <row r="84" spans="1:18" ht="12.75" hidden="1" outlineLevel="3">
      <c r="A84" s="23" t="s">
        <v>61</v>
      </c>
      <c r="B84" s="62"/>
      <c r="C84" s="62"/>
      <c r="D84" s="62"/>
      <c r="E84" s="35">
        <f t="shared" si="42"/>
        <v>0</v>
      </c>
      <c r="F84" s="38"/>
      <c r="G84" s="38"/>
      <c r="H84" s="38"/>
      <c r="I84" s="35">
        <f t="shared" si="43"/>
        <v>0</v>
      </c>
      <c r="J84" s="38"/>
      <c r="K84" s="38"/>
      <c r="L84" s="38"/>
      <c r="M84" s="35">
        <f t="shared" si="44"/>
        <v>0</v>
      </c>
      <c r="N84" s="38"/>
      <c r="O84" s="38"/>
      <c r="P84" s="38"/>
      <c r="Q84" s="35">
        <f t="shared" si="45"/>
        <v>0</v>
      </c>
      <c r="R84" s="72">
        <f t="shared" si="40"/>
        <v>0</v>
      </c>
    </row>
    <row r="85" spans="1:18" ht="12.75" hidden="1" outlineLevel="2" collapsed="1">
      <c r="A85" s="28" t="s">
        <v>50</v>
      </c>
      <c r="B85" s="68">
        <f aca="true" t="shared" si="46" ref="B85:Q85">SUM(B76:B83)</f>
        <v>404.94</v>
      </c>
      <c r="C85" s="68">
        <f t="shared" si="46"/>
        <v>308.58</v>
      </c>
      <c r="D85" s="68">
        <f t="shared" si="46"/>
        <v>315.67</v>
      </c>
      <c r="E85" s="42">
        <f t="shared" si="46"/>
        <v>1029.19</v>
      </c>
      <c r="F85" s="43">
        <f t="shared" si="46"/>
        <v>199.17000000000002</v>
      </c>
      <c r="G85" s="43">
        <f t="shared" si="46"/>
        <v>200.91000000000003</v>
      </c>
      <c r="H85" s="43">
        <f t="shared" si="46"/>
        <v>195.90999999999997</v>
      </c>
      <c r="I85" s="42">
        <f t="shared" si="46"/>
        <v>595.9900000000001</v>
      </c>
      <c r="J85" s="43">
        <f t="shared" si="46"/>
        <v>162.52999999999997</v>
      </c>
      <c r="K85" s="43">
        <f t="shared" si="46"/>
        <v>192.49</v>
      </c>
      <c r="L85" s="43">
        <f t="shared" si="46"/>
        <v>212.5</v>
      </c>
      <c r="M85" s="42">
        <f t="shared" si="46"/>
        <v>567.52</v>
      </c>
      <c r="N85" s="43">
        <f t="shared" si="46"/>
        <v>193.09000000000003</v>
      </c>
      <c r="O85" s="43">
        <f t="shared" si="46"/>
        <v>194.23000000000002</v>
      </c>
      <c r="P85" s="43">
        <f t="shared" si="46"/>
        <v>188.48</v>
      </c>
      <c r="Q85" s="42">
        <f t="shared" si="46"/>
        <v>575.8</v>
      </c>
      <c r="R85" s="44">
        <f t="shared" si="40"/>
        <v>2768.5</v>
      </c>
    </row>
    <row r="86" spans="1:21" ht="13.5" outlineLevel="1" collapsed="1" thickBot="1">
      <c r="A86" s="26" t="s">
        <v>48</v>
      </c>
      <c r="B86" s="69">
        <f aca="true" t="shared" si="47" ref="B86:R86">B85+B75</f>
        <v>394.77</v>
      </c>
      <c r="C86" s="69">
        <f t="shared" si="47"/>
        <v>308.58</v>
      </c>
      <c r="D86" s="69">
        <f t="shared" si="47"/>
        <v>315.67</v>
      </c>
      <c r="E86" s="45">
        <f t="shared" si="47"/>
        <v>1019.0200000000001</v>
      </c>
      <c r="F86" s="46">
        <f t="shared" si="47"/>
        <v>199.17000000000002</v>
      </c>
      <c r="G86" s="46">
        <f t="shared" si="47"/>
        <v>200.91000000000003</v>
      </c>
      <c r="H86" s="46">
        <f t="shared" si="47"/>
        <v>195.90999999999997</v>
      </c>
      <c r="I86" s="45">
        <f t="shared" si="47"/>
        <v>595.9900000000001</v>
      </c>
      <c r="J86" s="46">
        <f t="shared" si="47"/>
        <v>162.52999999999997</v>
      </c>
      <c r="K86" s="46">
        <f t="shared" si="47"/>
        <v>192.49</v>
      </c>
      <c r="L86" s="46">
        <f t="shared" si="47"/>
        <v>214.5</v>
      </c>
      <c r="M86" s="45">
        <f t="shared" si="47"/>
        <v>569.52</v>
      </c>
      <c r="N86" s="46">
        <f t="shared" si="47"/>
        <v>193.09000000000003</v>
      </c>
      <c r="O86" s="46">
        <f t="shared" si="47"/>
        <v>194.23000000000002</v>
      </c>
      <c r="P86" s="46">
        <f t="shared" si="47"/>
        <v>188.48</v>
      </c>
      <c r="Q86" s="45">
        <f t="shared" si="47"/>
        <v>575.8</v>
      </c>
      <c r="R86" s="47">
        <f t="shared" si="47"/>
        <v>2760.33</v>
      </c>
      <c r="S86" s="65">
        <f>((B76/0.12)+(C76/0.12)+(D76/0.12)+(F76/0.12)+(G76/0.12)+(H76/0.12)+(J76/0.12)+(K76/0.12)+(L76/0.12)+(N76/0.12)+(O76/0.12)+(P76/0.12))/12</f>
        <v>903.8333333333334</v>
      </c>
      <c r="T86" s="54">
        <f>R86/S86</f>
        <v>3.054025447169463</v>
      </c>
      <c r="U86" s="66">
        <f>R78/R86</f>
        <v>0.22842920955103194</v>
      </c>
    </row>
    <row r="87" spans="1:18" ht="13.5" outlineLevel="1" thickTop="1">
      <c r="A87" s="16" t="s">
        <v>30</v>
      </c>
      <c r="B87" s="17"/>
      <c r="C87" s="17"/>
      <c r="D87" s="17"/>
      <c r="E87" s="14"/>
      <c r="F87" s="17"/>
      <c r="G87" s="17"/>
      <c r="H87" s="17"/>
      <c r="I87" s="14"/>
      <c r="J87" s="17"/>
      <c r="K87" s="17"/>
      <c r="L87" s="17"/>
      <c r="M87" s="14"/>
      <c r="N87" s="17"/>
      <c r="O87" s="17"/>
      <c r="P87" s="17"/>
      <c r="Q87" s="14"/>
      <c r="R87" s="27"/>
    </row>
    <row r="88" spans="1:18" ht="12.75" hidden="1" outlineLevel="3">
      <c r="A88" s="19" t="s">
        <v>40</v>
      </c>
      <c r="B88" s="20"/>
      <c r="C88" s="20"/>
      <c r="D88" s="20"/>
      <c r="E88" s="67">
        <f aca="true" t="shared" si="48" ref="E88:E95">SUM(B88:D88)</f>
        <v>0</v>
      </c>
      <c r="F88" s="20"/>
      <c r="G88" s="20"/>
      <c r="H88" s="20"/>
      <c r="I88" s="67">
        <f aca="true" t="shared" si="49" ref="I88:I95">SUM(F88:H88)</f>
        <v>0</v>
      </c>
      <c r="J88" s="20"/>
      <c r="K88" s="20"/>
      <c r="L88" s="20"/>
      <c r="M88" s="67">
        <f aca="true" t="shared" si="50" ref="M88:M95">SUM(J88:L88)</f>
        <v>0</v>
      </c>
      <c r="N88" s="20"/>
      <c r="O88" s="20"/>
      <c r="P88" s="20"/>
      <c r="Q88" s="67">
        <f aca="true" t="shared" si="51" ref="Q88:Q95">SUM(N88:P88)</f>
        <v>0</v>
      </c>
      <c r="R88" s="21">
        <f aca="true" t="shared" si="52" ref="R88:R106">Q88+M88+I88+E88</f>
        <v>0</v>
      </c>
    </row>
    <row r="89" spans="1:18" ht="12.75" hidden="1" outlineLevel="3">
      <c r="A89" s="19" t="s">
        <v>41</v>
      </c>
      <c r="B89" s="20"/>
      <c r="C89" s="20"/>
      <c r="D89" s="20"/>
      <c r="E89" s="67">
        <f t="shared" si="48"/>
        <v>0</v>
      </c>
      <c r="F89" s="20"/>
      <c r="G89" s="20"/>
      <c r="H89" s="20"/>
      <c r="I89" s="67">
        <f t="shared" si="49"/>
        <v>0</v>
      </c>
      <c r="J89" s="20"/>
      <c r="K89" s="20"/>
      <c r="L89" s="20"/>
      <c r="M89" s="67">
        <f t="shared" si="50"/>
        <v>0</v>
      </c>
      <c r="N89" s="20"/>
      <c r="O89" s="20"/>
      <c r="P89" s="20"/>
      <c r="Q89" s="67">
        <f t="shared" si="51"/>
        <v>0</v>
      </c>
      <c r="R89" s="21">
        <f t="shared" si="52"/>
        <v>0</v>
      </c>
    </row>
    <row r="90" spans="1:18" ht="12.75" hidden="1" outlineLevel="3">
      <c r="A90" s="19" t="s">
        <v>42</v>
      </c>
      <c r="B90" s="20"/>
      <c r="C90" s="20"/>
      <c r="D90" s="20"/>
      <c r="E90" s="67">
        <f t="shared" si="48"/>
        <v>0</v>
      </c>
      <c r="F90" s="20"/>
      <c r="G90" s="20"/>
      <c r="H90" s="20"/>
      <c r="I90" s="67">
        <f t="shared" si="49"/>
        <v>0</v>
      </c>
      <c r="J90" s="20"/>
      <c r="K90" s="20"/>
      <c r="L90" s="20"/>
      <c r="M90" s="67">
        <f t="shared" si="50"/>
        <v>0</v>
      </c>
      <c r="N90" s="20"/>
      <c r="O90" s="20"/>
      <c r="P90" s="20"/>
      <c r="Q90" s="67">
        <f t="shared" si="51"/>
        <v>0</v>
      </c>
      <c r="R90" s="21">
        <f t="shared" si="52"/>
        <v>0</v>
      </c>
    </row>
    <row r="91" spans="1:18" ht="12.75" hidden="1" outlineLevel="3">
      <c r="A91" s="19" t="s">
        <v>43</v>
      </c>
      <c r="B91" s="20"/>
      <c r="C91" s="20"/>
      <c r="D91" s="20"/>
      <c r="E91" s="67">
        <f t="shared" si="48"/>
        <v>0</v>
      </c>
      <c r="F91" s="20"/>
      <c r="G91" s="20"/>
      <c r="H91" s="20"/>
      <c r="I91" s="67">
        <f t="shared" si="49"/>
        <v>0</v>
      </c>
      <c r="J91" s="20"/>
      <c r="K91" s="20"/>
      <c r="L91" s="20"/>
      <c r="M91" s="67">
        <f t="shared" si="50"/>
        <v>0</v>
      </c>
      <c r="N91" s="20"/>
      <c r="O91" s="20"/>
      <c r="P91" s="20"/>
      <c r="Q91" s="67">
        <f t="shared" si="51"/>
        <v>0</v>
      </c>
      <c r="R91" s="21">
        <f t="shared" si="52"/>
        <v>0</v>
      </c>
    </row>
    <row r="92" spans="1:18" ht="12.75" hidden="1" outlineLevel="3">
      <c r="A92" s="19" t="s">
        <v>44</v>
      </c>
      <c r="B92" s="20"/>
      <c r="C92" s="20"/>
      <c r="D92" s="20"/>
      <c r="E92" s="67">
        <f t="shared" si="48"/>
        <v>0</v>
      </c>
      <c r="F92" s="20"/>
      <c r="G92" s="20"/>
      <c r="H92" s="20"/>
      <c r="I92" s="67">
        <f t="shared" si="49"/>
        <v>0</v>
      </c>
      <c r="J92" s="20"/>
      <c r="K92" s="20"/>
      <c r="L92" s="20"/>
      <c r="M92" s="67">
        <f t="shared" si="50"/>
        <v>0</v>
      </c>
      <c r="N92" s="20"/>
      <c r="O92" s="20"/>
      <c r="P92" s="20"/>
      <c r="Q92" s="67">
        <f t="shared" si="51"/>
        <v>0</v>
      </c>
      <c r="R92" s="21">
        <f t="shared" si="52"/>
        <v>0</v>
      </c>
    </row>
    <row r="93" spans="1:18" ht="12.75" hidden="1" outlineLevel="3">
      <c r="A93" s="19" t="s">
        <v>45</v>
      </c>
      <c r="B93" s="62">
        <v>-3.08</v>
      </c>
      <c r="C93" s="62"/>
      <c r="D93" s="62"/>
      <c r="E93" s="35">
        <f t="shared" si="48"/>
        <v>-3.08</v>
      </c>
      <c r="F93" s="62"/>
      <c r="G93" s="62"/>
      <c r="H93" s="62"/>
      <c r="I93" s="35">
        <f t="shared" si="49"/>
        <v>0</v>
      </c>
      <c r="J93" s="62"/>
      <c r="K93" s="62"/>
      <c r="L93" s="62"/>
      <c r="M93" s="35">
        <f t="shared" si="50"/>
        <v>0</v>
      </c>
      <c r="N93" s="62"/>
      <c r="O93" s="62"/>
      <c r="P93" s="62"/>
      <c r="Q93" s="35">
        <f t="shared" si="51"/>
        <v>0</v>
      </c>
      <c r="R93" s="34">
        <f t="shared" si="52"/>
        <v>-3.08</v>
      </c>
    </row>
    <row r="94" spans="1:18" ht="12.75" hidden="1" outlineLevel="3">
      <c r="A94" s="19" t="s">
        <v>46</v>
      </c>
      <c r="B94" s="20"/>
      <c r="C94" s="20"/>
      <c r="D94" s="20"/>
      <c r="E94" s="67">
        <f t="shared" si="48"/>
        <v>0</v>
      </c>
      <c r="F94" s="20"/>
      <c r="G94" s="20"/>
      <c r="H94" s="20"/>
      <c r="I94" s="67">
        <f t="shared" si="49"/>
        <v>0</v>
      </c>
      <c r="J94" s="20"/>
      <c r="K94" s="20"/>
      <c r="L94" s="20"/>
      <c r="M94" s="67">
        <f t="shared" si="50"/>
        <v>0</v>
      </c>
      <c r="N94" s="20"/>
      <c r="O94" s="20"/>
      <c r="P94" s="20"/>
      <c r="Q94" s="67">
        <f t="shared" si="51"/>
        <v>0</v>
      </c>
      <c r="R94" s="21">
        <f t="shared" si="52"/>
        <v>0</v>
      </c>
    </row>
    <row r="95" spans="1:18" ht="12.75" hidden="1" outlineLevel="3">
      <c r="A95" s="19" t="s">
        <v>58</v>
      </c>
      <c r="B95" s="62"/>
      <c r="C95" s="62"/>
      <c r="D95" s="62"/>
      <c r="E95" s="59">
        <f t="shared" si="48"/>
        <v>0</v>
      </c>
      <c r="F95" s="52"/>
      <c r="G95" s="52"/>
      <c r="H95" s="52"/>
      <c r="I95" s="59">
        <f t="shared" si="49"/>
        <v>0</v>
      </c>
      <c r="J95" s="52"/>
      <c r="K95" s="52"/>
      <c r="L95" s="52">
        <v>0.67</v>
      </c>
      <c r="M95" s="59">
        <f t="shared" si="50"/>
        <v>0.67</v>
      </c>
      <c r="N95" s="52"/>
      <c r="O95" s="52"/>
      <c r="P95" s="52"/>
      <c r="Q95" s="59">
        <f t="shared" si="51"/>
        <v>0</v>
      </c>
      <c r="R95" s="60">
        <f t="shared" si="52"/>
        <v>0.67</v>
      </c>
    </row>
    <row r="96" spans="1:18" ht="12.75" hidden="1" outlineLevel="2" collapsed="1">
      <c r="A96" s="22" t="s">
        <v>47</v>
      </c>
      <c r="B96" s="63">
        <f aca="true" t="shared" si="53" ref="B96:Q96">SUM(B88:B95)</f>
        <v>-3.08</v>
      </c>
      <c r="C96" s="63">
        <f t="shared" si="53"/>
        <v>0</v>
      </c>
      <c r="D96" s="63">
        <f t="shared" si="53"/>
        <v>0</v>
      </c>
      <c r="E96" s="33">
        <f t="shared" si="53"/>
        <v>-3.08</v>
      </c>
      <c r="F96" s="33">
        <f t="shared" si="53"/>
        <v>0</v>
      </c>
      <c r="G96" s="33">
        <f t="shared" si="53"/>
        <v>0</v>
      </c>
      <c r="H96" s="33">
        <f t="shared" si="53"/>
        <v>0</v>
      </c>
      <c r="I96" s="33">
        <f t="shared" si="53"/>
        <v>0</v>
      </c>
      <c r="J96" s="33">
        <f t="shared" si="53"/>
        <v>0</v>
      </c>
      <c r="K96" s="33">
        <f t="shared" si="53"/>
        <v>0</v>
      </c>
      <c r="L96" s="33">
        <f t="shared" si="53"/>
        <v>0.67</v>
      </c>
      <c r="M96" s="33">
        <f t="shared" si="53"/>
        <v>0.67</v>
      </c>
      <c r="N96" s="33">
        <f t="shared" si="53"/>
        <v>0</v>
      </c>
      <c r="O96" s="33">
        <f t="shared" si="53"/>
        <v>0</v>
      </c>
      <c r="P96" s="33">
        <f t="shared" si="53"/>
        <v>0</v>
      </c>
      <c r="Q96" s="33">
        <f t="shared" si="53"/>
        <v>0</v>
      </c>
      <c r="R96" s="34">
        <f t="shared" si="52"/>
        <v>-2.41</v>
      </c>
    </row>
    <row r="97" spans="1:18" ht="12.75" hidden="1" outlineLevel="3">
      <c r="A97" s="23" t="s">
        <v>15</v>
      </c>
      <c r="B97" s="63">
        <v>40.32</v>
      </c>
      <c r="C97" s="63">
        <v>40.08</v>
      </c>
      <c r="D97" s="63">
        <v>40.8</v>
      </c>
      <c r="E97" s="35">
        <f aca="true" t="shared" si="54" ref="E97:E105">SUM(B97:D97)</f>
        <v>121.2</v>
      </c>
      <c r="F97" s="37">
        <v>40.92</v>
      </c>
      <c r="G97" s="37">
        <v>41.04</v>
      </c>
      <c r="H97" s="37">
        <v>41.4</v>
      </c>
      <c r="I97" s="35">
        <f aca="true" t="shared" si="55" ref="I97:I105">SUM(F97:H97)</f>
        <v>123.36000000000001</v>
      </c>
      <c r="J97" s="37">
        <v>41.4</v>
      </c>
      <c r="K97" s="37">
        <v>41.76</v>
      </c>
      <c r="L97" s="37">
        <v>41.76</v>
      </c>
      <c r="M97" s="35">
        <f aca="true" t="shared" si="56" ref="M97:M105">SUM(J97:L97)</f>
        <v>124.91999999999999</v>
      </c>
      <c r="N97" s="37">
        <v>41.4</v>
      </c>
      <c r="O97" s="37">
        <v>41.64</v>
      </c>
      <c r="P97" s="38">
        <v>42.48</v>
      </c>
      <c r="Q97" s="35">
        <f aca="true" t="shared" si="57" ref="Q97:Q105">SUM(N97:P97)</f>
        <v>125.51999999999998</v>
      </c>
      <c r="R97" s="34">
        <f t="shared" si="52"/>
        <v>494.99999999999994</v>
      </c>
    </row>
    <row r="98" spans="1:18" ht="12.75" hidden="1" outlineLevel="3">
      <c r="A98" s="23" t="s">
        <v>16</v>
      </c>
      <c r="B98" s="62">
        <v>9.77</v>
      </c>
      <c r="C98" s="62">
        <v>9.77</v>
      </c>
      <c r="D98" s="62">
        <v>9.77</v>
      </c>
      <c r="E98" s="35">
        <f t="shared" si="54"/>
        <v>29.31</v>
      </c>
      <c r="F98" s="62">
        <v>9.77</v>
      </c>
      <c r="G98" s="62">
        <v>9.77</v>
      </c>
      <c r="H98" s="62">
        <v>9.77</v>
      </c>
      <c r="I98" s="35">
        <f t="shared" si="55"/>
        <v>29.31</v>
      </c>
      <c r="J98" s="62">
        <v>9.77</v>
      </c>
      <c r="K98" s="62">
        <v>9.77</v>
      </c>
      <c r="L98" s="62">
        <v>9.77</v>
      </c>
      <c r="M98" s="35">
        <f t="shared" si="56"/>
        <v>29.31</v>
      </c>
      <c r="N98" s="62">
        <v>9.77</v>
      </c>
      <c r="O98" s="62">
        <v>9.77</v>
      </c>
      <c r="P98" s="62">
        <v>9</v>
      </c>
      <c r="Q98" s="35">
        <f t="shared" si="57"/>
        <v>28.54</v>
      </c>
      <c r="R98" s="34">
        <f t="shared" si="52"/>
        <v>116.47</v>
      </c>
    </row>
    <row r="99" spans="1:18" ht="12.75" hidden="1" outlineLevel="3">
      <c r="A99" s="23" t="s">
        <v>17</v>
      </c>
      <c r="B99" s="63">
        <v>3.39</v>
      </c>
      <c r="C99" s="63">
        <v>6.78</v>
      </c>
      <c r="D99" s="63">
        <v>7.91</v>
      </c>
      <c r="E99" s="35">
        <f t="shared" si="54"/>
        <v>18.08</v>
      </c>
      <c r="F99" s="37">
        <v>6.78</v>
      </c>
      <c r="G99" s="37">
        <v>5.65</v>
      </c>
      <c r="H99" s="37">
        <v>4.52</v>
      </c>
      <c r="I99" s="35">
        <f t="shared" si="55"/>
        <v>16.95</v>
      </c>
      <c r="J99" s="37">
        <v>3.39</v>
      </c>
      <c r="K99" s="37">
        <v>5.65</v>
      </c>
      <c r="L99" s="37">
        <v>5.65</v>
      </c>
      <c r="M99" s="35">
        <f t="shared" si="56"/>
        <v>14.690000000000001</v>
      </c>
      <c r="N99" s="37">
        <v>2.26</v>
      </c>
      <c r="O99" s="37">
        <v>6.78</v>
      </c>
      <c r="P99" s="38">
        <v>7.91</v>
      </c>
      <c r="Q99" s="35">
        <f t="shared" si="57"/>
        <v>16.95</v>
      </c>
      <c r="R99" s="34">
        <f t="shared" si="52"/>
        <v>66.67</v>
      </c>
    </row>
    <row r="100" spans="1:18" ht="12.75" hidden="1" outlineLevel="3">
      <c r="A100" s="25" t="s">
        <v>18</v>
      </c>
      <c r="B100" s="63">
        <f>2.82+0.61</f>
        <v>3.4299999999999997</v>
      </c>
      <c r="C100" s="63">
        <f>2.45+0.6</f>
        <v>3.0500000000000003</v>
      </c>
      <c r="D100" s="63">
        <f>2.68+0.6+6.92+0.66</f>
        <v>10.86</v>
      </c>
      <c r="E100" s="35">
        <f t="shared" si="54"/>
        <v>17.34</v>
      </c>
      <c r="F100" s="37"/>
      <c r="G100" s="37">
        <f>5.18+0.71</f>
        <v>5.89</v>
      </c>
      <c r="H100" s="37">
        <f>3.59+0.64</f>
        <v>4.2299999999999995</v>
      </c>
      <c r="I100" s="35">
        <f t="shared" si="55"/>
        <v>10.12</v>
      </c>
      <c r="J100" s="37"/>
      <c r="K100" s="37"/>
      <c r="L100" s="37">
        <f>1.81+0.05</f>
        <v>1.86</v>
      </c>
      <c r="M100" s="35">
        <f t="shared" si="56"/>
        <v>1.86</v>
      </c>
      <c r="N100" s="37"/>
      <c r="O100" s="37"/>
      <c r="P100" s="38">
        <f>0.04+1.5+0.05+2.13+0.04+1.73+0.07</f>
        <v>5.5600000000000005</v>
      </c>
      <c r="Q100" s="35">
        <f t="shared" si="57"/>
        <v>5.5600000000000005</v>
      </c>
      <c r="R100" s="34">
        <f t="shared" si="52"/>
        <v>34.879999999999995</v>
      </c>
    </row>
    <row r="101" spans="1:18" ht="12.75" hidden="1" outlineLevel="3">
      <c r="A101" s="23" t="s">
        <v>19</v>
      </c>
      <c r="B101" s="63"/>
      <c r="C101" s="63">
        <v>0.93</v>
      </c>
      <c r="D101" s="63">
        <v>0.93</v>
      </c>
      <c r="E101" s="35">
        <f t="shared" si="54"/>
        <v>1.86</v>
      </c>
      <c r="F101" s="37">
        <v>0.93</v>
      </c>
      <c r="G101" s="37"/>
      <c r="H101" s="37"/>
      <c r="I101" s="35">
        <f t="shared" si="55"/>
        <v>0.93</v>
      </c>
      <c r="J101" s="37"/>
      <c r="K101" s="37"/>
      <c r="L101" s="37"/>
      <c r="M101" s="35">
        <f t="shared" si="56"/>
        <v>0</v>
      </c>
      <c r="N101" s="37"/>
      <c r="O101" s="37"/>
      <c r="P101" s="38"/>
      <c r="Q101" s="35">
        <f t="shared" si="57"/>
        <v>0</v>
      </c>
      <c r="R101" s="34">
        <f t="shared" si="52"/>
        <v>2.79</v>
      </c>
    </row>
    <row r="102" spans="1:18" ht="12.75" hidden="1" outlineLevel="3">
      <c r="A102" s="23" t="s">
        <v>20</v>
      </c>
      <c r="B102" s="63">
        <v>1.5</v>
      </c>
      <c r="C102" s="63">
        <f>1+1.13</f>
        <v>2.13</v>
      </c>
      <c r="D102" s="63">
        <f>0.5+0.18+3.39</f>
        <v>4.07</v>
      </c>
      <c r="E102" s="35">
        <f t="shared" si="54"/>
        <v>7.7</v>
      </c>
      <c r="F102" s="37">
        <f>4+0.12</f>
        <v>4.12</v>
      </c>
      <c r="G102" s="37">
        <v>1</v>
      </c>
      <c r="H102" s="37">
        <v>1.06</v>
      </c>
      <c r="I102" s="35">
        <f t="shared" si="55"/>
        <v>6.18</v>
      </c>
      <c r="J102" s="37">
        <v>0.5</v>
      </c>
      <c r="K102" s="37">
        <v>1.5</v>
      </c>
      <c r="L102" s="37">
        <v>2.06</v>
      </c>
      <c r="M102" s="35">
        <f t="shared" si="56"/>
        <v>4.0600000000000005</v>
      </c>
      <c r="N102" s="37">
        <v>1.06</v>
      </c>
      <c r="O102" s="37">
        <v>1.5</v>
      </c>
      <c r="P102" s="38">
        <v>3</v>
      </c>
      <c r="Q102" s="35">
        <f t="shared" si="57"/>
        <v>5.5600000000000005</v>
      </c>
      <c r="R102" s="34">
        <f t="shared" si="52"/>
        <v>23.5</v>
      </c>
    </row>
    <row r="103" spans="1:18" ht="12.75" hidden="1" outlineLevel="3">
      <c r="A103" s="23" t="s">
        <v>21</v>
      </c>
      <c r="B103" s="63"/>
      <c r="C103" s="63"/>
      <c r="D103" s="63"/>
      <c r="E103" s="35">
        <f t="shared" si="54"/>
        <v>0</v>
      </c>
      <c r="F103" s="37"/>
      <c r="G103" s="37"/>
      <c r="H103" s="37"/>
      <c r="I103" s="35">
        <f t="shared" si="55"/>
        <v>0</v>
      </c>
      <c r="J103" s="37"/>
      <c r="K103" s="37"/>
      <c r="L103" s="37"/>
      <c r="M103" s="35">
        <f t="shared" si="56"/>
        <v>0</v>
      </c>
      <c r="N103" s="37"/>
      <c r="O103" s="37"/>
      <c r="P103" s="38"/>
      <c r="Q103" s="35">
        <f t="shared" si="57"/>
        <v>0</v>
      </c>
      <c r="R103" s="34">
        <f t="shared" si="52"/>
        <v>0</v>
      </c>
    </row>
    <row r="104" spans="1:18" ht="12.75" hidden="1" outlineLevel="3">
      <c r="A104" s="23" t="s">
        <v>22</v>
      </c>
      <c r="B104" s="63"/>
      <c r="C104" s="63"/>
      <c r="D104" s="63"/>
      <c r="E104" s="35">
        <f t="shared" si="54"/>
        <v>0</v>
      </c>
      <c r="F104" s="37"/>
      <c r="G104" s="37">
        <v>4.26</v>
      </c>
      <c r="H104" s="37"/>
      <c r="I104" s="35">
        <f t="shared" si="55"/>
        <v>4.26</v>
      </c>
      <c r="J104" s="37"/>
      <c r="K104" s="37"/>
      <c r="L104" s="37"/>
      <c r="M104" s="35">
        <f t="shared" si="56"/>
        <v>0</v>
      </c>
      <c r="N104" s="37"/>
      <c r="O104" s="37"/>
      <c r="P104" s="38"/>
      <c r="Q104" s="35">
        <f t="shared" si="57"/>
        <v>0</v>
      </c>
      <c r="R104" s="34">
        <f t="shared" si="52"/>
        <v>4.26</v>
      </c>
    </row>
    <row r="105" spans="1:18" ht="12.75" hidden="1" outlineLevel="3">
      <c r="A105" s="23" t="s">
        <v>61</v>
      </c>
      <c r="B105" s="62"/>
      <c r="C105" s="62"/>
      <c r="D105" s="62"/>
      <c r="E105" s="35">
        <f t="shared" si="54"/>
        <v>0</v>
      </c>
      <c r="F105" s="38"/>
      <c r="G105" s="38"/>
      <c r="H105" s="38"/>
      <c r="I105" s="35">
        <f t="shared" si="55"/>
        <v>0</v>
      </c>
      <c r="J105" s="38"/>
      <c r="K105" s="38"/>
      <c r="L105" s="38"/>
      <c r="M105" s="35">
        <f t="shared" si="56"/>
        <v>0</v>
      </c>
      <c r="N105" s="38"/>
      <c r="O105" s="38"/>
      <c r="P105" s="38"/>
      <c r="Q105" s="35">
        <f t="shared" si="57"/>
        <v>0</v>
      </c>
      <c r="R105" s="72">
        <f t="shared" si="52"/>
        <v>0</v>
      </c>
    </row>
    <row r="106" spans="1:18" ht="12.75" hidden="1" outlineLevel="2" collapsed="1">
      <c r="A106" s="28" t="s">
        <v>50</v>
      </c>
      <c r="B106" s="68">
        <f aca="true" t="shared" si="58" ref="B106:Q106">SUM(B97:B104)</f>
        <v>58.410000000000004</v>
      </c>
      <c r="C106" s="68">
        <f t="shared" si="58"/>
        <v>62.739999999999995</v>
      </c>
      <c r="D106" s="68">
        <f t="shared" si="58"/>
        <v>74.34</v>
      </c>
      <c r="E106" s="42">
        <f t="shared" si="58"/>
        <v>195.48999999999998</v>
      </c>
      <c r="F106" s="43">
        <f t="shared" si="58"/>
        <v>62.519999999999996</v>
      </c>
      <c r="G106" s="43">
        <f t="shared" si="58"/>
        <v>67.61</v>
      </c>
      <c r="H106" s="43">
        <f t="shared" si="58"/>
        <v>60.98</v>
      </c>
      <c r="I106" s="42">
        <f t="shared" si="58"/>
        <v>191.11</v>
      </c>
      <c r="J106" s="43">
        <f t="shared" si="58"/>
        <v>55.06</v>
      </c>
      <c r="K106" s="43">
        <f t="shared" si="58"/>
        <v>58.68</v>
      </c>
      <c r="L106" s="43">
        <f t="shared" si="58"/>
        <v>61.1</v>
      </c>
      <c r="M106" s="42">
        <f t="shared" si="58"/>
        <v>174.84</v>
      </c>
      <c r="N106" s="43">
        <f t="shared" si="58"/>
        <v>54.49</v>
      </c>
      <c r="O106" s="43">
        <f t="shared" si="58"/>
        <v>59.69</v>
      </c>
      <c r="P106" s="43">
        <f t="shared" si="58"/>
        <v>67.95</v>
      </c>
      <c r="Q106" s="42">
        <f t="shared" si="58"/>
        <v>182.12999999999997</v>
      </c>
      <c r="R106" s="44">
        <f t="shared" si="52"/>
        <v>743.5699999999999</v>
      </c>
    </row>
    <row r="107" spans="1:21" ht="13.5" outlineLevel="1" collapsed="1" thickBot="1">
      <c r="A107" s="26" t="s">
        <v>48</v>
      </c>
      <c r="B107" s="69">
        <f aca="true" t="shared" si="59" ref="B107:R107">B106+B96</f>
        <v>55.330000000000005</v>
      </c>
      <c r="C107" s="69">
        <f t="shared" si="59"/>
        <v>62.739999999999995</v>
      </c>
      <c r="D107" s="69">
        <f t="shared" si="59"/>
        <v>74.34</v>
      </c>
      <c r="E107" s="45">
        <f t="shared" si="59"/>
        <v>192.40999999999997</v>
      </c>
      <c r="F107" s="46">
        <f t="shared" si="59"/>
        <v>62.519999999999996</v>
      </c>
      <c r="G107" s="46">
        <f t="shared" si="59"/>
        <v>67.61</v>
      </c>
      <c r="H107" s="46">
        <f t="shared" si="59"/>
        <v>60.98</v>
      </c>
      <c r="I107" s="45">
        <f t="shared" si="59"/>
        <v>191.11</v>
      </c>
      <c r="J107" s="46">
        <f t="shared" si="59"/>
        <v>55.06</v>
      </c>
      <c r="K107" s="46">
        <f t="shared" si="59"/>
        <v>58.68</v>
      </c>
      <c r="L107" s="46">
        <f t="shared" si="59"/>
        <v>61.77</v>
      </c>
      <c r="M107" s="45">
        <f t="shared" si="59"/>
        <v>175.51</v>
      </c>
      <c r="N107" s="46">
        <f t="shared" si="59"/>
        <v>54.49</v>
      </c>
      <c r="O107" s="46">
        <f t="shared" si="59"/>
        <v>59.69</v>
      </c>
      <c r="P107" s="46">
        <f t="shared" si="59"/>
        <v>67.95</v>
      </c>
      <c r="Q107" s="45">
        <f t="shared" si="59"/>
        <v>182.12999999999997</v>
      </c>
      <c r="R107" s="47">
        <f t="shared" si="59"/>
        <v>741.16</v>
      </c>
      <c r="S107" s="65">
        <f>((B97/0.12)+(C97/0.12)+(D97/0.12)+(F97/0.12)+(G97/0.12)+(H97/0.12)+(J97/0.12)+(K97/0.12)+(L97/0.12)+(N97/0.12)+(O97/0.12)+(P97/0.12))/12</f>
        <v>343.75</v>
      </c>
      <c r="T107" s="54">
        <f>R107/S107</f>
        <v>2.156101818181818</v>
      </c>
      <c r="U107" s="66">
        <f>R99/R107</f>
        <v>0.0899535862701711</v>
      </c>
    </row>
    <row r="108" spans="1:18" ht="13.5" outlineLevel="1" thickTop="1">
      <c r="A108" s="16" t="s">
        <v>31</v>
      </c>
      <c r="B108" s="17"/>
      <c r="C108" s="17"/>
      <c r="D108" s="17"/>
      <c r="E108" s="14"/>
      <c r="F108" s="17"/>
      <c r="G108" s="17"/>
      <c r="H108" s="17"/>
      <c r="I108" s="14"/>
      <c r="J108" s="17"/>
      <c r="K108" s="17"/>
      <c r="L108" s="17"/>
      <c r="M108" s="14"/>
      <c r="N108" s="17"/>
      <c r="O108" s="17"/>
      <c r="P108" s="17"/>
      <c r="Q108" s="14"/>
      <c r="R108" s="27"/>
    </row>
    <row r="109" spans="1:18" ht="12.75" hidden="1" outlineLevel="3">
      <c r="A109" s="19" t="s">
        <v>40</v>
      </c>
      <c r="B109" s="20"/>
      <c r="C109" s="20"/>
      <c r="D109" s="20"/>
      <c r="E109" s="67">
        <f aca="true" t="shared" si="60" ref="E109:E116">SUM(B109:D109)</f>
        <v>0</v>
      </c>
      <c r="F109" s="20"/>
      <c r="G109" s="20"/>
      <c r="H109" s="20"/>
      <c r="I109" s="67">
        <f aca="true" t="shared" si="61" ref="I109:I116">SUM(F109:H109)</f>
        <v>0</v>
      </c>
      <c r="J109" s="20"/>
      <c r="K109" s="20"/>
      <c r="L109" s="20"/>
      <c r="M109" s="67">
        <f aca="true" t="shared" si="62" ref="M109:M116">SUM(J109:L109)</f>
        <v>0</v>
      </c>
      <c r="N109" s="20"/>
      <c r="O109" s="20"/>
      <c r="P109" s="20"/>
      <c r="Q109" s="67">
        <f aca="true" t="shared" si="63" ref="Q109:Q116">SUM(N109:P109)</f>
        <v>0</v>
      </c>
      <c r="R109" s="21">
        <f aca="true" t="shared" si="64" ref="R109:R127">Q109+M109+I109+E109</f>
        <v>0</v>
      </c>
    </row>
    <row r="110" spans="1:18" ht="12.75" hidden="1" outlineLevel="3">
      <c r="A110" s="19" t="s">
        <v>41</v>
      </c>
      <c r="B110" s="20"/>
      <c r="C110" s="20"/>
      <c r="D110" s="20"/>
      <c r="E110" s="67">
        <f t="shared" si="60"/>
        <v>0</v>
      </c>
      <c r="F110" s="20"/>
      <c r="G110" s="20"/>
      <c r="H110" s="20"/>
      <c r="I110" s="67">
        <f t="shared" si="61"/>
        <v>0</v>
      </c>
      <c r="J110" s="20"/>
      <c r="K110" s="20"/>
      <c r="L110" s="20"/>
      <c r="M110" s="67">
        <f t="shared" si="62"/>
        <v>0</v>
      </c>
      <c r="N110" s="20"/>
      <c r="O110" s="20"/>
      <c r="P110" s="20"/>
      <c r="Q110" s="67">
        <f t="shared" si="63"/>
        <v>0</v>
      </c>
      <c r="R110" s="21">
        <f t="shared" si="64"/>
        <v>0</v>
      </c>
    </row>
    <row r="111" spans="1:18" ht="12.75" hidden="1" outlineLevel="3">
      <c r="A111" s="19" t="s">
        <v>42</v>
      </c>
      <c r="B111" s="20"/>
      <c r="C111" s="20"/>
      <c r="D111" s="20"/>
      <c r="E111" s="67">
        <f t="shared" si="60"/>
        <v>0</v>
      </c>
      <c r="F111" s="20"/>
      <c r="G111" s="20"/>
      <c r="H111" s="20"/>
      <c r="I111" s="67">
        <f t="shared" si="61"/>
        <v>0</v>
      </c>
      <c r="J111" s="20"/>
      <c r="K111" s="20"/>
      <c r="L111" s="20"/>
      <c r="M111" s="67">
        <f t="shared" si="62"/>
        <v>0</v>
      </c>
      <c r="N111" s="20"/>
      <c r="O111" s="20"/>
      <c r="P111" s="20"/>
      <c r="Q111" s="67">
        <f t="shared" si="63"/>
        <v>0</v>
      </c>
      <c r="R111" s="21">
        <f t="shared" si="64"/>
        <v>0</v>
      </c>
    </row>
    <row r="112" spans="1:18" ht="12.75" hidden="1" outlineLevel="3">
      <c r="A112" s="19" t="s">
        <v>43</v>
      </c>
      <c r="B112" s="20"/>
      <c r="C112" s="20"/>
      <c r="D112" s="20"/>
      <c r="E112" s="67">
        <f t="shared" si="60"/>
        <v>0</v>
      </c>
      <c r="F112" s="20"/>
      <c r="G112" s="20"/>
      <c r="H112" s="20"/>
      <c r="I112" s="67">
        <f t="shared" si="61"/>
        <v>0</v>
      </c>
      <c r="J112" s="20"/>
      <c r="K112" s="20"/>
      <c r="L112" s="20"/>
      <c r="M112" s="67">
        <f t="shared" si="62"/>
        <v>0</v>
      </c>
      <c r="N112" s="20"/>
      <c r="O112" s="20"/>
      <c r="P112" s="20"/>
      <c r="Q112" s="67">
        <f t="shared" si="63"/>
        <v>0</v>
      </c>
      <c r="R112" s="21">
        <f t="shared" si="64"/>
        <v>0</v>
      </c>
    </row>
    <row r="113" spans="1:18" ht="12.75" hidden="1" outlineLevel="3">
      <c r="A113" s="19" t="s">
        <v>44</v>
      </c>
      <c r="B113" s="20"/>
      <c r="C113" s="20"/>
      <c r="D113" s="20"/>
      <c r="E113" s="67">
        <f t="shared" si="60"/>
        <v>0</v>
      </c>
      <c r="F113" s="20"/>
      <c r="G113" s="20"/>
      <c r="H113" s="20"/>
      <c r="I113" s="67">
        <f t="shared" si="61"/>
        <v>0</v>
      </c>
      <c r="J113" s="20"/>
      <c r="K113" s="20"/>
      <c r="L113" s="20"/>
      <c r="M113" s="67">
        <f t="shared" si="62"/>
        <v>0</v>
      </c>
      <c r="N113" s="20"/>
      <c r="O113" s="20"/>
      <c r="P113" s="20"/>
      <c r="Q113" s="67">
        <f t="shared" si="63"/>
        <v>0</v>
      </c>
      <c r="R113" s="21">
        <f t="shared" si="64"/>
        <v>0</v>
      </c>
    </row>
    <row r="114" spans="1:18" ht="12.75" hidden="1" outlineLevel="3">
      <c r="A114" s="19" t="s">
        <v>45</v>
      </c>
      <c r="B114" s="62">
        <v>-6.16</v>
      </c>
      <c r="C114" s="62"/>
      <c r="D114" s="62"/>
      <c r="E114" s="35">
        <f t="shared" si="60"/>
        <v>-6.16</v>
      </c>
      <c r="F114" s="62"/>
      <c r="G114" s="62"/>
      <c r="H114" s="62"/>
      <c r="I114" s="35">
        <f t="shared" si="61"/>
        <v>0</v>
      </c>
      <c r="J114" s="62"/>
      <c r="K114" s="62"/>
      <c r="L114" s="62"/>
      <c r="M114" s="35">
        <f t="shared" si="62"/>
        <v>0</v>
      </c>
      <c r="N114" s="62"/>
      <c r="O114" s="62"/>
      <c r="P114" s="62"/>
      <c r="Q114" s="35">
        <f t="shared" si="63"/>
        <v>0</v>
      </c>
      <c r="R114" s="34">
        <f t="shared" si="64"/>
        <v>-6.16</v>
      </c>
    </row>
    <row r="115" spans="1:18" ht="12.75" hidden="1" outlineLevel="3">
      <c r="A115" s="19" t="s">
        <v>46</v>
      </c>
      <c r="B115" s="20"/>
      <c r="C115" s="20"/>
      <c r="D115" s="20"/>
      <c r="E115" s="67">
        <f t="shared" si="60"/>
        <v>0</v>
      </c>
      <c r="F115" s="20"/>
      <c r="G115" s="20"/>
      <c r="H115" s="20"/>
      <c r="I115" s="67">
        <f t="shared" si="61"/>
        <v>0</v>
      </c>
      <c r="J115" s="20"/>
      <c r="K115" s="20"/>
      <c r="L115" s="20"/>
      <c r="M115" s="67">
        <f t="shared" si="62"/>
        <v>0</v>
      </c>
      <c r="N115" s="20"/>
      <c r="O115" s="20"/>
      <c r="P115" s="20"/>
      <c r="Q115" s="67">
        <f t="shared" si="63"/>
        <v>0</v>
      </c>
      <c r="R115" s="21">
        <f t="shared" si="64"/>
        <v>0</v>
      </c>
    </row>
    <row r="116" spans="1:18" ht="12.75" hidden="1" outlineLevel="3">
      <c r="A116" s="19" t="s">
        <v>58</v>
      </c>
      <c r="B116" s="62"/>
      <c r="C116" s="62"/>
      <c r="D116" s="62"/>
      <c r="E116" s="59">
        <f t="shared" si="60"/>
        <v>0</v>
      </c>
      <c r="F116" s="52"/>
      <c r="G116" s="52"/>
      <c r="H116" s="52"/>
      <c r="I116" s="59">
        <f t="shared" si="61"/>
        <v>0</v>
      </c>
      <c r="J116" s="52"/>
      <c r="K116" s="52"/>
      <c r="L116" s="52">
        <v>1.2</v>
      </c>
      <c r="M116" s="59">
        <f t="shared" si="62"/>
        <v>1.2</v>
      </c>
      <c r="N116" s="52"/>
      <c r="O116" s="52"/>
      <c r="P116" s="52"/>
      <c r="Q116" s="59">
        <f t="shared" si="63"/>
        <v>0</v>
      </c>
      <c r="R116" s="60">
        <f t="shared" si="64"/>
        <v>1.2</v>
      </c>
    </row>
    <row r="117" spans="1:18" ht="12.75" hidden="1" outlineLevel="2" collapsed="1">
      <c r="A117" s="22" t="s">
        <v>47</v>
      </c>
      <c r="B117" s="63">
        <f aca="true" t="shared" si="65" ref="B117:Q117">SUM(B109:B116)</f>
        <v>-6.16</v>
      </c>
      <c r="C117" s="63">
        <f t="shared" si="65"/>
        <v>0</v>
      </c>
      <c r="D117" s="63">
        <f t="shared" si="65"/>
        <v>0</v>
      </c>
      <c r="E117" s="33">
        <f t="shared" si="65"/>
        <v>-6.16</v>
      </c>
      <c r="F117" s="33">
        <f t="shared" si="65"/>
        <v>0</v>
      </c>
      <c r="G117" s="33">
        <f t="shared" si="65"/>
        <v>0</v>
      </c>
      <c r="H117" s="33">
        <f t="shared" si="65"/>
        <v>0</v>
      </c>
      <c r="I117" s="33">
        <f t="shared" si="65"/>
        <v>0</v>
      </c>
      <c r="J117" s="33">
        <f t="shared" si="65"/>
        <v>0</v>
      </c>
      <c r="K117" s="33">
        <f t="shared" si="65"/>
        <v>0</v>
      </c>
      <c r="L117" s="33">
        <f t="shared" si="65"/>
        <v>1.2</v>
      </c>
      <c r="M117" s="33">
        <f t="shared" si="65"/>
        <v>1.2</v>
      </c>
      <c r="N117" s="33">
        <f t="shared" si="65"/>
        <v>0</v>
      </c>
      <c r="O117" s="33">
        <f t="shared" si="65"/>
        <v>0</v>
      </c>
      <c r="P117" s="33">
        <f t="shared" si="65"/>
        <v>0</v>
      </c>
      <c r="Q117" s="33">
        <f t="shared" si="65"/>
        <v>0</v>
      </c>
      <c r="R117" s="34">
        <f t="shared" si="64"/>
        <v>-4.96</v>
      </c>
    </row>
    <row r="118" spans="1:18" ht="12.75" hidden="1" outlineLevel="3">
      <c r="A118" s="23" t="s">
        <v>15</v>
      </c>
      <c r="B118" s="63">
        <v>68.16</v>
      </c>
      <c r="C118" s="63">
        <v>68.52</v>
      </c>
      <c r="D118" s="63">
        <v>68.88</v>
      </c>
      <c r="E118" s="35">
        <f aca="true" t="shared" si="66" ref="E118:E126">SUM(B118:D118)</f>
        <v>205.56</v>
      </c>
      <c r="F118" s="37">
        <v>68.28</v>
      </c>
      <c r="G118" s="37">
        <v>68.64</v>
      </c>
      <c r="H118" s="37">
        <v>68.4</v>
      </c>
      <c r="I118" s="35">
        <f aca="true" t="shared" si="67" ref="I118:I126">SUM(F118:H118)</f>
        <v>205.32000000000002</v>
      </c>
      <c r="J118" s="37">
        <v>68.64</v>
      </c>
      <c r="K118" s="37">
        <v>68.16</v>
      </c>
      <c r="L118" s="37">
        <v>68.88</v>
      </c>
      <c r="M118" s="35">
        <f aca="true" t="shared" si="68" ref="M118:M126">SUM(J118:L118)</f>
        <v>205.68</v>
      </c>
      <c r="N118" s="37">
        <v>68.88</v>
      </c>
      <c r="O118" s="37">
        <v>69</v>
      </c>
      <c r="P118" s="38">
        <v>68.76</v>
      </c>
      <c r="Q118" s="35">
        <f aca="true" t="shared" si="69" ref="Q118:Q126">SUM(N118:P118)</f>
        <v>206.64</v>
      </c>
      <c r="R118" s="34">
        <f t="shared" si="64"/>
        <v>823.2</v>
      </c>
    </row>
    <row r="119" spans="1:18" ht="12.75" hidden="1" outlineLevel="3">
      <c r="A119" s="23" t="s">
        <v>16</v>
      </c>
      <c r="B119" s="62">
        <v>14.05</v>
      </c>
      <c r="C119" s="62">
        <v>14.05</v>
      </c>
      <c r="D119" s="62">
        <v>14.05</v>
      </c>
      <c r="E119" s="35">
        <f t="shared" si="66"/>
        <v>42.150000000000006</v>
      </c>
      <c r="F119" s="62">
        <v>14.05</v>
      </c>
      <c r="G119" s="62">
        <v>14.05</v>
      </c>
      <c r="H119" s="62">
        <v>14.05</v>
      </c>
      <c r="I119" s="35">
        <f t="shared" si="67"/>
        <v>42.150000000000006</v>
      </c>
      <c r="J119" s="62">
        <v>14.05</v>
      </c>
      <c r="K119" s="62">
        <v>14.05</v>
      </c>
      <c r="L119" s="62">
        <v>14.05</v>
      </c>
      <c r="M119" s="35">
        <f t="shared" si="68"/>
        <v>42.150000000000006</v>
      </c>
      <c r="N119" s="62">
        <v>14.05</v>
      </c>
      <c r="O119" s="62">
        <v>14.05</v>
      </c>
      <c r="P119" s="62">
        <v>10</v>
      </c>
      <c r="Q119" s="35">
        <f t="shared" si="69"/>
        <v>38.1</v>
      </c>
      <c r="R119" s="34">
        <f t="shared" si="64"/>
        <v>164.55</v>
      </c>
    </row>
    <row r="120" spans="1:18" ht="12.75" hidden="1" outlineLevel="3">
      <c r="A120" s="23" t="s">
        <v>17</v>
      </c>
      <c r="B120" s="63">
        <v>11.3</v>
      </c>
      <c r="C120" s="63">
        <v>20.34</v>
      </c>
      <c r="D120" s="63">
        <v>12.43</v>
      </c>
      <c r="E120" s="35">
        <f t="shared" si="66"/>
        <v>44.07</v>
      </c>
      <c r="F120" s="37">
        <v>9.04</v>
      </c>
      <c r="G120" s="37">
        <v>5.65</v>
      </c>
      <c r="H120" s="37">
        <v>10.17</v>
      </c>
      <c r="I120" s="35">
        <f t="shared" si="67"/>
        <v>24.86</v>
      </c>
      <c r="J120" s="37">
        <v>12.43</v>
      </c>
      <c r="K120" s="37">
        <v>5.65</v>
      </c>
      <c r="L120" s="37">
        <v>18.08</v>
      </c>
      <c r="M120" s="35">
        <f t="shared" si="68"/>
        <v>36.16</v>
      </c>
      <c r="N120" s="37">
        <v>10.17</v>
      </c>
      <c r="O120" s="37">
        <v>11.3</v>
      </c>
      <c r="P120" s="38">
        <v>3.39</v>
      </c>
      <c r="Q120" s="35">
        <f t="shared" si="69"/>
        <v>24.86</v>
      </c>
      <c r="R120" s="34">
        <f t="shared" si="64"/>
        <v>129.95</v>
      </c>
    </row>
    <row r="121" spans="1:18" ht="12.75" hidden="1" outlineLevel="3">
      <c r="A121" s="25" t="s">
        <v>18</v>
      </c>
      <c r="B121" s="62">
        <f>3.6+0.61</f>
        <v>4.21</v>
      </c>
      <c r="C121" s="62">
        <f>3.13+0.6</f>
        <v>3.73</v>
      </c>
      <c r="D121" s="62">
        <f>3.42+0.6+8.82+0.66</f>
        <v>13.5</v>
      </c>
      <c r="E121" s="35">
        <f t="shared" si="66"/>
        <v>21.439999999999998</v>
      </c>
      <c r="F121" s="62"/>
      <c r="G121" s="62">
        <f>10.35+0.71</f>
        <v>11.059999999999999</v>
      </c>
      <c r="H121" s="62">
        <f>7.17+0.64</f>
        <v>7.81</v>
      </c>
      <c r="I121" s="35">
        <f t="shared" si="67"/>
        <v>18.869999999999997</v>
      </c>
      <c r="J121" s="62"/>
      <c r="K121" s="62"/>
      <c r="L121" s="62">
        <f>3.61+0.05</f>
        <v>3.6599999999999997</v>
      </c>
      <c r="M121" s="35">
        <f t="shared" si="68"/>
        <v>3.6599999999999997</v>
      </c>
      <c r="N121" s="62"/>
      <c r="O121" s="62"/>
      <c r="P121" s="62">
        <f>0.64+3+0.05+4.26+0.04+3.45+0.07</f>
        <v>11.51</v>
      </c>
      <c r="Q121" s="35">
        <f t="shared" si="69"/>
        <v>11.51</v>
      </c>
      <c r="R121" s="34">
        <f t="shared" si="64"/>
        <v>55.48</v>
      </c>
    </row>
    <row r="122" spans="1:18" ht="12.75" hidden="1" outlineLevel="3">
      <c r="A122" s="23" t="s">
        <v>19</v>
      </c>
      <c r="B122" s="63"/>
      <c r="C122" s="63"/>
      <c r="D122" s="63">
        <v>0.93</v>
      </c>
      <c r="E122" s="35">
        <f t="shared" si="66"/>
        <v>0.93</v>
      </c>
      <c r="F122" s="37"/>
      <c r="G122" s="37"/>
      <c r="H122" s="37"/>
      <c r="I122" s="35">
        <f t="shared" si="67"/>
        <v>0</v>
      </c>
      <c r="J122" s="37"/>
      <c r="K122" s="37"/>
      <c r="L122" s="37"/>
      <c r="M122" s="35">
        <f t="shared" si="68"/>
        <v>0</v>
      </c>
      <c r="N122" s="37"/>
      <c r="O122" s="37"/>
      <c r="P122" s="38"/>
      <c r="Q122" s="35">
        <f t="shared" si="69"/>
        <v>0</v>
      </c>
      <c r="R122" s="34">
        <f t="shared" si="64"/>
        <v>0.93</v>
      </c>
    </row>
    <row r="123" spans="1:18" ht="12.75" hidden="1" outlineLevel="3">
      <c r="A123" s="23" t="s">
        <v>20</v>
      </c>
      <c r="B123" s="63"/>
      <c r="C123" s="63"/>
      <c r="D123" s="63"/>
      <c r="E123" s="35">
        <f t="shared" si="66"/>
        <v>0</v>
      </c>
      <c r="F123" s="37"/>
      <c r="G123" s="37"/>
      <c r="H123" s="37"/>
      <c r="I123" s="35">
        <f t="shared" si="67"/>
        <v>0</v>
      </c>
      <c r="J123" s="37"/>
      <c r="K123" s="37"/>
      <c r="L123" s="37"/>
      <c r="M123" s="35">
        <f t="shared" si="68"/>
        <v>0</v>
      </c>
      <c r="N123" s="37"/>
      <c r="O123" s="37"/>
      <c r="P123" s="38"/>
      <c r="Q123" s="35">
        <f t="shared" si="69"/>
        <v>0</v>
      </c>
      <c r="R123" s="34">
        <f t="shared" si="64"/>
        <v>0</v>
      </c>
    </row>
    <row r="124" spans="1:18" ht="12.75" hidden="1" outlineLevel="3">
      <c r="A124" s="23" t="s">
        <v>21</v>
      </c>
      <c r="B124" s="63"/>
      <c r="C124" s="63"/>
      <c r="D124" s="63"/>
      <c r="E124" s="35">
        <f t="shared" si="66"/>
        <v>0</v>
      </c>
      <c r="F124" s="37"/>
      <c r="G124" s="37"/>
      <c r="H124" s="37"/>
      <c r="I124" s="35">
        <f t="shared" si="67"/>
        <v>0</v>
      </c>
      <c r="J124" s="37"/>
      <c r="K124" s="37"/>
      <c r="L124" s="37"/>
      <c r="M124" s="35">
        <f t="shared" si="68"/>
        <v>0</v>
      </c>
      <c r="N124" s="37"/>
      <c r="O124" s="37"/>
      <c r="P124" s="38"/>
      <c r="Q124" s="35">
        <f t="shared" si="69"/>
        <v>0</v>
      </c>
      <c r="R124" s="34">
        <f t="shared" si="64"/>
        <v>0</v>
      </c>
    </row>
    <row r="125" spans="1:18" ht="12.75" hidden="1" outlineLevel="3">
      <c r="A125" s="23" t="s">
        <v>22</v>
      </c>
      <c r="B125" s="63"/>
      <c r="C125" s="63"/>
      <c r="D125" s="63"/>
      <c r="E125" s="35">
        <f t="shared" si="66"/>
        <v>0</v>
      </c>
      <c r="F125" s="37">
        <v>4.26</v>
      </c>
      <c r="G125" s="37"/>
      <c r="H125" s="37"/>
      <c r="I125" s="35">
        <f t="shared" si="67"/>
        <v>4.26</v>
      </c>
      <c r="J125" s="37">
        <v>12.78</v>
      </c>
      <c r="K125" s="37"/>
      <c r="L125" s="37">
        <v>8.52</v>
      </c>
      <c r="M125" s="35">
        <f t="shared" si="68"/>
        <v>21.299999999999997</v>
      </c>
      <c r="N125" s="37">
        <v>4.26</v>
      </c>
      <c r="O125" s="37"/>
      <c r="P125" s="38">
        <v>12.78</v>
      </c>
      <c r="Q125" s="35">
        <f t="shared" si="69"/>
        <v>17.04</v>
      </c>
      <c r="R125" s="34">
        <f t="shared" si="64"/>
        <v>42.599999999999994</v>
      </c>
    </row>
    <row r="126" spans="1:18" ht="12.75" hidden="1" outlineLevel="3">
      <c r="A126" s="23" t="s">
        <v>61</v>
      </c>
      <c r="B126" s="62"/>
      <c r="C126" s="62"/>
      <c r="D126" s="62"/>
      <c r="E126" s="35">
        <f t="shared" si="66"/>
        <v>0</v>
      </c>
      <c r="F126" s="38"/>
      <c r="G126" s="38"/>
      <c r="H126" s="38"/>
      <c r="I126" s="35">
        <f t="shared" si="67"/>
        <v>0</v>
      </c>
      <c r="J126" s="38"/>
      <c r="K126" s="38"/>
      <c r="L126" s="38"/>
      <c r="M126" s="35">
        <f t="shared" si="68"/>
        <v>0</v>
      </c>
      <c r="N126" s="38"/>
      <c r="O126" s="38"/>
      <c r="P126" s="38"/>
      <c r="Q126" s="35">
        <f t="shared" si="69"/>
        <v>0</v>
      </c>
      <c r="R126" s="72">
        <f t="shared" si="64"/>
        <v>0</v>
      </c>
    </row>
    <row r="127" spans="1:18" ht="12.75" hidden="1" outlineLevel="2" collapsed="1">
      <c r="A127" s="28" t="s">
        <v>50</v>
      </c>
      <c r="B127" s="43">
        <f aca="true" t="shared" si="70" ref="B127:Q127">SUM(B118:B125)</f>
        <v>97.71999999999998</v>
      </c>
      <c r="C127" s="43">
        <f t="shared" si="70"/>
        <v>106.64</v>
      </c>
      <c r="D127" s="43">
        <f t="shared" si="70"/>
        <v>109.78999999999999</v>
      </c>
      <c r="E127" s="42">
        <f t="shared" si="70"/>
        <v>314.15000000000003</v>
      </c>
      <c r="F127" s="43">
        <f t="shared" si="70"/>
        <v>95.63000000000001</v>
      </c>
      <c r="G127" s="43">
        <f t="shared" si="70"/>
        <v>99.4</v>
      </c>
      <c r="H127" s="43">
        <f t="shared" si="70"/>
        <v>100.43</v>
      </c>
      <c r="I127" s="42">
        <f t="shared" si="70"/>
        <v>295.46000000000004</v>
      </c>
      <c r="J127" s="43">
        <f t="shared" si="70"/>
        <v>107.9</v>
      </c>
      <c r="K127" s="43">
        <f t="shared" si="70"/>
        <v>87.86</v>
      </c>
      <c r="L127" s="43">
        <f t="shared" si="70"/>
        <v>113.18999999999998</v>
      </c>
      <c r="M127" s="42">
        <f t="shared" si="70"/>
        <v>308.95000000000005</v>
      </c>
      <c r="N127" s="43">
        <f t="shared" si="70"/>
        <v>97.36</v>
      </c>
      <c r="O127" s="43">
        <f t="shared" si="70"/>
        <v>94.35</v>
      </c>
      <c r="P127" s="43">
        <f t="shared" si="70"/>
        <v>106.44000000000001</v>
      </c>
      <c r="Q127" s="42">
        <f t="shared" si="70"/>
        <v>298.15</v>
      </c>
      <c r="R127" s="44">
        <f t="shared" si="64"/>
        <v>1216.71</v>
      </c>
    </row>
    <row r="128" spans="1:21" ht="13.5" outlineLevel="1" collapsed="1" thickBot="1">
      <c r="A128" s="22" t="s">
        <v>48</v>
      </c>
      <c r="B128" s="46">
        <f aca="true" t="shared" si="71" ref="B128:R128">B127+B117</f>
        <v>91.55999999999999</v>
      </c>
      <c r="C128" s="46">
        <f t="shared" si="71"/>
        <v>106.64</v>
      </c>
      <c r="D128" s="46">
        <f t="shared" si="71"/>
        <v>109.78999999999999</v>
      </c>
      <c r="E128" s="45">
        <f t="shared" si="71"/>
        <v>307.99</v>
      </c>
      <c r="F128" s="46">
        <f t="shared" si="71"/>
        <v>95.63000000000001</v>
      </c>
      <c r="G128" s="46">
        <f t="shared" si="71"/>
        <v>99.4</v>
      </c>
      <c r="H128" s="46">
        <f t="shared" si="71"/>
        <v>100.43</v>
      </c>
      <c r="I128" s="45">
        <f t="shared" si="71"/>
        <v>295.46000000000004</v>
      </c>
      <c r="J128" s="46">
        <f t="shared" si="71"/>
        <v>107.9</v>
      </c>
      <c r="K128" s="46">
        <f t="shared" si="71"/>
        <v>87.86</v>
      </c>
      <c r="L128" s="46">
        <f t="shared" si="71"/>
        <v>114.38999999999999</v>
      </c>
      <c r="M128" s="45">
        <f t="shared" si="71"/>
        <v>310.15000000000003</v>
      </c>
      <c r="N128" s="46">
        <f t="shared" si="71"/>
        <v>97.36</v>
      </c>
      <c r="O128" s="46">
        <f t="shared" si="71"/>
        <v>94.35</v>
      </c>
      <c r="P128" s="46">
        <f t="shared" si="71"/>
        <v>106.44000000000001</v>
      </c>
      <c r="Q128" s="45">
        <f t="shared" si="71"/>
        <v>298.15</v>
      </c>
      <c r="R128" s="47">
        <f t="shared" si="71"/>
        <v>1211.75</v>
      </c>
      <c r="S128" s="65">
        <f>((B118/0.12)+(C118/0.12)+(D118/0.12)+(F118/0.12)+(G118/0.12)+(H118/0.12)+(J118/0.12)+(K118/0.12)+(L118/0.12)+(N118/0.12)+(O118/0.12)+(P118/0.12))/12</f>
        <v>571.6666666666666</v>
      </c>
      <c r="T128" s="54">
        <f>R128/S128</f>
        <v>2.1196793002915455</v>
      </c>
      <c r="U128" s="66">
        <f>R120/R128</f>
        <v>0.10724159273777593</v>
      </c>
    </row>
    <row r="129" spans="1:18" ht="13.5" outlineLevel="1" thickTop="1">
      <c r="A129" s="16" t="s">
        <v>32</v>
      </c>
      <c r="B129" s="17"/>
      <c r="C129" s="17"/>
      <c r="D129" s="17"/>
      <c r="E129" s="14"/>
      <c r="F129" s="17"/>
      <c r="G129" s="17"/>
      <c r="H129" s="17"/>
      <c r="I129" s="14"/>
      <c r="J129" s="17"/>
      <c r="K129" s="17"/>
      <c r="L129" s="17"/>
      <c r="M129" s="14"/>
      <c r="N129" s="17"/>
      <c r="O129" s="17"/>
      <c r="P129" s="17"/>
      <c r="Q129" s="14"/>
      <c r="R129" s="27"/>
    </row>
    <row r="130" spans="1:18" ht="12.75" hidden="1" outlineLevel="3">
      <c r="A130" s="19" t="s">
        <v>40</v>
      </c>
      <c r="B130" s="20"/>
      <c r="C130" s="20"/>
      <c r="D130" s="20"/>
      <c r="E130" s="67">
        <f aca="true" t="shared" si="72" ref="E130:E137">SUM(B130:D130)</f>
        <v>0</v>
      </c>
      <c r="F130" s="20"/>
      <c r="G130" s="20"/>
      <c r="H130" s="20"/>
      <c r="I130" s="67">
        <f aca="true" t="shared" si="73" ref="I130:I137">SUM(F130:H130)</f>
        <v>0</v>
      </c>
      <c r="J130" s="20"/>
      <c r="K130" s="20"/>
      <c r="L130" s="20"/>
      <c r="M130" s="67">
        <f aca="true" t="shared" si="74" ref="M130:M137">SUM(J130:L130)</f>
        <v>0</v>
      </c>
      <c r="N130" s="20"/>
      <c r="O130" s="20"/>
      <c r="P130" s="20"/>
      <c r="Q130" s="67">
        <f aca="true" t="shared" si="75" ref="Q130:Q137">SUM(N130:P130)</f>
        <v>0</v>
      </c>
      <c r="R130" s="21">
        <f aca="true" t="shared" si="76" ref="R130:R148">Q130+M130+I130+E130</f>
        <v>0</v>
      </c>
    </row>
    <row r="131" spans="1:18" ht="12.75" hidden="1" outlineLevel="3">
      <c r="A131" s="19" t="s">
        <v>41</v>
      </c>
      <c r="B131" s="20"/>
      <c r="C131" s="20"/>
      <c r="D131" s="20"/>
      <c r="E131" s="67">
        <f t="shared" si="72"/>
        <v>0</v>
      </c>
      <c r="F131" s="20"/>
      <c r="G131" s="20"/>
      <c r="H131" s="20"/>
      <c r="I131" s="67">
        <f t="shared" si="73"/>
        <v>0</v>
      </c>
      <c r="J131" s="20"/>
      <c r="K131" s="20"/>
      <c r="L131" s="20"/>
      <c r="M131" s="67">
        <f t="shared" si="74"/>
        <v>0</v>
      </c>
      <c r="N131" s="20"/>
      <c r="O131" s="20"/>
      <c r="P131" s="20"/>
      <c r="Q131" s="67">
        <f t="shared" si="75"/>
        <v>0</v>
      </c>
      <c r="R131" s="21">
        <f t="shared" si="76"/>
        <v>0</v>
      </c>
    </row>
    <row r="132" spans="1:18" ht="12.75" hidden="1" outlineLevel="3">
      <c r="A132" s="19" t="s">
        <v>42</v>
      </c>
      <c r="B132" s="20"/>
      <c r="C132" s="20"/>
      <c r="D132" s="20"/>
      <c r="E132" s="67">
        <f t="shared" si="72"/>
        <v>0</v>
      </c>
      <c r="F132" s="20"/>
      <c r="G132" s="20"/>
      <c r="H132" s="20"/>
      <c r="I132" s="67">
        <f t="shared" si="73"/>
        <v>0</v>
      </c>
      <c r="J132" s="20"/>
      <c r="K132" s="20"/>
      <c r="L132" s="20"/>
      <c r="M132" s="67">
        <f t="shared" si="74"/>
        <v>0</v>
      </c>
      <c r="N132" s="20"/>
      <c r="O132" s="20"/>
      <c r="P132" s="20"/>
      <c r="Q132" s="67">
        <f t="shared" si="75"/>
        <v>0</v>
      </c>
      <c r="R132" s="21">
        <f t="shared" si="76"/>
        <v>0</v>
      </c>
    </row>
    <row r="133" spans="1:18" ht="12.75" hidden="1" outlineLevel="3">
      <c r="A133" s="19" t="s">
        <v>43</v>
      </c>
      <c r="B133" s="20"/>
      <c r="C133" s="20"/>
      <c r="D133" s="20"/>
      <c r="E133" s="67">
        <f t="shared" si="72"/>
        <v>0</v>
      </c>
      <c r="F133" s="20"/>
      <c r="G133" s="20"/>
      <c r="H133" s="20"/>
      <c r="I133" s="67">
        <f t="shared" si="73"/>
        <v>0</v>
      </c>
      <c r="J133" s="20"/>
      <c r="K133" s="20"/>
      <c r="L133" s="20"/>
      <c r="M133" s="67">
        <f t="shared" si="74"/>
        <v>0</v>
      </c>
      <c r="N133" s="20"/>
      <c r="O133" s="20"/>
      <c r="P133" s="20"/>
      <c r="Q133" s="67">
        <f t="shared" si="75"/>
        <v>0</v>
      </c>
      <c r="R133" s="21">
        <f t="shared" si="76"/>
        <v>0</v>
      </c>
    </row>
    <row r="134" spans="1:18" ht="12.75" hidden="1" outlineLevel="3">
      <c r="A134" s="19" t="s">
        <v>44</v>
      </c>
      <c r="B134" s="20"/>
      <c r="C134" s="20"/>
      <c r="D134" s="20"/>
      <c r="E134" s="67">
        <f t="shared" si="72"/>
        <v>0</v>
      </c>
      <c r="F134" s="20"/>
      <c r="G134" s="20"/>
      <c r="H134" s="20"/>
      <c r="I134" s="67">
        <f t="shared" si="73"/>
        <v>0</v>
      </c>
      <c r="J134" s="20"/>
      <c r="K134" s="20"/>
      <c r="L134" s="20"/>
      <c r="M134" s="67">
        <f t="shared" si="74"/>
        <v>0</v>
      </c>
      <c r="N134" s="20"/>
      <c r="O134" s="20"/>
      <c r="P134" s="20"/>
      <c r="Q134" s="67">
        <f t="shared" si="75"/>
        <v>0</v>
      </c>
      <c r="R134" s="21">
        <f t="shared" si="76"/>
        <v>0</v>
      </c>
    </row>
    <row r="135" spans="1:18" ht="12.75" hidden="1" outlineLevel="3">
      <c r="A135" s="19" t="s">
        <v>45</v>
      </c>
      <c r="B135" s="62">
        <v>-10.35</v>
      </c>
      <c r="C135" s="62"/>
      <c r="D135" s="62"/>
      <c r="E135" s="35">
        <f t="shared" si="72"/>
        <v>-10.35</v>
      </c>
      <c r="F135" s="62"/>
      <c r="G135" s="62"/>
      <c r="H135" s="62"/>
      <c r="I135" s="35">
        <f t="shared" si="73"/>
        <v>0</v>
      </c>
      <c r="J135" s="62"/>
      <c r="K135" s="62"/>
      <c r="L135" s="62"/>
      <c r="M135" s="35">
        <f t="shared" si="74"/>
        <v>0</v>
      </c>
      <c r="N135" s="62"/>
      <c r="O135" s="62"/>
      <c r="P135" s="62"/>
      <c r="Q135" s="35">
        <f t="shared" si="75"/>
        <v>0</v>
      </c>
      <c r="R135" s="34">
        <f t="shared" si="76"/>
        <v>-10.35</v>
      </c>
    </row>
    <row r="136" spans="1:18" ht="12.75" hidden="1" outlineLevel="3">
      <c r="A136" s="19" t="s">
        <v>46</v>
      </c>
      <c r="B136" s="20"/>
      <c r="C136" s="20"/>
      <c r="D136" s="20"/>
      <c r="E136" s="67">
        <f t="shared" si="72"/>
        <v>0</v>
      </c>
      <c r="F136" s="20"/>
      <c r="G136" s="20"/>
      <c r="H136" s="20"/>
      <c r="I136" s="67">
        <f t="shared" si="73"/>
        <v>0</v>
      </c>
      <c r="J136" s="20"/>
      <c r="K136" s="20"/>
      <c r="L136" s="20"/>
      <c r="M136" s="67">
        <f t="shared" si="74"/>
        <v>0</v>
      </c>
      <c r="N136" s="20"/>
      <c r="O136" s="20"/>
      <c r="P136" s="20"/>
      <c r="Q136" s="67">
        <f t="shared" si="75"/>
        <v>0</v>
      </c>
      <c r="R136" s="21">
        <f t="shared" si="76"/>
        <v>0</v>
      </c>
    </row>
    <row r="137" spans="1:18" ht="12.75" hidden="1" outlineLevel="3">
      <c r="A137" s="19" t="s">
        <v>58</v>
      </c>
      <c r="B137" s="62"/>
      <c r="C137" s="62"/>
      <c r="D137" s="62"/>
      <c r="E137" s="59">
        <f t="shared" si="72"/>
        <v>0</v>
      </c>
      <c r="F137" s="52"/>
      <c r="G137" s="52"/>
      <c r="H137" s="52"/>
      <c r="I137" s="59">
        <f t="shared" si="73"/>
        <v>0</v>
      </c>
      <c r="J137" s="52"/>
      <c r="K137" s="52"/>
      <c r="L137" s="52">
        <v>1.86</v>
      </c>
      <c r="M137" s="59">
        <f t="shared" si="74"/>
        <v>1.86</v>
      </c>
      <c r="N137" s="52"/>
      <c r="O137" s="52"/>
      <c r="P137" s="52"/>
      <c r="Q137" s="59">
        <f t="shared" si="75"/>
        <v>0</v>
      </c>
      <c r="R137" s="60">
        <f t="shared" si="76"/>
        <v>1.86</v>
      </c>
    </row>
    <row r="138" spans="1:18" ht="12.75" hidden="1" outlineLevel="2" collapsed="1">
      <c r="A138" s="22" t="s">
        <v>47</v>
      </c>
      <c r="B138" s="63">
        <f aca="true" t="shared" si="77" ref="B138:Q138">SUM(B130:B137)</f>
        <v>-10.35</v>
      </c>
      <c r="C138" s="63">
        <f t="shared" si="77"/>
        <v>0</v>
      </c>
      <c r="D138" s="63">
        <f t="shared" si="77"/>
        <v>0</v>
      </c>
      <c r="E138" s="33">
        <f t="shared" si="77"/>
        <v>-10.35</v>
      </c>
      <c r="F138" s="33">
        <f t="shared" si="77"/>
        <v>0</v>
      </c>
      <c r="G138" s="33">
        <f t="shared" si="77"/>
        <v>0</v>
      </c>
      <c r="H138" s="33">
        <f t="shared" si="77"/>
        <v>0</v>
      </c>
      <c r="I138" s="33">
        <f t="shared" si="77"/>
        <v>0</v>
      </c>
      <c r="J138" s="33">
        <f t="shared" si="77"/>
        <v>0</v>
      </c>
      <c r="K138" s="33">
        <f t="shared" si="77"/>
        <v>0</v>
      </c>
      <c r="L138" s="33">
        <f t="shared" si="77"/>
        <v>1.86</v>
      </c>
      <c r="M138" s="33">
        <f t="shared" si="77"/>
        <v>1.86</v>
      </c>
      <c r="N138" s="33">
        <f t="shared" si="77"/>
        <v>0</v>
      </c>
      <c r="O138" s="33">
        <f t="shared" si="77"/>
        <v>0</v>
      </c>
      <c r="P138" s="33">
        <f t="shared" si="77"/>
        <v>0</v>
      </c>
      <c r="Q138" s="33">
        <f t="shared" si="77"/>
        <v>0</v>
      </c>
      <c r="R138" s="34">
        <f t="shared" si="76"/>
        <v>-8.49</v>
      </c>
    </row>
    <row r="139" spans="1:18" ht="12.75" hidden="1" outlineLevel="3">
      <c r="A139" s="23" t="s">
        <v>15</v>
      </c>
      <c r="B139" s="63">
        <v>107.28</v>
      </c>
      <c r="C139" s="63">
        <v>107.16</v>
      </c>
      <c r="D139" s="63">
        <v>107.16</v>
      </c>
      <c r="E139" s="35">
        <f aca="true" t="shared" si="78" ref="E139:E147">SUM(B139:D139)</f>
        <v>321.6</v>
      </c>
      <c r="F139" s="37">
        <v>105.96</v>
      </c>
      <c r="G139" s="37">
        <v>105.96</v>
      </c>
      <c r="H139" s="37">
        <v>105.48</v>
      </c>
      <c r="I139" s="35">
        <f aca="true" t="shared" si="79" ref="I139:I147">SUM(F139:H139)</f>
        <v>317.4</v>
      </c>
      <c r="J139" s="37">
        <v>106.08</v>
      </c>
      <c r="K139" s="37">
        <v>106.08</v>
      </c>
      <c r="L139" s="37">
        <v>106.08</v>
      </c>
      <c r="M139" s="35">
        <f aca="true" t="shared" si="80" ref="M139:M147">SUM(J139:L139)</f>
        <v>318.24</v>
      </c>
      <c r="N139" s="37">
        <v>105.72</v>
      </c>
      <c r="O139" s="37">
        <v>106.08</v>
      </c>
      <c r="P139" s="38">
        <v>105.84</v>
      </c>
      <c r="Q139" s="35">
        <f aca="true" t="shared" si="81" ref="Q139:Q147">SUM(N139:P139)</f>
        <v>317.64</v>
      </c>
      <c r="R139" s="34">
        <f t="shared" si="76"/>
        <v>1274.88</v>
      </c>
    </row>
    <row r="140" spans="1:18" ht="12.75" hidden="1" outlineLevel="3">
      <c r="A140" s="23" t="s">
        <v>16</v>
      </c>
      <c r="B140" s="62">
        <v>23.71</v>
      </c>
      <c r="C140" s="62">
        <v>23.71</v>
      </c>
      <c r="D140" s="62">
        <v>23.71</v>
      </c>
      <c r="E140" s="35">
        <f t="shared" si="78"/>
        <v>71.13</v>
      </c>
      <c r="F140" s="62">
        <v>23.71</v>
      </c>
      <c r="G140" s="62">
        <v>23.71</v>
      </c>
      <c r="H140" s="62">
        <v>23.71</v>
      </c>
      <c r="I140" s="35">
        <f t="shared" si="79"/>
        <v>71.13</v>
      </c>
      <c r="J140" s="62">
        <v>23.71</v>
      </c>
      <c r="K140" s="62">
        <v>23.71</v>
      </c>
      <c r="L140" s="62">
        <v>23.71</v>
      </c>
      <c r="M140" s="35">
        <f t="shared" si="80"/>
        <v>71.13</v>
      </c>
      <c r="N140" s="62">
        <v>23.71</v>
      </c>
      <c r="O140" s="62">
        <v>23.71</v>
      </c>
      <c r="P140" s="62">
        <v>21</v>
      </c>
      <c r="Q140" s="35">
        <f t="shared" si="81"/>
        <v>68.42</v>
      </c>
      <c r="R140" s="34">
        <f t="shared" si="76"/>
        <v>281.81</v>
      </c>
    </row>
    <row r="141" spans="1:18" ht="12.75" hidden="1" outlineLevel="3">
      <c r="A141" s="23" t="s">
        <v>17</v>
      </c>
      <c r="B141" s="63">
        <v>25.99</v>
      </c>
      <c r="C141" s="63">
        <v>19.21</v>
      </c>
      <c r="D141" s="63">
        <v>7.91</v>
      </c>
      <c r="E141" s="35">
        <f t="shared" si="78"/>
        <v>53.11</v>
      </c>
      <c r="F141" s="37">
        <v>7.91</v>
      </c>
      <c r="G141" s="37">
        <v>6.78</v>
      </c>
      <c r="H141" s="37">
        <v>6.78</v>
      </c>
      <c r="I141" s="35">
        <f t="shared" si="79"/>
        <v>21.470000000000002</v>
      </c>
      <c r="J141" s="37">
        <v>11.3</v>
      </c>
      <c r="K141" s="37">
        <v>7.91</v>
      </c>
      <c r="L141" s="37">
        <v>14.69</v>
      </c>
      <c r="M141" s="35">
        <f t="shared" si="80"/>
        <v>33.9</v>
      </c>
      <c r="N141" s="37">
        <v>11.3</v>
      </c>
      <c r="O141" s="37">
        <v>9.04</v>
      </c>
      <c r="P141" s="38">
        <v>9.04</v>
      </c>
      <c r="Q141" s="35">
        <f t="shared" si="81"/>
        <v>29.38</v>
      </c>
      <c r="R141" s="34">
        <f t="shared" si="76"/>
        <v>137.86</v>
      </c>
    </row>
    <row r="142" spans="1:18" ht="12.75" hidden="1" outlineLevel="3">
      <c r="A142" s="25" t="s">
        <v>18</v>
      </c>
      <c r="B142" s="62">
        <f>6.65+0.61</f>
        <v>7.260000000000001</v>
      </c>
      <c r="C142" s="62">
        <f>5.78+0.6</f>
        <v>6.38</v>
      </c>
      <c r="D142" s="62">
        <f>6.32+0.6+16.3+0.66</f>
        <v>23.88</v>
      </c>
      <c r="E142" s="35">
        <f t="shared" si="78"/>
        <v>37.519999999999996</v>
      </c>
      <c r="F142" s="62"/>
      <c r="G142" s="62">
        <f>17.7+0.71</f>
        <v>18.41</v>
      </c>
      <c r="H142" s="62">
        <f>12.26+0.64</f>
        <v>12.9</v>
      </c>
      <c r="I142" s="35">
        <f t="shared" si="79"/>
        <v>31.310000000000002</v>
      </c>
      <c r="J142" s="62"/>
      <c r="K142" s="62"/>
      <c r="L142" s="62">
        <f>6.17+0.05</f>
        <v>6.22</v>
      </c>
      <c r="M142" s="35">
        <f t="shared" si="80"/>
        <v>6.22</v>
      </c>
      <c r="N142" s="62"/>
      <c r="O142" s="62"/>
      <c r="P142" s="62">
        <f>0.04+5.14+0.05+7.28+0.04+5.9+0.07</f>
        <v>18.52</v>
      </c>
      <c r="Q142" s="35">
        <f t="shared" si="81"/>
        <v>18.52</v>
      </c>
      <c r="R142" s="34">
        <f t="shared" si="76"/>
        <v>93.57</v>
      </c>
    </row>
    <row r="143" spans="1:18" ht="12.75" hidden="1" outlineLevel="3">
      <c r="A143" s="23" t="s">
        <v>19</v>
      </c>
      <c r="B143" s="63"/>
      <c r="C143" s="63">
        <v>0.93</v>
      </c>
      <c r="D143" s="63">
        <v>1.86</v>
      </c>
      <c r="E143" s="35">
        <f t="shared" si="78"/>
        <v>2.79</v>
      </c>
      <c r="F143" s="37"/>
      <c r="G143" s="37"/>
      <c r="H143" s="37"/>
      <c r="I143" s="35">
        <f t="shared" si="79"/>
        <v>0</v>
      </c>
      <c r="J143" s="37"/>
      <c r="K143" s="37"/>
      <c r="L143" s="37">
        <v>0.93</v>
      </c>
      <c r="M143" s="35">
        <f t="shared" si="80"/>
        <v>0.93</v>
      </c>
      <c r="N143" s="37"/>
      <c r="O143" s="37"/>
      <c r="P143" s="38"/>
      <c r="Q143" s="35">
        <f t="shared" si="81"/>
        <v>0</v>
      </c>
      <c r="R143" s="34">
        <f t="shared" si="76"/>
        <v>3.72</v>
      </c>
    </row>
    <row r="144" spans="1:18" ht="12.75" hidden="1" outlineLevel="3">
      <c r="A144" s="23" t="s">
        <v>20</v>
      </c>
      <c r="B144" s="63">
        <v>28.5</v>
      </c>
      <c r="C144" s="63">
        <f>41.5+0.12+15.82</f>
        <v>57.44</v>
      </c>
      <c r="D144" s="63">
        <f>9+0.12+29.38</f>
        <v>38.5</v>
      </c>
      <c r="E144" s="35">
        <f t="shared" si="78"/>
        <v>124.44</v>
      </c>
      <c r="F144" s="37">
        <f>42+0.12</f>
        <v>42.12</v>
      </c>
      <c r="G144" s="37">
        <v>27.18</v>
      </c>
      <c r="H144" s="37">
        <v>16.5</v>
      </c>
      <c r="I144" s="35">
        <f t="shared" si="79"/>
        <v>85.8</v>
      </c>
      <c r="J144" s="37">
        <f>16.5+1.13</f>
        <v>17.63</v>
      </c>
      <c r="K144" s="37">
        <f>26+1.13</f>
        <v>27.13</v>
      </c>
      <c r="L144" s="37">
        <f>25.5+1.13</f>
        <v>26.63</v>
      </c>
      <c r="M144" s="35">
        <f t="shared" si="80"/>
        <v>71.39</v>
      </c>
      <c r="N144" s="37">
        <f>38+0.12</f>
        <v>38.12</v>
      </c>
      <c r="O144" s="37">
        <v>7.13</v>
      </c>
      <c r="P144" s="38">
        <f>11+2.26</f>
        <v>13.26</v>
      </c>
      <c r="Q144" s="35">
        <f t="shared" si="81"/>
        <v>58.51</v>
      </c>
      <c r="R144" s="34">
        <f t="shared" si="76"/>
        <v>340.14</v>
      </c>
    </row>
    <row r="145" spans="1:18" ht="12.75" hidden="1" outlineLevel="3">
      <c r="A145" s="23" t="s">
        <v>21</v>
      </c>
      <c r="B145" s="63"/>
      <c r="C145" s="63"/>
      <c r="D145" s="63"/>
      <c r="E145" s="35">
        <f t="shared" si="78"/>
        <v>0</v>
      </c>
      <c r="F145" s="37"/>
      <c r="G145" s="37"/>
      <c r="H145" s="37"/>
      <c r="I145" s="35">
        <f t="shared" si="79"/>
        <v>0</v>
      </c>
      <c r="J145" s="37"/>
      <c r="K145" s="37"/>
      <c r="L145" s="37"/>
      <c r="M145" s="35">
        <f t="shared" si="80"/>
        <v>0</v>
      </c>
      <c r="N145" s="37"/>
      <c r="O145" s="37"/>
      <c r="P145" s="38"/>
      <c r="Q145" s="35">
        <f t="shared" si="81"/>
        <v>0</v>
      </c>
      <c r="R145" s="34">
        <f t="shared" si="76"/>
        <v>0</v>
      </c>
    </row>
    <row r="146" spans="1:18" ht="12.75" hidden="1" outlineLevel="3">
      <c r="A146" s="23" t="s">
        <v>22</v>
      </c>
      <c r="B146" s="63"/>
      <c r="C146" s="63"/>
      <c r="D146" s="63"/>
      <c r="E146" s="35">
        <f t="shared" si="78"/>
        <v>0</v>
      </c>
      <c r="F146" s="37"/>
      <c r="G146" s="37"/>
      <c r="H146" s="37"/>
      <c r="I146" s="35">
        <f t="shared" si="79"/>
        <v>0</v>
      </c>
      <c r="J146" s="37"/>
      <c r="K146" s="37"/>
      <c r="L146" s="37"/>
      <c r="M146" s="35">
        <f t="shared" si="80"/>
        <v>0</v>
      </c>
      <c r="N146" s="37"/>
      <c r="O146" s="37"/>
      <c r="P146" s="38"/>
      <c r="Q146" s="35">
        <f t="shared" si="81"/>
        <v>0</v>
      </c>
      <c r="R146" s="34">
        <f t="shared" si="76"/>
        <v>0</v>
      </c>
    </row>
    <row r="147" spans="1:18" ht="12.75" hidden="1" outlineLevel="3">
      <c r="A147" s="23" t="s">
        <v>61</v>
      </c>
      <c r="B147" s="62"/>
      <c r="C147" s="62"/>
      <c r="D147" s="62"/>
      <c r="E147" s="35">
        <f t="shared" si="78"/>
        <v>0</v>
      </c>
      <c r="F147" s="38"/>
      <c r="G147" s="38"/>
      <c r="H147" s="38"/>
      <c r="I147" s="35">
        <f t="shared" si="79"/>
        <v>0</v>
      </c>
      <c r="J147" s="38"/>
      <c r="K147" s="38"/>
      <c r="L147" s="38"/>
      <c r="M147" s="35">
        <f t="shared" si="80"/>
        <v>0</v>
      </c>
      <c r="N147" s="38"/>
      <c r="O147" s="38"/>
      <c r="P147" s="38"/>
      <c r="Q147" s="35">
        <f t="shared" si="81"/>
        <v>0</v>
      </c>
      <c r="R147" s="72">
        <f t="shared" si="76"/>
        <v>0</v>
      </c>
    </row>
    <row r="148" spans="1:18" ht="12.75" hidden="1" outlineLevel="2" collapsed="1">
      <c r="A148" s="28" t="s">
        <v>50</v>
      </c>
      <c r="B148" s="43">
        <f aca="true" t="shared" si="82" ref="B148:Q148">SUM(B139:B146)</f>
        <v>192.74</v>
      </c>
      <c r="C148" s="43">
        <f t="shared" si="82"/>
        <v>214.83</v>
      </c>
      <c r="D148" s="43">
        <f t="shared" si="82"/>
        <v>203.02</v>
      </c>
      <c r="E148" s="42">
        <f t="shared" si="82"/>
        <v>610.59</v>
      </c>
      <c r="F148" s="43">
        <f t="shared" si="82"/>
        <v>179.7</v>
      </c>
      <c r="G148" s="43">
        <f t="shared" si="82"/>
        <v>182.04</v>
      </c>
      <c r="H148" s="43">
        <f t="shared" si="82"/>
        <v>165.37</v>
      </c>
      <c r="I148" s="42">
        <f t="shared" si="82"/>
        <v>527.11</v>
      </c>
      <c r="J148" s="43">
        <f t="shared" si="82"/>
        <v>158.72</v>
      </c>
      <c r="K148" s="43">
        <f t="shared" si="82"/>
        <v>164.82999999999998</v>
      </c>
      <c r="L148" s="43">
        <f t="shared" si="82"/>
        <v>178.26</v>
      </c>
      <c r="M148" s="42">
        <f t="shared" si="82"/>
        <v>501.81</v>
      </c>
      <c r="N148" s="43">
        <f t="shared" si="82"/>
        <v>178.85000000000002</v>
      </c>
      <c r="O148" s="43">
        <f t="shared" si="82"/>
        <v>145.95999999999998</v>
      </c>
      <c r="P148" s="43">
        <f t="shared" si="82"/>
        <v>167.66</v>
      </c>
      <c r="Q148" s="42">
        <f t="shared" si="82"/>
        <v>492.46999999999997</v>
      </c>
      <c r="R148" s="44">
        <f t="shared" si="76"/>
        <v>2131.98</v>
      </c>
    </row>
    <row r="149" spans="1:21" ht="13.5" outlineLevel="1" collapsed="1" thickBot="1">
      <c r="A149" s="26" t="s">
        <v>48</v>
      </c>
      <c r="B149" s="46">
        <f aca="true" t="shared" si="83" ref="B149:R149">B148+B138</f>
        <v>182.39000000000001</v>
      </c>
      <c r="C149" s="46">
        <f t="shared" si="83"/>
        <v>214.83</v>
      </c>
      <c r="D149" s="46">
        <f t="shared" si="83"/>
        <v>203.02</v>
      </c>
      <c r="E149" s="45">
        <f t="shared" si="83"/>
        <v>600.24</v>
      </c>
      <c r="F149" s="46">
        <f t="shared" si="83"/>
        <v>179.7</v>
      </c>
      <c r="G149" s="46">
        <f t="shared" si="83"/>
        <v>182.04</v>
      </c>
      <c r="H149" s="46">
        <f t="shared" si="83"/>
        <v>165.37</v>
      </c>
      <c r="I149" s="45">
        <f t="shared" si="83"/>
        <v>527.11</v>
      </c>
      <c r="J149" s="46">
        <f t="shared" si="83"/>
        <v>158.72</v>
      </c>
      <c r="K149" s="46">
        <f t="shared" si="83"/>
        <v>164.82999999999998</v>
      </c>
      <c r="L149" s="46">
        <f t="shared" si="83"/>
        <v>180.12</v>
      </c>
      <c r="M149" s="45">
        <f t="shared" si="83"/>
        <v>503.67</v>
      </c>
      <c r="N149" s="46">
        <f t="shared" si="83"/>
        <v>178.85000000000002</v>
      </c>
      <c r="O149" s="46">
        <f t="shared" si="83"/>
        <v>145.95999999999998</v>
      </c>
      <c r="P149" s="46">
        <f t="shared" si="83"/>
        <v>167.66</v>
      </c>
      <c r="Q149" s="45">
        <f t="shared" si="83"/>
        <v>492.46999999999997</v>
      </c>
      <c r="R149" s="47">
        <f t="shared" si="83"/>
        <v>2123.4900000000002</v>
      </c>
      <c r="S149" s="65">
        <f>((B139/0.12)+(C139/0.12)+(D139/0.12)+(F139/0.12)+(G139/0.12)+(H139/0.12)+(J139/0.12)+(K139/0.12)+(L139/0.12)+(N139/0.12)+(O139/0.12)+(P139/0.12))/12</f>
        <v>885.3333333333334</v>
      </c>
      <c r="T149" s="54">
        <f>R149/S149</f>
        <v>2.3985203313253014</v>
      </c>
      <c r="U149" s="66">
        <f>R141/R149</f>
        <v>0.06492142651955037</v>
      </c>
    </row>
    <row r="150" spans="1:18" ht="13.5" outlineLevel="1" thickTop="1">
      <c r="A150" s="16" t="s">
        <v>33</v>
      </c>
      <c r="B150" s="17"/>
      <c r="C150" s="17"/>
      <c r="D150" s="17"/>
      <c r="E150" s="14"/>
      <c r="F150" s="17"/>
      <c r="G150" s="17"/>
      <c r="H150" s="17"/>
      <c r="I150" s="14"/>
      <c r="J150" s="17"/>
      <c r="K150" s="17"/>
      <c r="L150" s="17"/>
      <c r="M150" s="14"/>
      <c r="N150" s="17"/>
      <c r="O150" s="17"/>
      <c r="P150" s="17"/>
      <c r="Q150" s="14"/>
      <c r="R150" s="27"/>
    </row>
    <row r="151" spans="1:18" ht="12.75" hidden="1" outlineLevel="3">
      <c r="A151" s="19" t="s">
        <v>40</v>
      </c>
      <c r="B151" s="20"/>
      <c r="C151" s="20"/>
      <c r="D151" s="20"/>
      <c r="E151" s="67">
        <f aca="true" t="shared" si="84" ref="E151:E158">SUM(B151:D151)</f>
        <v>0</v>
      </c>
      <c r="F151" s="20"/>
      <c r="G151" s="20"/>
      <c r="H151" s="20"/>
      <c r="I151" s="67">
        <f aca="true" t="shared" si="85" ref="I151:I158">SUM(F151:H151)</f>
        <v>0</v>
      </c>
      <c r="J151" s="20"/>
      <c r="K151" s="20"/>
      <c r="L151" s="20"/>
      <c r="M151" s="67">
        <f aca="true" t="shared" si="86" ref="M151:M158">SUM(J151:L151)</f>
        <v>0</v>
      </c>
      <c r="N151" s="20"/>
      <c r="O151" s="20"/>
      <c r="P151" s="20"/>
      <c r="Q151" s="67">
        <f aca="true" t="shared" si="87" ref="Q151:Q158">SUM(N151:P151)</f>
        <v>0</v>
      </c>
      <c r="R151" s="21">
        <f aca="true" t="shared" si="88" ref="R151:R169">Q151+M151+I151+E151</f>
        <v>0</v>
      </c>
    </row>
    <row r="152" spans="1:18" ht="12.75" hidden="1" outlineLevel="3">
      <c r="A152" s="19" t="s">
        <v>41</v>
      </c>
      <c r="B152" s="20"/>
      <c r="C152" s="20"/>
      <c r="D152" s="20"/>
      <c r="E152" s="67">
        <f t="shared" si="84"/>
        <v>0</v>
      </c>
      <c r="F152" s="20"/>
      <c r="G152" s="20"/>
      <c r="H152" s="20"/>
      <c r="I152" s="67">
        <f t="shared" si="85"/>
        <v>0</v>
      </c>
      <c r="J152" s="20"/>
      <c r="K152" s="20"/>
      <c r="L152" s="20"/>
      <c r="M152" s="67">
        <f t="shared" si="86"/>
        <v>0</v>
      </c>
      <c r="N152" s="20"/>
      <c r="O152" s="20"/>
      <c r="P152" s="20"/>
      <c r="Q152" s="67">
        <f t="shared" si="87"/>
        <v>0</v>
      </c>
      <c r="R152" s="21">
        <f t="shared" si="88"/>
        <v>0</v>
      </c>
    </row>
    <row r="153" spans="1:18" ht="12.75" hidden="1" outlineLevel="3">
      <c r="A153" s="19" t="s">
        <v>42</v>
      </c>
      <c r="B153" s="20"/>
      <c r="C153" s="20"/>
      <c r="D153" s="20"/>
      <c r="E153" s="67">
        <f t="shared" si="84"/>
        <v>0</v>
      </c>
      <c r="F153" s="20"/>
      <c r="G153" s="20"/>
      <c r="H153" s="20"/>
      <c r="I153" s="67">
        <f t="shared" si="85"/>
        <v>0</v>
      </c>
      <c r="J153" s="20"/>
      <c r="K153" s="20"/>
      <c r="L153" s="20"/>
      <c r="M153" s="67">
        <f t="shared" si="86"/>
        <v>0</v>
      </c>
      <c r="N153" s="20"/>
      <c r="O153" s="20"/>
      <c r="P153" s="20"/>
      <c r="Q153" s="67">
        <f t="shared" si="87"/>
        <v>0</v>
      </c>
      <c r="R153" s="21">
        <f t="shared" si="88"/>
        <v>0</v>
      </c>
    </row>
    <row r="154" spans="1:18" ht="12.75" hidden="1" outlineLevel="3">
      <c r="A154" s="19" t="s">
        <v>43</v>
      </c>
      <c r="B154" s="20"/>
      <c r="C154" s="20"/>
      <c r="D154" s="20"/>
      <c r="E154" s="67">
        <f t="shared" si="84"/>
        <v>0</v>
      </c>
      <c r="F154" s="20"/>
      <c r="G154" s="20"/>
      <c r="H154" s="20"/>
      <c r="I154" s="67">
        <f t="shared" si="85"/>
        <v>0</v>
      </c>
      <c r="J154" s="20"/>
      <c r="K154" s="20"/>
      <c r="L154" s="20"/>
      <c r="M154" s="67">
        <f t="shared" si="86"/>
        <v>0</v>
      </c>
      <c r="N154" s="20"/>
      <c r="O154" s="20"/>
      <c r="P154" s="20"/>
      <c r="Q154" s="67">
        <f t="shared" si="87"/>
        <v>0</v>
      </c>
      <c r="R154" s="21">
        <f t="shared" si="88"/>
        <v>0</v>
      </c>
    </row>
    <row r="155" spans="1:18" ht="12.75" hidden="1" outlineLevel="3">
      <c r="A155" s="19" t="s">
        <v>44</v>
      </c>
      <c r="B155" s="20"/>
      <c r="C155" s="20"/>
      <c r="D155" s="20"/>
      <c r="E155" s="67">
        <f t="shared" si="84"/>
        <v>0</v>
      </c>
      <c r="F155" s="20"/>
      <c r="G155" s="20"/>
      <c r="H155" s="20"/>
      <c r="I155" s="67">
        <f t="shared" si="85"/>
        <v>0</v>
      </c>
      <c r="J155" s="20"/>
      <c r="K155" s="20"/>
      <c r="L155" s="20"/>
      <c r="M155" s="67">
        <f t="shared" si="86"/>
        <v>0</v>
      </c>
      <c r="N155" s="20"/>
      <c r="O155" s="20"/>
      <c r="P155" s="20"/>
      <c r="Q155" s="67">
        <f t="shared" si="87"/>
        <v>0</v>
      </c>
      <c r="R155" s="21">
        <f t="shared" si="88"/>
        <v>0</v>
      </c>
    </row>
    <row r="156" spans="1:18" ht="12.75" hidden="1" outlineLevel="3">
      <c r="A156" s="19" t="s">
        <v>45</v>
      </c>
      <c r="B156" s="62">
        <v>-5.08</v>
      </c>
      <c r="C156" s="62"/>
      <c r="D156" s="62"/>
      <c r="E156" s="35">
        <f t="shared" si="84"/>
        <v>-5.08</v>
      </c>
      <c r="F156" s="62"/>
      <c r="G156" s="62"/>
      <c r="H156" s="62"/>
      <c r="I156" s="35">
        <f t="shared" si="85"/>
        <v>0</v>
      </c>
      <c r="J156" s="62"/>
      <c r="K156" s="62"/>
      <c r="L156" s="62"/>
      <c r="M156" s="35">
        <f t="shared" si="86"/>
        <v>0</v>
      </c>
      <c r="N156" s="62"/>
      <c r="O156" s="62"/>
      <c r="P156" s="62"/>
      <c r="Q156" s="35">
        <f t="shared" si="87"/>
        <v>0</v>
      </c>
      <c r="R156" s="34">
        <f t="shared" si="88"/>
        <v>-5.08</v>
      </c>
    </row>
    <row r="157" spans="1:18" ht="12.75" hidden="1" outlineLevel="3">
      <c r="A157" s="19" t="s">
        <v>46</v>
      </c>
      <c r="B157" s="20"/>
      <c r="C157" s="20"/>
      <c r="D157" s="20"/>
      <c r="E157" s="67">
        <f t="shared" si="84"/>
        <v>0</v>
      </c>
      <c r="F157" s="20"/>
      <c r="G157" s="20"/>
      <c r="H157" s="20"/>
      <c r="I157" s="67">
        <f t="shared" si="85"/>
        <v>0</v>
      </c>
      <c r="J157" s="20"/>
      <c r="K157" s="20"/>
      <c r="L157" s="20"/>
      <c r="M157" s="67">
        <f t="shared" si="86"/>
        <v>0</v>
      </c>
      <c r="N157" s="20"/>
      <c r="O157" s="20"/>
      <c r="P157" s="20"/>
      <c r="Q157" s="67">
        <f t="shared" si="87"/>
        <v>0</v>
      </c>
      <c r="R157" s="21">
        <f t="shared" si="88"/>
        <v>0</v>
      </c>
    </row>
    <row r="158" spans="1:18" ht="12.75" hidden="1" outlineLevel="3">
      <c r="A158" s="19" t="s">
        <v>58</v>
      </c>
      <c r="B158" s="62"/>
      <c r="C158" s="62"/>
      <c r="D158" s="62"/>
      <c r="E158" s="59">
        <f t="shared" si="84"/>
        <v>0</v>
      </c>
      <c r="F158" s="52"/>
      <c r="G158" s="52">
        <v>54</v>
      </c>
      <c r="H158" s="52"/>
      <c r="I158" s="59">
        <f t="shared" si="85"/>
        <v>54</v>
      </c>
      <c r="J158" s="52"/>
      <c r="K158" s="52"/>
      <c r="L158" s="52">
        <v>0.93</v>
      </c>
      <c r="M158" s="59">
        <f t="shared" si="86"/>
        <v>0.93</v>
      </c>
      <c r="N158" s="52"/>
      <c r="O158" s="52"/>
      <c r="P158" s="52"/>
      <c r="Q158" s="59">
        <f t="shared" si="87"/>
        <v>0</v>
      </c>
      <c r="R158" s="60">
        <f t="shared" si="88"/>
        <v>54.93</v>
      </c>
    </row>
    <row r="159" spans="1:18" ht="12.75" hidden="1" outlineLevel="2" collapsed="1">
      <c r="A159" s="22" t="s">
        <v>47</v>
      </c>
      <c r="B159" s="63">
        <f aca="true" t="shared" si="89" ref="B159:Q159">SUM(B151:B158)</f>
        <v>-5.08</v>
      </c>
      <c r="C159" s="63">
        <f t="shared" si="89"/>
        <v>0</v>
      </c>
      <c r="D159" s="63">
        <f t="shared" si="89"/>
        <v>0</v>
      </c>
      <c r="E159" s="33">
        <f t="shared" si="89"/>
        <v>-5.08</v>
      </c>
      <c r="F159" s="33">
        <f t="shared" si="89"/>
        <v>0</v>
      </c>
      <c r="G159" s="33">
        <f t="shared" si="89"/>
        <v>54</v>
      </c>
      <c r="H159" s="33">
        <f t="shared" si="89"/>
        <v>0</v>
      </c>
      <c r="I159" s="33">
        <f t="shared" si="89"/>
        <v>54</v>
      </c>
      <c r="J159" s="33">
        <f t="shared" si="89"/>
        <v>0</v>
      </c>
      <c r="K159" s="33">
        <f t="shared" si="89"/>
        <v>0</v>
      </c>
      <c r="L159" s="33">
        <f t="shared" si="89"/>
        <v>0.93</v>
      </c>
      <c r="M159" s="33">
        <f t="shared" si="89"/>
        <v>0.93</v>
      </c>
      <c r="N159" s="33">
        <f t="shared" si="89"/>
        <v>0</v>
      </c>
      <c r="O159" s="33">
        <f t="shared" si="89"/>
        <v>0</v>
      </c>
      <c r="P159" s="33">
        <f t="shared" si="89"/>
        <v>0</v>
      </c>
      <c r="Q159" s="33">
        <f t="shared" si="89"/>
        <v>0</v>
      </c>
      <c r="R159" s="34">
        <f t="shared" si="88"/>
        <v>49.85</v>
      </c>
    </row>
    <row r="160" spans="1:18" ht="12.75" hidden="1" outlineLevel="3">
      <c r="A160" s="23" t="s">
        <v>15</v>
      </c>
      <c r="B160" s="63">
        <v>54.36</v>
      </c>
      <c r="C160" s="63">
        <v>53.88</v>
      </c>
      <c r="D160" s="63">
        <v>54</v>
      </c>
      <c r="E160" s="35">
        <f aca="true" t="shared" si="90" ref="E160:E168">SUM(B160:D160)</f>
        <v>162.24</v>
      </c>
      <c r="F160" s="37">
        <v>53.76</v>
      </c>
      <c r="G160" s="37">
        <v>53.88</v>
      </c>
      <c r="H160" s="37">
        <v>54.12</v>
      </c>
      <c r="I160" s="35">
        <f aca="true" t="shared" si="91" ref="I160:I168">SUM(F160:H160)</f>
        <v>161.76</v>
      </c>
      <c r="J160" s="37">
        <v>54.72</v>
      </c>
      <c r="K160" s="37">
        <v>54</v>
      </c>
      <c r="L160" s="37">
        <v>53.28</v>
      </c>
      <c r="M160" s="35">
        <f aca="true" t="shared" si="92" ref="M160:M168">SUM(J160:L160)</f>
        <v>162</v>
      </c>
      <c r="N160" s="37">
        <v>52.44</v>
      </c>
      <c r="O160" s="37">
        <v>52.56</v>
      </c>
      <c r="P160" s="38">
        <v>52.8</v>
      </c>
      <c r="Q160" s="35">
        <f aca="true" t="shared" si="93" ref="Q160:Q168">SUM(N160:P160)</f>
        <v>157.8</v>
      </c>
      <c r="R160" s="34">
        <f t="shared" si="88"/>
        <v>643.8</v>
      </c>
    </row>
    <row r="161" spans="1:18" ht="12.75" hidden="1" outlineLevel="3">
      <c r="A161" s="23" t="s">
        <v>16</v>
      </c>
      <c r="B161" s="62">
        <v>10.36</v>
      </c>
      <c r="C161" s="62">
        <v>10.36</v>
      </c>
      <c r="D161" s="62">
        <v>10.36</v>
      </c>
      <c r="E161" s="35">
        <f t="shared" si="90"/>
        <v>31.08</v>
      </c>
      <c r="F161" s="62">
        <v>10.36</v>
      </c>
      <c r="G161" s="62">
        <v>10.36</v>
      </c>
      <c r="H161" s="62">
        <v>10.36</v>
      </c>
      <c r="I161" s="35">
        <f t="shared" si="91"/>
        <v>31.08</v>
      </c>
      <c r="J161" s="62">
        <v>10.36</v>
      </c>
      <c r="K161" s="62">
        <v>10.36</v>
      </c>
      <c r="L161" s="62">
        <v>10.36</v>
      </c>
      <c r="M161" s="35">
        <f t="shared" si="92"/>
        <v>31.08</v>
      </c>
      <c r="N161" s="62">
        <v>10.36</v>
      </c>
      <c r="O161" s="62">
        <v>10.36</v>
      </c>
      <c r="P161" s="62">
        <v>10</v>
      </c>
      <c r="Q161" s="35">
        <f t="shared" si="93"/>
        <v>30.72</v>
      </c>
      <c r="R161" s="34">
        <f t="shared" si="88"/>
        <v>123.96</v>
      </c>
    </row>
    <row r="162" spans="1:18" ht="12.75" hidden="1" outlineLevel="3">
      <c r="A162" s="23" t="s">
        <v>17</v>
      </c>
      <c r="B162" s="63">
        <v>39.55</v>
      </c>
      <c r="C162" s="63">
        <v>21.47</v>
      </c>
      <c r="D162" s="63">
        <v>13.56</v>
      </c>
      <c r="E162" s="35">
        <f t="shared" si="90"/>
        <v>74.58</v>
      </c>
      <c r="F162" s="37">
        <v>3.39</v>
      </c>
      <c r="G162" s="37">
        <v>21.47</v>
      </c>
      <c r="H162" s="37">
        <v>22.6</v>
      </c>
      <c r="I162" s="35">
        <f t="shared" si="91"/>
        <v>47.46</v>
      </c>
      <c r="J162" s="37">
        <v>21.47</v>
      </c>
      <c r="K162" s="37">
        <v>22.6</v>
      </c>
      <c r="L162" s="37">
        <v>16.95</v>
      </c>
      <c r="M162" s="35">
        <f t="shared" si="92"/>
        <v>61.019999999999996</v>
      </c>
      <c r="N162" s="37">
        <v>15.82</v>
      </c>
      <c r="O162" s="37">
        <v>9.04</v>
      </c>
      <c r="P162" s="38">
        <v>19.21</v>
      </c>
      <c r="Q162" s="35">
        <f t="shared" si="93"/>
        <v>44.07</v>
      </c>
      <c r="R162" s="34">
        <f t="shared" si="88"/>
        <v>227.13</v>
      </c>
    </row>
    <row r="163" spans="1:18" ht="12.75" hidden="1" outlineLevel="3">
      <c r="A163" s="25" t="s">
        <v>18</v>
      </c>
      <c r="B163" s="63">
        <f>3.14+0.61</f>
        <v>3.75</v>
      </c>
      <c r="C163" s="63">
        <f>2.73+0.6</f>
        <v>3.33</v>
      </c>
      <c r="D163" s="63">
        <f>2.99+0.6+7.71+0.66</f>
        <v>11.96</v>
      </c>
      <c r="E163" s="35">
        <f t="shared" si="90"/>
        <v>19.04</v>
      </c>
      <c r="F163" s="37"/>
      <c r="G163" s="37">
        <f>8.31+0.71</f>
        <v>9.02</v>
      </c>
      <c r="H163" s="37">
        <f>5.75+0.64</f>
        <v>6.39</v>
      </c>
      <c r="I163" s="35">
        <f t="shared" si="91"/>
        <v>15.41</v>
      </c>
      <c r="J163" s="37"/>
      <c r="K163" s="37"/>
      <c r="L163" s="37">
        <f>2.9+0.05</f>
        <v>2.9499999999999997</v>
      </c>
      <c r="M163" s="35">
        <f t="shared" si="92"/>
        <v>2.9499999999999997</v>
      </c>
      <c r="N163" s="37"/>
      <c r="O163" s="37"/>
      <c r="P163" s="38">
        <f>0.04+2.41+0.05+3.42+0.04+2.77+0.07</f>
        <v>8.8</v>
      </c>
      <c r="Q163" s="35">
        <f t="shared" si="93"/>
        <v>8.8</v>
      </c>
      <c r="R163" s="34">
        <f t="shared" si="88"/>
        <v>46.2</v>
      </c>
    </row>
    <row r="164" spans="1:18" ht="12.75" hidden="1" outlineLevel="3">
      <c r="A164" s="23" t="s">
        <v>19</v>
      </c>
      <c r="B164" s="63"/>
      <c r="C164" s="63">
        <v>1.86</v>
      </c>
      <c r="D164" s="63">
        <v>0.93</v>
      </c>
      <c r="E164" s="35">
        <f t="shared" si="90"/>
        <v>2.79</v>
      </c>
      <c r="F164" s="37">
        <v>0.93</v>
      </c>
      <c r="G164" s="37"/>
      <c r="H164" s="37">
        <v>0.93</v>
      </c>
      <c r="I164" s="35">
        <f t="shared" si="91"/>
        <v>1.86</v>
      </c>
      <c r="J164" s="37"/>
      <c r="K164" s="37"/>
      <c r="L164" s="37">
        <v>3.72</v>
      </c>
      <c r="M164" s="35">
        <f t="shared" si="92"/>
        <v>3.72</v>
      </c>
      <c r="N164" s="37"/>
      <c r="O164" s="37">
        <v>1.86</v>
      </c>
      <c r="P164" s="38"/>
      <c r="Q164" s="35">
        <f t="shared" si="93"/>
        <v>1.86</v>
      </c>
      <c r="R164" s="34">
        <f t="shared" si="88"/>
        <v>10.23</v>
      </c>
    </row>
    <row r="165" spans="1:18" ht="12.75" hidden="1" outlineLevel="3">
      <c r="A165" s="23" t="s">
        <v>20</v>
      </c>
      <c r="B165" s="63"/>
      <c r="C165" s="63"/>
      <c r="D165" s="63"/>
      <c r="E165" s="35">
        <f t="shared" si="90"/>
        <v>0</v>
      </c>
      <c r="F165" s="37"/>
      <c r="G165" s="37"/>
      <c r="H165" s="37"/>
      <c r="I165" s="35">
        <f t="shared" si="91"/>
        <v>0</v>
      </c>
      <c r="J165" s="37"/>
      <c r="K165" s="37"/>
      <c r="L165" s="37"/>
      <c r="M165" s="35">
        <f t="shared" si="92"/>
        <v>0</v>
      </c>
      <c r="N165" s="37"/>
      <c r="O165" s="37"/>
      <c r="P165" s="38"/>
      <c r="Q165" s="35">
        <f t="shared" si="93"/>
        <v>0</v>
      </c>
      <c r="R165" s="34">
        <f t="shared" si="88"/>
        <v>0</v>
      </c>
    </row>
    <row r="166" spans="1:18" ht="12.75" hidden="1" outlineLevel="3">
      <c r="A166" s="23" t="s">
        <v>21</v>
      </c>
      <c r="B166" s="63"/>
      <c r="C166" s="63"/>
      <c r="D166" s="63"/>
      <c r="E166" s="35">
        <f t="shared" si="90"/>
        <v>0</v>
      </c>
      <c r="F166" s="37"/>
      <c r="G166" s="37"/>
      <c r="H166" s="37"/>
      <c r="I166" s="35">
        <f t="shared" si="91"/>
        <v>0</v>
      </c>
      <c r="J166" s="37"/>
      <c r="K166" s="37"/>
      <c r="L166" s="37"/>
      <c r="M166" s="35">
        <f t="shared" si="92"/>
        <v>0</v>
      </c>
      <c r="N166" s="37"/>
      <c r="O166" s="37"/>
      <c r="P166" s="38"/>
      <c r="Q166" s="35">
        <f t="shared" si="93"/>
        <v>0</v>
      </c>
      <c r="R166" s="34">
        <f t="shared" si="88"/>
        <v>0</v>
      </c>
    </row>
    <row r="167" spans="1:18" ht="12.75" hidden="1" outlineLevel="3">
      <c r="A167" s="23" t="s">
        <v>22</v>
      </c>
      <c r="B167" s="63">
        <v>8.52</v>
      </c>
      <c r="C167" s="63">
        <v>8.52</v>
      </c>
      <c r="D167" s="63">
        <v>4.26</v>
      </c>
      <c r="E167" s="35">
        <f t="shared" si="90"/>
        <v>21.299999999999997</v>
      </c>
      <c r="F167" s="37">
        <v>8.52</v>
      </c>
      <c r="G167" s="37">
        <v>4.26</v>
      </c>
      <c r="H167" s="37"/>
      <c r="I167" s="35">
        <f t="shared" si="91"/>
        <v>12.78</v>
      </c>
      <c r="J167" s="37">
        <v>17.04</v>
      </c>
      <c r="K167" s="37">
        <v>4.26</v>
      </c>
      <c r="L167" s="37">
        <v>17.04</v>
      </c>
      <c r="M167" s="35">
        <f t="shared" si="92"/>
        <v>38.339999999999996</v>
      </c>
      <c r="N167" s="37">
        <v>17.04</v>
      </c>
      <c r="O167" s="37">
        <v>8.52</v>
      </c>
      <c r="P167" s="38">
        <v>4.26</v>
      </c>
      <c r="Q167" s="35">
        <f t="shared" si="93"/>
        <v>29.82</v>
      </c>
      <c r="R167" s="34">
        <f t="shared" si="88"/>
        <v>102.24</v>
      </c>
    </row>
    <row r="168" spans="1:18" ht="12.75" hidden="1" outlineLevel="3">
      <c r="A168" s="23" t="s">
        <v>61</v>
      </c>
      <c r="B168" s="62"/>
      <c r="C168" s="62"/>
      <c r="D168" s="62"/>
      <c r="E168" s="35">
        <f t="shared" si="90"/>
        <v>0</v>
      </c>
      <c r="F168" s="38"/>
      <c r="G168" s="38"/>
      <c r="H168" s="38"/>
      <c r="I168" s="35">
        <f t="shared" si="91"/>
        <v>0</v>
      </c>
      <c r="J168" s="38"/>
      <c r="K168" s="38"/>
      <c r="L168" s="38"/>
      <c r="M168" s="35">
        <f t="shared" si="92"/>
        <v>0</v>
      </c>
      <c r="N168" s="38"/>
      <c r="O168" s="38"/>
      <c r="P168" s="38"/>
      <c r="Q168" s="35">
        <f t="shared" si="93"/>
        <v>0</v>
      </c>
      <c r="R168" s="72">
        <f t="shared" si="88"/>
        <v>0</v>
      </c>
    </row>
    <row r="169" spans="1:18" ht="12.75" hidden="1" outlineLevel="2" collapsed="1">
      <c r="A169" s="28" t="s">
        <v>50</v>
      </c>
      <c r="B169" s="43">
        <f aca="true" t="shared" si="94" ref="B169:Q169">SUM(B160:B167)</f>
        <v>116.53999999999999</v>
      </c>
      <c r="C169" s="43">
        <f t="shared" si="94"/>
        <v>99.42</v>
      </c>
      <c r="D169" s="43">
        <f t="shared" si="94"/>
        <v>95.07000000000001</v>
      </c>
      <c r="E169" s="42">
        <f t="shared" si="94"/>
        <v>311.03000000000003</v>
      </c>
      <c r="F169" s="43">
        <f t="shared" si="94"/>
        <v>76.96000000000001</v>
      </c>
      <c r="G169" s="43">
        <f t="shared" si="94"/>
        <v>98.99000000000001</v>
      </c>
      <c r="H169" s="43">
        <f t="shared" si="94"/>
        <v>94.39999999999999</v>
      </c>
      <c r="I169" s="42">
        <f t="shared" si="94"/>
        <v>270.34999999999997</v>
      </c>
      <c r="J169" s="43">
        <f t="shared" si="94"/>
        <v>103.59</v>
      </c>
      <c r="K169" s="43">
        <f t="shared" si="94"/>
        <v>91.22000000000001</v>
      </c>
      <c r="L169" s="43">
        <f t="shared" si="94"/>
        <v>104.30000000000001</v>
      </c>
      <c r="M169" s="42">
        <f t="shared" si="94"/>
        <v>299.10999999999996</v>
      </c>
      <c r="N169" s="43">
        <f t="shared" si="94"/>
        <v>95.66</v>
      </c>
      <c r="O169" s="43">
        <f t="shared" si="94"/>
        <v>82.34</v>
      </c>
      <c r="P169" s="43">
        <f t="shared" si="94"/>
        <v>95.07</v>
      </c>
      <c r="Q169" s="42">
        <f t="shared" si="94"/>
        <v>273.07000000000005</v>
      </c>
      <c r="R169" s="44">
        <f t="shared" si="88"/>
        <v>1153.56</v>
      </c>
    </row>
    <row r="170" spans="1:21" ht="13.5" outlineLevel="1" collapsed="1" thickBot="1">
      <c r="A170" s="26" t="s">
        <v>48</v>
      </c>
      <c r="B170" s="46">
        <f aca="true" t="shared" si="95" ref="B170:R170">B169+B159</f>
        <v>111.46</v>
      </c>
      <c r="C170" s="46">
        <f t="shared" si="95"/>
        <v>99.42</v>
      </c>
      <c r="D170" s="46">
        <f t="shared" si="95"/>
        <v>95.07000000000001</v>
      </c>
      <c r="E170" s="45">
        <f t="shared" si="95"/>
        <v>305.95000000000005</v>
      </c>
      <c r="F170" s="46">
        <f t="shared" si="95"/>
        <v>76.96000000000001</v>
      </c>
      <c r="G170" s="46">
        <f t="shared" si="95"/>
        <v>152.99</v>
      </c>
      <c r="H170" s="46">
        <f t="shared" si="95"/>
        <v>94.39999999999999</v>
      </c>
      <c r="I170" s="45">
        <f t="shared" si="95"/>
        <v>324.34999999999997</v>
      </c>
      <c r="J170" s="46">
        <f t="shared" si="95"/>
        <v>103.59</v>
      </c>
      <c r="K170" s="46">
        <f t="shared" si="95"/>
        <v>91.22000000000001</v>
      </c>
      <c r="L170" s="46">
        <f t="shared" si="95"/>
        <v>105.23000000000002</v>
      </c>
      <c r="M170" s="45">
        <f t="shared" si="95"/>
        <v>300.03999999999996</v>
      </c>
      <c r="N170" s="46">
        <f t="shared" si="95"/>
        <v>95.66</v>
      </c>
      <c r="O170" s="46">
        <f t="shared" si="95"/>
        <v>82.34</v>
      </c>
      <c r="P170" s="46">
        <f t="shared" si="95"/>
        <v>95.07</v>
      </c>
      <c r="Q170" s="45">
        <f t="shared" si="95"/>
        <v>273.07000000000005</v>
      </c>
      <c r="R170" s="47">
        <f t="shared" si="95"/>
        <v>1203.4099999999999</v>
      </c>
      <c r="S170" s="65">
        <f>((B160/0.12)+(C160/0.12)+(D160/0.12)+(F160/0.12)+(G160/0.12)+(H160/0.12)+(J160/0.12)+(K160/0.12)+(L160/0.12)+(N160/0.12)+(O160/0.12)+(P160/0.12))/12</f>
        <v>447.0833333333333</v>
      </c>
      <c r="T170" s="54">
        <f>R170/S170</f>
        <v>2.691690587138863</v>
      </c>
      <c r="U170" s="66">
        <f>R162/R170</f>
        <v>0.18873866761951458</v>
      </c>
    </row>
    <row r="171" spans="1:18" ht="13.5" outlineLevel="1" thickTop="1">
      <c r="A171" s="16" t="s">
        <v>34</v>
      </c>
      <c r="B171" s="17"/>
      <c r="C171" s="17"/>
      <c r="D171" s="17"/>
      <c r="E171" s="14"/>
      <c r="F171" s="17"/>
      <c r="G171" s="17"/>
      <c r="H171" s="17"/>
      <c r="I171" s="14"/>
      <c r="J171" s="17"/>
      <c r="K171" s="17"/>
      <c r="L171" s="17"/>
      <c r="M171" s="14"/>
      <c r="N171" s="17"/>
      <c r="O171" s="17"/>
      <c r="P171" s="17"/>
      <c r="Q171" s="14"/>
      <c r="R171" s="27"/>
    </row>
    <row r="172" spans="1:18" ht="12.75" hidden="1" outlineLevel="3">
      <c r="A172" s="19" t="s">
        <v>40</v>
      </c>
      <c r="B172" s="20"/>
      <c r="C172" s="20"/>
      <c r="D172" s="20"/>
      <c r="E172" s="67">
        <f aca="true" t="shared" si="96" ref="E172:E179">SUM(B172:D172)</f>
        <v>0</v>
      </c>
      <c r="F172" s="20"/>
      <c r="G172" s="20"/>
      <c r="H172" s="20"/>
      <c r="I172" s="67">
        <f aca="true" t="shared" si="97" ref="I172:I179">SUM(F172:H172)</f>
        <v>0</v>
      </c>
      <c r="J172" s="20"/>
      <c r="K172" s="20"/>
      <c r="L172" s="20"/>
      <c r="M172" s="67">
        <f aca="true" t="shared" si="98" ref="M172:M179">SUM(J172:L172)</f>
        <v>0</v>
      </c>
      <c r="N172" s="20"/>
      <c r="O172" s="20"/>
      <c r="P172" s="20"/>
      <c r="Q172" s="67">
        <f aca="true" t="shared" si="99" ref="Q172:Q179">SUM(N172:P172)</f>
        <v>0</v>
      </c>
      <c r="R172" s="21">
        <f aca="true" t="shared" si="100" ref="R172:R190">Q172+M172+I172+E172</f>
        <v>0</v>
      </c>
    </row>
    <row r="173" spans="1:18" ht="12.75" hidden="1" outlineLevel="3">
      <c r="A173" s="19" t="s">
        <v>41</v>
      </c>
      <c r="B173" s="20"/>
      <c r="C173" s="20"/>
      <c r="D173" s="20"/>
      <c r="E173" s="67">
        <f t="shared" si="96"/>
        <v>0</v>
      </c>
      <c r="F173" s="20"/>
      <c r="G173" s="20"/>
      <c r="H173" s="20"/>
      <c r="I173" s="67">
        <f t="shared" si="97"/>
        <v>0</v>
      </c>
      <c r="J173" s="20"/>
      <c r="K173" s="20"/>
      <c r="L173" s="20"/>
      <c r="M173" s="67">
        <f t="shared" si="98"/>
        <v>0</v>
      </c>
      <c r="N173" s="20"/>
      <c r="O173" s="20"/>
      <c r="P173" s="20"/>
      <c r="Q173" s="67">
        <f t="shared" si="99"/>
        <v>0</v>
      </c>
      <c r="R173" s="21">
        <f t="shared" si="100"/>
        <v>0</v>
      </c>
    </row>
    <row r="174" spans="1:18" ht="12.75" hidden="1" outlineLevel="3">
      <c r="A174" s="19" t="s">
        <v>42</v>
      </c>
      <c r="B174" s="20"/>
      <c r="C174" s="20"/>
      <c r="D174" s="20"/>
      <c r="E174" s="67">
        <f t="shared" si="96"/>
        <v>0</v>
      </c>
      <c r="F174" s="20"/>
      <c r="G174" s="20"/>
      <c r="H174" s="20"/>
      <c r="I174" s="67">
        <f t="shared" si="97"/>
        <v>0</v>
      </c>
      <c r="J174" s="20"/>
      <c r="K174" s="20"/>
      <c r="L174" s="20"/>
      <c r="M174" s="67">
        <f t="shared" si="98"/>
        <v>0</v>
      </c>
      <c r="N174" s="20"/>
      <c r="O174" s="20"/>
      <c r="P174" s="20"/>
      <c r="Q174" s="67">
        <f t="shared" si="99"/>
        <v>0</v>
      </c>
      <c r="R174" s="21">
        <f t="shared" si="100"/>
        <v>0</v>
      </c>
    </row>
    <row r="175" spans="1:18" ht="12.75" hidden="1" outlineLevel="3">
      <c r="A175" s="19" t="s">
        <v>43</v>
      </c>
      <c r="B175" s="20"/>
      <c r="C175" s="20"/>
      <c r="D175" s="20"/>
      <c r="E175" s="67">
        <f t="shared" si="96"/>
        <v>0</v>
      </c>
      <c r="F175" s="20"/>
      <c r="G175" s="20"/>
      <c r="H175" s="20"/>
      <c r="I175" s="67">
        <f t="shared" si="97"/>
        <v>0</v>
      </c>
      <c r="J175" s="20"/>
      <c r="K175" s="20"/>
      <c r="L175" s="20"/>
      <c r="M175" s="67">
        <f t="shared" si="98"/>
        <v>0</v>
      </c>
      <c r="N175" s="20"/>
      <c r="O175" s="20"/>
      <c r="P175" s="20"/>
      <c r="Q175" s="67">
        <f t="shared" si="99"/>
        <v>0</v>
      </c>
      <c r="R175" s="21">
        <f t="shared" si="100"/>
        <v>0</v>
      </c>
    </row>
    <row r="176" spans="1:18" ht="12.75" hidden="1" outlineLevel="3">
      <c r="A176" s="19" t="s">
        <v>44</v>
      </c>
      <c r="B176" s="20"/>
      <c r="C176" s="20"/>
      <c r="D176" s="20"/>
      <c r="E176" s="67">
        <f t="shared" si="96"/>
        <v>0</v>
      </c>
      <c r="F176" s="20"/>
      <c r="G176" s="20"/>
      <c r="H176" s="20"/>
      <c r="I176" s="67">
        <f t="shared" si="97"/>
        <v>0</v>
      </c>
      <c r="J176" s="20"/>
      <c r="K176" s="20"/>
      <c r="L176" s="20"/>
      <c r="M176" s="67">
        <f t="shared" si="98"/>
        <v>0</v>
      </c>
      <c r="N176" s="20"/>
      <c r="O176" s="20"/>
      <c r="P176" s="20"/>
      <c r="Q176" s="67">
        <f t="shared" si="99"/>
        <v>0</v>
      </c>
      <c r="R176" s="21">
        <f t="shared" si="100"/>
        <v>0</v>
      </c>
    </row>
    <row r="177" spans="1:18" ht="12.75" hidden="1" outlineLevel="3">
      <c r="A177" s="19" t="s">
        <v>45</v>
      </c>
      <c r="B177" s="62">
        <v>-8.31</v>
      </c>
      <c r="C177" s="62"/>
      <c r="D177" s="62"/>
      <c r="E177" s="35">
        <f t="shared" si="96"/>
        <v>-8.31</v>
      </c>
      <c r="F177" s="62"/>
      <c r="G177" s="62"/>
      <c r="H177" s="62"/>
      <c r="I177" s="35">
        <f t="shared" si="97"/>
        <v>0</v>
      </c>
      <c r="J177" s="62"/>
      <c r="K177" s="62"/>
      <c r="L177" s="62"/>
      <c r="M177" s="35">
        <f t="shared" si="98"/>
        <v>0</v>
      </c>
      <c r="N177" s="62"/>
      <c r="O177" s="62"/>
      <c r="P177" s="62"/>
      <c r="Q177" s="35">
        <f t="shared" si="99"/>
        <v>0</v>
      </c>
      <c r="R177" s="34">
        <f t="shared" si="100"/>
        <v>-8.31</v>
      </c>
    </row>
    <row r="178" spans="1:18" ht="12.75" hidden="1" outlineLevel="3">
      <c r="A178" s="19" t="s">
        <v>46</v>
      </c>
      <c r="B178" s="20"/>
      <c r="C178" s="20"/>
      <c r="D178" s="20"/>
      <c r="E178" s="67">
        <f t="shared" si="96"/>
        <v>0</v>
      </c>
      <c r="F178" s="20"/>
      <c r="G178" s="20"/>
      <c r="H178" s="20"/>
      <c r="I178" s="67">
        <f t="shared" si="97"/>
        <v>0</v>
      </c>
      <c r="J178" s="20"/>
      <c r="K178" s="20"/>
      <c r="L178" s="20"/>
      <c r="M178" s="67">
        <f t="shared" si="98"/>
        <v>0</v>
      </c>
      <c r="N178" s="20"/>
      <c r="O178" s="20"/>
      <c r="P178" s="20"/>
      <c r="Q178" s="67">
        <f t="shared" si="99"/>
        <v>0</v>
      </c>
      <c r="R178" s="21">
        <f t="shared" si="100"/>
        <v>0</v>
      </c>
    </row>
    <row r="179" spans="1:18" ht="12.75" hidden="1" outlineLevel="3">
      <c r="A179" s="19" t="s">
        <v>58</v>
      </c>
      <c r="B179" s="62"/>
      <c r="C179" s="62"/>
      <c r="D179" s="62"/>
      <c r="E179" s="59">
        <f t="shared" si="96"/>
        <v>0</v>
      </c>
      <c r="F179" s="52"/>
      <c r="G179" s="52"/>
      <c r="H179" s="52"/>
      <c r="I179" s="59">
        <f t="shared" si="97"/>
        <v>0</v>
      </c>
      <c r="J179" s="52"/>
      <c r="K179" s="52"/>
      <c r="L179" s="52">
        <v>1.6</v>
      </c>
      <c r="M179" s="59">
        <f t="shared" si="98"/>
        <v>1.6</v>
      </c>
      <c r="N179" s="52"/>
      <c r="O179" s="52"/>
      <c r="P179" s="52"/>
      <c r="Q179" s="59">
        <f t="shared" si="99"/>
        <v>0</v>
      </c>
      <c r="R179" s="60">
        <f t="shared" si="100"/>
        <v>1.6</v>
      </c>
    </row>
    <row r="180" spans="1:18" ht="12.75" hidden="1" outlineLevel="2" collapsed="1">
      <c r="A180" s="22" t="s">
        <v>47</v>
      </c>
      <c r="B180" s="63">
        <f aca="true" t="shared" si="101" ref="B180:Q180">SUM(B172:B179)</f>
        <v>-8.31</v>
      </c>
      <c r="C180" s="63">
        <f t="shared" si="101"/>
        <v>0</v>
      </c>
      <c r="D180" s="63">
        <f t="shared" si="101"/>
        <v>0</v>
      </c>
      <c r="E180" s="33">
        <f t="shared" si="101"/>
        <v>-8.31</v>
      </c>
      <c r="F180" s="33">
        <f t="shared" si="101"/>
        <v>0</v>
      </c>
      <c r="G180" s="33">
        <f t="shared" si="101"/>
        <v>0</v>
      </c>
      <c r="H180" s="33">
        <f t="shared" si="101"/>
        <v>0</v>
      </c>
      <c r="I180" s="33">
        <f t="shared" si="101"/>
        <v>0</v>
      </c>
      <c r="J180" s="33">
        <f t="shared" si="101"/>
        <v>0</v>
      </c>
      <c r="K180" s="33">
        <f t="shared" si="101"/>
        <v>0</v>
      </c>
      <c r="L180" s="33">
        <f t="shared" si="101"/>
        <v>1.6</v>
      </c>
      <c r="M180" s="33">
        <f t="shared" si="101"/>
        <v>1.6</v>
      </c>
      <c r="N180" s="33">
        <f t="shared" si="101"/>
        <v>0</v>
      </c>
      <c r="O180" s="33">
        <f t="shared" si="101"/>
        <v>0</v>
      </c>
      <c r="P180" s="33">
        <f t="shared" si="101"/>
        <v>0</v>
      </c>
      <c r="Q180" s="33">
        <f t="shared" si="101"/>
        <v>0</v>
      </c>
      <c r="R180" s="34">
        <f t="shared" si="100"/>
        <v>-6.710000000000001</v>
      </c>
    </row>
    <row r="181" spans="1:18" ht="12.75" hidden="1" outlineLevel="3">
      <c r="A181" s="23" t="s">
        <v>15</v>
      </c>
      <c r="B181" s="63">
        <v>87.82</v>
      </c>
      <c r="C181" s="63">
        <v>87.48</v>
      </c>
      <c r="D181" s="63">
        <v>88.32</v>
      </c>
      <c r="E181" s="35">
        <f aca="true" t="shared" si="102" ref="E181:E189">SUM(B181:D181)</f>
        <v>263.62</v>
      </c>
      <c r="F181" s="37">
        <v>87.6</v>
      </c>
      <c r="G181" s="37">
        <v>86.76</v>
      </c>
      <c r="H181" s="37">
        <v>86.52</v>
      </c>
      <c r="I181" s="35">
        <f aca="true" t="shared" si="103" ref="I181:I189">SUM(F181:H181)</f>
        <v>260.88</v>
      </c>
      <c r="J181" s="37">
        <v>86.52</v>
      </c>
      <c r="K181" s="37">
        <v>86.28</v>
      </c>
      <c r="L181" s="37">
        <v>87.12</v>
      </c>
      <c r="M181" s="35">
        <f aca="true" t="shared" si="104" ref="M181:M189">SUM(J181:L181)</f>
        <v>259.92</v>
      </c>
      <c r="N181" s="37">
        <v>88.2</v>
      </c>
      <c r="O181" s="37">
        <v>88.68</v>
      </c>
      <c r="P181" s="38">
        <v>88.32</v>
      </c>
      <c r="Q181" s="35">
        <f aca="true" t="shared" si="105" ref="Q181:Q189">SUM(N181:P181)</f>
        <v>265.2</v>
      </c>
      <c r="R181" s="34">
        <f t="shared" si="100"/>
        <v>1049.62</v>
      </c>
    </row>
    <row r="182" spans="1:18" ht="12.75" hidden="1" outlineLevel="3">
      <c r="A182" s="23" t="s">
        <v>16</v>
      </c>
      <c r="B182" s="62">
        <v>12.82</v>
      </c>
      <c r="C182" s="62">
        <v>12.82</v>
      </c>
      <c r="D182" s="62">
        <v>12.82</v>
      </c>
      <c r="E182" s="35">
        <f t="shared" si="102"/>
        <v>38.46</v>
      </c>
      <c r="F182" s="62">
        <v>12.82</v>
      </c>
      <c r="G182" s="62">
        <v>12.82</v>
      </c>
      <c r="H182" s="62">
        <v>12.82</v>
      </c>
      <c r="I182" s="35">
        <f t="shared" si="103"/>
        <v>38.46</v>
      </c>
      <c r="J182" s="62">
        <v>12.82</v>
      </c>
      <c r="K182" s="62">
        <v>12.82</v>
      </c>
      <c r="L182" s="62">
        <v>12.82</v>
      </c>
      <c r="M182" s="35">
        <f t="shared" si="104"/>
        <v>38.46</v>
      </c>
      <c r="N182" s="62">
        <v>12.82</v>
      </c>
      <c r="O182" s="62">
        <v>12.82</v>
      </c>
      <c r="P182" s="62">
        <v>15</v>
      </c>
      <c r="Q182" s="35">
        <f t="shared" si="105"/>
        <v>40.64</v>
      </c>
      <c r="R182" s="34">
        <f t="shared" si="100"/>
        <v>156.02</v>
      </c>
    </row>
    <row r="183" spans="1:18" ht="12.75" hidden="1" outlineLevel="3">
      <c r="A183" s="23" t="s">
        <v>17</v>
      </c>
      <c r="B183" s="63">
        <v>11.3</v>
      </c>
      <c r="C183" s="63">
        <v>24.86</v>
      </c>
      <c r="D183" s="63">
        <v>21.47</v>
      </c>
      <c r="E183" s="35">
        <f t="shared" si="102"/>
        <v>57.629999999999995</v>
      </c>
      <c r="F183" s="37">
        <v>14.69</v>
      </c>
      <c r="G183" s="37">
        <v>6.78</v>
      </c>
      <c r="H183" s="37">
        <v>6.78</v>
      </c>
      <c r="I183" s="35">
        <f t="shared" si="103"/>
        <v>28.25</v>
      </c>
      <c r="J183" s="37">
        <v>15.82</v>
      </c>
      <c r="K183" s="37">
        <v>39.55</v>
      </c>
      <c r="L183" s="37">
        <v>23.73</v>
      </c>
      <c r="M183" s="35">
        <f t="shared" si="104"/>
        <v>79.1</v>
      </c>
      <c r="N183" s="37">
        <v>14.69</v>
      </c>
      <c r="O183" s="37">
        <v>13.56</v>
      </c>
      <c r="P183" s="38">
        <v>13.56</v>
      </c>
      <c r="Q183" s="35">
        <f t="shared" si="105"/>
        <v>41.81</v>
      </c>
      <c r="R183" s="34">
        <f t="shared" si="100"/>
        <v>206.79</v>
      </c>
    </row>
    <row r="184" spans="1:18" ht="12.75" hidden="1" outlineLevel="3">
      <c r="A184" s="25" t="s">
        <v>18</v>
      </c>
      <c r="B184" s="63">
        <f>5.01+0.61</f>
        <v>5.62</v>
      </c>
      <c r="C184" s="63">
        <f>4.35+0.6</f>
        <v>4.949999999999999</v>
      </c>
      <c r="D184" s="63">
        <f>4.76+0.6+12.28+0.66</f>
        <v>18.3</v>
      </c>
      <c r="E184" s="35">
        <f t="shared" si="102"/>
        <v>28.87</v>
      </c>
      <c r="F184" s="37"/>
      <c r="G184" s="37">
        <f>13.97+0.71</f>
        <v>14.68</v>
      </c>
      <c r="H184" s="37">
        <f>9.67+0.64</f>
        <v>10.31</v>
      </c>
      <c r="I184" s="35">
        <f t="shared" si="103"/>
        <v>24.990000000000002</v>
      </c>
      <c r="J184" s="37"/>
      <c r="K184" s="37"/>
      <c r="L184" s="37">
        <f>4.87+0.05</f>
        <v>4.92</v>
      </c>
      <c r="M184" s="35">
        <f t="shared" si="104"/>
        <v>4.92</v>
      </c>
      <c r="N184" s="37"/>
      <c r="O184" s="37"/>
      <c r="P184" s="38">
        <f>0.04+4.05+0.05+5.74+0.04+4.66+0.05</f>
        <v>14.629999999999999</v>
      </c>
      <c r="Q184" s="35">
        <f t="shared" si="105"/>
        <v>14.629999999999999</v>
      </c>
      <c r="R184" s="34">
        <f t="shared" si="100"/>
        <v>73.41</v>
      </c>
    </row>
    <row r="185" spans="1:18" ht="12.75" hidden="1" outlineLevel="3">
      <c r="A185" s="23" t="s">
        <v>19</v>
      </c>
      <c r="B185" s="63"/>
      <c r="C185" s="63">
        <v>1.86</v>
      </c>
      <c r="D185" s="63">
        <v>5.58</v>
      </c>
      <c r="E185" s="35">
        <f t="shared" si="102"/>
        <v>7.44</v>
      </c>
      <c r="F185" s="37">
        <v>1.86</v>
      </c>
      <c r="G185" s="37"/>
      <c r="H185" s="37"/>
      <c r="I185" s="35">
        <f t="shared" si="103"/>
        <v>1.86</v>
      </c>
      <c r="J185" s="37"/>
      <c r="K185" s="37">
        <v>1.86</v>
      </c>
      <c r="L185" s="37">
        <v>2.79</v>
      </c>
      <c r="M185" s="35">
        <f t="shared" si="104"/>
        <v>4.65</v>
      </c>
      <c r="N185" s="37">
        <v>0.93</v>
      </c>
      <c r="O185" s="37"/>
      <c r="P185" s="38"/>
      <c r="Q185" s="35">
        <f t="shared" si="105"/>
        <v>0.93</v>
      </c>
      <c r="R185" s="34">
        <f t="shared" si="100"/>
        <v>14.88</v>
      </c>
    </row>
    <row r="186" spans="1:18" ht="12.75" hidden="1" outlineLevel="3">
      <c r="A186" s="23" t="s">
        <v>20</v>
      </c>
      <c r="B186" s="63">
        <f>5+0.06</f>
        <v>5.06</v>
      </c>
      <c r="C186" s="63">
        <f>9.5+0.12+6.78</f>
        <v>16.4</v>
      </c>
      <c r="D186" s="63">
        <f>13.5+0.06+10.17</f>
        <v>23.73</v>
      </c>
      <c r="E186" s="35">
        <f t="shared" si="102"/>
        <v>45.19</v>
      </c>
      <c r="F186" s="37">
        <v>5</v>
      </c>
      <c r="G186" s="37">
        <v>1.5</v>
      </c>
      <c r="H186" s="37">
        <v>6.5</v>
      </c>
      <c r="I186" s="35">
        <f t="shared" si="103"/>
        <v>13</v>
      </c>
      <c r="J186" s="37">
        <v>7</v>
      </c>
      <c r="K186" s="37">
        <v>23.5</v>
      </c>
      <c r="L186" s="37">
        <v>10</v>
      </c>
      <c r="M186" s="35">
        <f t="shared" si="104"/>
        <v>40.5</v>
      </c>
      <c r="N186" s="37">
        <v>2</v>
      </c>
      <c r="O186" s="37">
        <v>3</v>
      </c>
      <c r="P186" s="38">
        <v>3</v>
      </c>
      <c r="Q186" s="35">
        <f t="shared" si="105"/>
        <v>8</v>
      </c>
      <c r="R186" s="34">
        <f t="shared" si="100"/>
        <v>106.69</v>
      </c>
    </row>
    <row r="187" spans="1:18" ht="12.75" hidden="1" outlineLevel="3">
      <c r="A187" s="23" t="s">
        <v>21</v>
      </c>
      <c r="B187" s="63"/>
      <c r="C187" s="63"/>
      <c r="D187" s="63"/>
      <c r="E187" s="35">
        <f t="shared" si="102"/>
        <v>0</v>
      </c>
      <c r="F187" s="37"/>
      <c r="G187" s="37"/>
      <c r="H187" s="37"/>
      <c r="I187" s="35">
        <f t="shared" si="103"/>
        <v>0</v>
      </c>
      <c r="J187" s="37"/>
      <c r="K187" s="37"/>
      <c r="L187" s="37"/>
      <c r="M187" s="35">
        <f t="shared" si="104"/>
        <v>0</v>
      </c>
      <c r="N187" s="37"/>
      <c r="O187" s="37"/>
      <c r="P187" s="38"/>
      <c r="Q187" s="35">
        <f t="shared" si="105"/>
        <v>0</v>
      </c>
      <c r="R187" s="34">
        <f t="shared" si="100"/>
        <v>0</v>
      </c>
    </row>
    <row r="188" spans="1:18" ht="12.75" hidden="1" outlineLevel="3">
      <c r="A188" s="23" t="s">
        <v>22</v>
      </c>
      <c r="B188" s="63"/>
      <c r="C188" s="63"/>
      <c r="D188" s="63"/>
      <c r="E188" s="35">
        <f t="shared" si="102"/>
        <v>0</v>
      </c>
      <c r="F188" s="37">
        <v>8.52</v>
      </c>
      <c r="G188" s="37"/>
      <c r="H188" s="37"/>
      <c r="I188" s="35">
        <f t="shared" si="103"/>
        <v>8.52</v>
      </c>
      <c r="J188" s="37"/>
      <c r="K188" s="37"/>
      <c r="L188" s="37"/>
      <c r="M188" s="35">
        <f t="shared" si="104"/>
        <v>0</v>
      </c>
      <c r="N188" s="37"/>
      <c r="O188" s="37"/>
      <c r="P188" s="38">
        <v>4.26</v>
      </c>
      <c r="Q188" s="35">
        <f t="shared" si="105"/>
        <v>4.26</v>
      </c>
      <c r="R188" s="34">
        <f t="shared" si="100"/>
        <v>12.78</v>
      </c>
    </row>
    <row r="189" spans="1:18" ht="12.75" hidden="1" outlineLevel="3">
      <c r="A189" s="23" t="s">
        <v>61</v>
      </c>
      <c r="B189" s="62"/>
      <c r="C189" s="62"/>
      <c r="D189" s="62"/>
      <c r="E189" s="35">
        <f t="shared" si="102"/>
        <v>0</v>
      </c>
      <c r="F189" s="38"/>
      <c r="G189" s="38"/>
      <c r="H189" s="38"/>
      <c r="I189" s="35">
        <f t="shared" si="103"/>
        <v>0</v>
      </c>
      <c r="J189" s="38"/>
      <c r="K189" s="38"/>
      <c r="L189" s="38"/>
      <c r="M189" s="35">
        <f t="shared" si="104"/>
        <v>0</v>
      </c>
      <c r="N189" s="38"/>
      <c r="O189" s="38"/>
      <c r="P189" s="38"/>
      <c r="Q189" s="35">
        <f t="shared" si="105"/>
        <v>0</v>
      </c>
      <c r="R189" s="72">
        <f t="shared" si="100"/>
        <v>0</v>
      </c>
    </row>
    <row r="190" spans="1:18" ht="12.75" hidden="1" outlineLevel="2" collapsed="1">
      <c r="A190" s="28" t="s">
        <v>50</v>
      </c>
      <c r="B190" s="43">
        <f aca="true" t="shared" si="106" ref="B190:Q190">SUM(B181:B188)</f>
        <v>122.61999999999999</v>
      </c>
      <c r="C190" s="43">
        <f t="shared" si="106"/>
        <v>148.37000000000003</v>
      </c>
      <c r="D190" s="43">
        <f t="shared" si="106"/>
        <v>170.22</v>
      </c>
      <c r="E190" s="42">
        <f t="shared" si="106"/>
        <v>441.21</v>
      </c>
      <c r="F190" s="43">
        <f t="shared" si="106"/>
        <v>130.48999999999998</v>
      </c>
      <c r="G190" s="43">
        <f t="shared" si="106"/>
        <v>122.54000000000002</v>
      </c>
      <c r="H190" s="43">
        <f t="shared" si="106"/>
        <v>122.93</v>
      </c>
      <c r="I190" s="42">
        <f t="shared" si="106"/>
        <v>375.96</v>
      </c>
      <c r="J190" s="43">
        <f t="shared" si="106"/>
        <v>122.16</v>
      </c>
      <c r="K190" s="43">
        <f t="shared" si="106"/>
        <v>164.01</v>
      </c>
      <c r="L190" s="43">
        <f t="shared" si="106"/>
        <v>141.38</v>
      </c>
      <c r="M190" s="42">
        <f t="shared" si="106"/>
        <v>427.55</v>
      </c>
      <c r="N190" s="43">
        <f t="shared" si="106"/>
        <v>118.64000000000001</v>
      </c>
      <c r="O190" s="43">
        <f t="shared" si="106"/>
        <v>118.06</v>
      </c>
      <c r="P190" s="43">
        <f t="shared" si="106"/>
        <v>138.76999999999998</v>
      </c>
      <c r="Q190" s="42">
        <f t="shared" si="106"/>
        <v>375.46999999999997</v>
      </c>
      <c r="R190" s="44">
        <f t="shared" si="100"/>
        <v>1620.19</v>
      </c>
    </row>
    <row r="191" spans="1:21" ht="13.5" outlineLevel="1" collapsed="1" thickBot="1">
      <c r="A191" s="22" t="s">
        <v>48</v>
      </c>
      <c r="B191" s="46">
        <f aca="true" t="shared" si="107" ref="B191:R191">B190+B180</f>
        <v>114.30999999999999</v>
      </c>
      <c r="C191" s="46">
        <f t="shared" si="107"/>
        <v>148.37000000000003</v>
      </c>
      <c r="D191" s="46">
        <f t="shared" si="107"/>
        <v>170.22</v>
      </c>
      <c r="E191" s="45">
        <f t="shared" si="107"/>
        <v>432.9</v>
      </c>
      <c r="F191" s="46">
        <f t="shared" si="107"/>
        <v>130.48999999999998</v>
      </c>
      <c r="G191" s="46">
        <f t="shared" si="107"/>
        <v>122.54000000000002</v>
      </c>
      <c r="H191" s="46">
        <f t="shared" si="107"/>
        <v>122.93</v>
      </c>
      <c r="I191" s="45">
        <f t="shared" si="107"/>
        <v>375.96</v>
      </c>
      <c r="J191" s="46">
        <f t="shared" si="107"/>
        <v>122.16</v>
      </c>
      <c r="K191" s="46">
        <f t="shared" si="107"/>
        <v>164.01</v>
      </c>
      <c r="L191" s="46">
        <f t="shared" si="107"/>
        <v>142.98</v>
      </c>
      <c r="M191" s="45">
        <f t="shared" si="107"/>
        <v>429.15000000000003</v>
      </c>
      <c r="N191" s="46">
        <f t="shared" si="107"/>
        <v>118.64000000000001</v>
      </c>
      <c r="O191" s="46">
        <f t="shared" si="107"/>
        <v>118.06</v>
      </c>
      <c r="P191" s="46">
        <f t="shared" si="107"/>
        <v>138.76999999999998</v>
      </c>
      <c r="Q191" s="45">
        <f t="shared" si="107"/>
        <v>375.46999999999997</v>
      </c>
      <c r="R191" s="47">
        <f t="shared" si="107"/>
        <v>1613.48</v>
      </c>
      <c r="S191" s="65">
        <f>((B181/0.12)+(C181/0.12)+(D181/0.12)+(F181/0.12)+(G181/0.12)+(H181/0.12)+(J181/0.12)+(K181/0.12)+(L181/0.12)+(N181/0.12)+(O181/0.12)+(P181/0.12))/12</f>
        <v>728.9027777777778</v>
      </c>
      <c r="T191" s="54">
        <f>R191/S191</f>
        <v>2.213573674282121</v>
      </c>
      <c r="U191" s="66">
        <f>R183/R191</f>
        <v>0.12816396856484122</v>
      </c>
    </row>
    <row r="192" spans="1:18" ht="13.5" outlineLevel="1" thickTop="1">
      <c r="A192" s="16" t="s">
        <v>35</v>
      </c>
      <c r="B192" s="17"/>
      <c r="C192" s="17"/>
      <c r="D192" s="17"/>
      <c r="E192" s="14"/>
      <c r="F192" s="17"/>
      <c r="G192" s="17"/>
      <c r="H192" s="17"/>
      <c r="I192" s="14"/>
      <c r="J192" s="17"/>
      <c r="K192" s="17"/>
      <c r="L192" s="17"/>
      <c r="M192" s="14"/>
      <c r="N192" s="17"/>
      <c r="O192" s="17"/>
      <c r="P192" s="17"/>
      <c r="Q192" s="14"/>
      <c r="R192" s="27"/>
    </row>
    <row r="193" spans="1:18" ht="12.75" hidden="1" outlineLevel="3">
      <c r="A193" s="19" t="s">
        <v>40</v>
      </c>
      <c r="B193" s="20"/>
      <c r="C193" s="20"/>
      <c r="D193" s="20"/>
      <c r="E193" s="67">
        <f aca="true" t="shared" si="108" ref="E193:E200">SUM(B193:D193)</f>
        <v>0</v>
      </c>
      <c r="F193" s="37"/>
      <c r="G193" s="37"/>
      <c r="H193" s="37"/>
      <c r="I193" s="67">
        <f aca="true" t="shared" si="109" ref="I193:I200">SUM(F193:H193)</f>
        <v>0</v>
      </c>
      <c r="J193" s="20"/>
      <c r="K193" s="20"/>
      <c r="L193" s="20"/>
      <c r="M193" s="67">
        <f aca="true" t="shared" si="110" ref="M193:M200">SUM(J193:L193)</f>
        <v>0</v>
      </c>
      <c r="N193" s="20"/>
      <c r="O193" s="20"/>
      <c r="P193" s="20"/>
      <c r="Q193" s="67">
        <f aca="true" t="shared" si="111" ref="Q193:Q200">SUM(N193:P193)</f>
        <v>0</v>
      </c>
      <c r="R193" s="21">
        <f aca="true" t="shared" si="112" ref="R193:R211">Q193+M193+I193+E193</f>
        <v>0</v>
      </c>
    </row>
    <row r="194" spans="1:18" ht="12.75" hidden="1" outlineLevel="3">
      <c r="A194" s="19" t="s">
        <v>41</v>
      </c>
      <c r="B194" s="20"/>
      <c r="C194" s="20"/>
      <c r="D194" s="20"/>
      <c r="E194" s="67">
        <f t="shared" si="108"/>
        <v>0</v>
      </c>
      <c r="F194" s="37"/>
      <c r="G194" s="37"/>
      <c r="H194" s="37"/>
      <c r="I194" s="67">
        <f t="shared" si="109"/>
        <v>0</v>
      </c>
      <c r="J194" s="20"/>
      <c r="K194" s="20"/>
      <c r="L194" s="20"/>
      <c r="M194" s="67">
        <f t="shared" si="110"/>
        <v>0</v>
      </c>
      <c r="N194" s="20"/>
      <c r="O194" s="20"/>
      <c r="P194" s="20"/>
      <c r="Q194" s="67">
        <f t="shared" si="111"/>
        <v>0</v>
      </c>
      <c r="R194" s="21">
        <f t="shared" si="112"/>
        <v>0</v>
      </c>
    </row>
    <row r="195" spans="1:18" ht="12.75" hidden="1" outlineLevel="3">
      <c r="A195" s="19" t="s">
        <v>42</v>
      </c>
      <c r="B195" s="20"/>
      <c r="C195" s="20"/>
      <c r="D195" s="20"/>
      <c r="E195" s="67">
        <f t="shared" si="108"/>
        <v>0</v>
      </c>
      <c r="F195" s="37"/>
      <c r="G195" s="37"/>
      <c r="H195" s="37"/>
      <c r="I195" s="67">
        <f t="shared" si="109"/>
        <v>0</v>
      </c>
      <c r="J195" s="20"/>
      <c r="K195" s="20"/>
      <c r="L195" s="20"/>
      <c r="M195" s="67">
        <f t="shared" si="110"/>
        <v>0</v>
      </c>
      <c r="N195" s="20"/>
      <c r="O195" s="20"/>
      <c r="P195" s="20"/>
      <c r="Q195" s="67">
        <f t="shared" si="111"/>
        <v>0</v>
      </c>
      <c r="R195" s="21">
        <f t="shared" si="112"/>
        <v>0</v>
      </c>
    </row>
    <row r="196" spans="1:18" ht="12.75" hidden="1" outlineLevel="3">
      <c r="A196" s="19" t="s">
        <v>43</v>
      </c>
      <c r="B196" s="20"/>
      <c r="C196" s="20"/>
      <c r="D196" s="20"/>
      <c r="E196" s="67">
        <f t="shared" si="108"/>
        <v>0</v>
      </c>
      <c r="F196" s="37"/>
      <c r="G196" s="37"/>
      <c r="H196" s="37"/>
      <c r="I196" s="67">
        <f t="shared" si="109"/>
        <v>0</v>
      </c>
      <c r="J196" s="20"/>
      <c r="K196" s="20"/>
      <c r="L196" s="20"/>
      <c r="M196" s="67">
        <f t="shared" si="110"/>
        <v>0</v>
      </c>
      <c r="N196" s="20"/>
      <c r="O196" s="20"/>
      <c r="P196" s="20"/>
      <c r="Q196" s="67">
        <f t="shared" si="111"/>
        <v>0</v>
      </c>
      <c r="R196" s="21">
        <f t="shared" si="112"/>
        <v>0</v>
      </c>
    </row>
    <row r="197" spans="1:18" ht="12.75" hidden="1" outlineLevel="3">
      <c r="A197" s="19" t="s">
        <v>44</v>
      </c>
      <c r="B197" s="20"/>
      <c r="C197" s="20"/>
      <c r="D197" s="20"/>
      <c r="E197" s="67">
        <f t="shared" si="108"/>
        <v>0</v>
      </c>
      <c r="F197" s="37"/>
      <c r="G197" s="37"/>
      <c r="H197" s="37"/>
      <c r="I197" s="67">
        <f t="shared" si="109"/>
        <v>0</v>
      </c>
      <c r="J197" s="20"/>
      <c r="K197" s="20"/>
      <c r="L197" s="20"/>
      <c r="M197" s="67">
        <f t="shared" si="110"/>
        <v>0</v>
      </c>
      <c r="N197" s="20"/>
      <c r="O197" s="20"/>
      <c r="P197" s="20"/>
      <c r="Q197" s="67">
        <f t="shared" si="111"/>
        <v>0</v>
      </c>
      <c r="R197" s="21">
        <f t="shared" si="112"/>
        <v>0</v>
      </c>
    </row>
    <row r="198" spans="1:18" ht="12.75" hidden="1" outlineLevel="3">
      <c r="A198" s="19" t="s">
        <v>45</v>
      </c>
      <c r="B198" s="62">
        <v>-5.94</v>
      </c>
      <c r="C198" s="62"/>
      <c r="D198" s="62"/>
      <c r="E198" s="35">
        <f t="shared" si="108"/>
        <v>-5.94</v>
      </c>
      <c r="F198" s="62"/>
      <c r="G198" s="62"/>
      <c r="H198" s="62"/>
      <c r="I198" s="35">
        <f t="shared" si="109"/>
        <v>0</v>
      </c>
      <c r="J198" s="62"/>
      <c r="K198" s="62"/>
      <c r="L198" s="62"/>
      <c r="M198" s="35">
        <f t="shared" si="110"/>
        <v>0</v>
      </c>
      <c r="N198" s="62"/>
      <c r="O198" s="62"/>
      <c r="P198" s="62"/>
      <c r="Q198" s="35">
        <f t="shared" si="111"/>
        <v>0</v>
      </c>
      <c r="R198" s="34">
        <f t="shared" si="112"/>
        <v>-5.94</v>
      </c>
    </row>
    <row r="199" spans="1:18" ht="12.75" hidden="1" outlineLevel="3">
      <c r="A199" s="19" t="s">
        <v>46</v>
      </c>
      <c r="B199" s="20"/>
      <c r="C199" s="20"/>
      <c r="D199" s="20"/>
      <c r="E199" s="67">
        <f t="shared" si="108"/>
        <v>0</v>
      </c>
      <c r="F199" s="37"/>
      <c r="G199" s="37"/>
      <c r="H199" s="37"/>
      <c r="I199" s="67">
        <f t="shared" si="109"/>
        <v>0</v>
      </c>
      <c r="J199" s="20"/>
      <c r="K199" s="20"/>
      <c r="L199" s="20"/>
      <c r="M199" s="67">
        <f t="shared" si="110"/>
        <v>0</v>
      </c>
      <c r="N199" s="20"/>
      <c r="O199" s="20"/>
      <c r="P199" s="20"/>
      <c r="Q199" s="67">
        <f t="shared" si="111"/>
        <v>0</v>
      </c>
      <c r="R199" s="21">
        <f t="shared" si="112"/>
        <v>0</v>
      </c>
    </row>
    <row r="200" spans="1:18" ht="12.75" hidden="1" outlineLevel="3">
      <c r="A200" s="19" t="s">
        <v>58</v>
      </c>
      <c r="B200" s="62"/>
      <c r="C200" s="62"/>
      <c r="D200" s="62"/>
      <c r="E200" s="59">
        <f t="shared" si="108"/>
        <v>0</v>
      </c>
      <c r="F200" s="52"/>
      <c r="G200" s="52"/>
      <c r="H200" s="52"/>
      <c r="I200" s="59">
        <f t="shared" si="109"/>
        <v>0</v>
      </c>
      <c r="J200" s="52"/>
      <c r="K200" s="52"/>
      <c r="L200" s="52">
        <v>1.06</v>
      </c>
      <c r="M200" s="59">
        <f t="shared" si="110"/>
        <v>1.06</v>
      </c>
      <c r="N200" s="52"/>
      <c r="O200" s="52"/>
      <c r="P200" s="52"/>
      <c r="Q200" s="59">
        <f t="shared" si="111"/>
        <v>0</v>
      </c>
      <c r="R200" s="60">
        <f t="shared" si="112"/>
        <v>1.06</v>
      </c>
    </row>
    <row r="201" spans="1:18" ht="12.75" hidden="1" outlineLevel="2" collapsed="1">
      <c r="A201" s="22" t="s">
        <v>47</v>
      </c>
      <c r="B201" s="63">
        <f aca="true" t="shared" si="113" ref="B201:Q201">SUM(B193:B200)</f>
        <v>-5.94</v>
      </c>
      <c r="C201" s="63">
        <f t="shared" si="113"/>
        <v>0</v>
      </c>
      <c r="D201" s="63">
        <f t="shared" si="113"/>
        <v>0</v>
      </c>
      <c r="E201" s="33">
        <f t="shared" si="113"/>
        <v>-5.94</v>
      </c>
      <c r="F201" s="33">
        <f t="shared" si="113"/>
        <v>0</v>
      </c>
      <c r="G201" s="33">
        <f t="shared" si="113"/>
        <v>0</v>
      </c>
      <c r="H201" s="33">
        <f t="shared" si="113"/>
        <v>0</v>
      </c>
      <c r="I201" s="33">
        <f t="shared" si="113"/>
        <v>0</v>
      </c>
      <c r="J201" s="33">
        <f t="shared" si="113"/>
        <v>0</v>
      </c>
      <c r="K201" s="33">
        <f t="shared" si="113"/>
        <v>0</v>
      </c>
      <c r="L201" s="33">
        <f t="shared" si="113"/>
        <v>1.06</v>
      </c>
      <c r="M201" s="33">
        <f t="shared" si="113"/>
        <v>1.06</v>
      </c>
      <c r="N201" s="33">
        <f t="shared" si="113"/>
        <v>0</v>
      </c>
      <c r="O201" s="33">
        <f t="shared" si="113"/>
        <v>0</v>
      </c>
      <c r="P201" s="33">
        <f t="shared" si="113"/>
        <v>0</v>
      </c>
      <c r="Q201" s="33">
        <f t="shared" si="113"/>
        <v>0</v>
      </c>
      <c r="R201" s="34">
        <f t="shared" si="112"/>
        <v>-4.880000000000001</v>
      </c>
    </row>
    <row r="202" spans="1:18" ht="12.75" hidden="1" outlineLevel="3">
      <c r="A202" s="23" t="s">
        <v>15</v>
      </c>
      <c r="B202" s="63">
        <v>61.68</v>
      </c>
      <c r="C202" s="63">
        <v>61.8</v>
      </c>
      <c r="D202" s="63">
        <v>61.68</v>
      </c>
      <c r="E202" s="35">
        <f aca="true" t="shared" si="114" ref="E202:E210">SUM(B202:D202)</f>
        <v>185.16</v>
      </c>
      <c r="F202" s="37">
        <v>61.68</v>
      </c>
      <c r="G202" s="37">
        <v>61.68</v>
      </c>
      <c r="H202" s="37">
        <v>61.92</v>
      </c>
      <c r="I202" s="35">
        <f aca="true" t="shared" si="115" ref="I202:I210">SUM(F202:H202)</f>
        <v>185.28</v>
      </c>
      <c r="J202" s="37">
        <v>61.8</v>
      </c>
      <c r="K202" s="37">
        <v>61.44</v>
      </c>
      <c r="L202" s="37">
        <v>61.32</v>
      </c>
      <c r="M202" s="35">
        <f aca="true" t="shared" si="116" ref="M202:M210">SUM(J202:L202)</f>
        <v>184.56</v>
      </c>
      <c r="N202" s="37">
        <v>61.56</v>
      </c>
      <c r="O202" s="37">
        <v>60.48</v>
      </c>
      <c r="P202" s="38">
        <v>60.72</v>
      </c>
      <c r="Q202" s="35">
        <f aca="true" t="shared" si="117" ref="Q202:Q210">SUM(N202:P202)</f>
        <v>182.76</v>
      </c>
      <c r="R202" s="34">
        <f t="shared" si="112"/>
        <v>737.76</v>
      </c>
    </row>
    <row r="203" spans="1:18" ht="12.75" hidden="1" outlineLevel="3">
      <c r="A203" s="23" t="s">
        <v>16</v>
      </c>
      <c r="B203" s="62">
        <v>16.95</v>
      </c>
      <c r="C203" s="62">
        <v>16.95</v>
      </c>
      <c r="D203" s="62">
        <v>16.95</v>
      </c>
      <c r="E203" s="35">
        <f t="shared" si="114"/>
        <v>50.849999999999994</v>
      </c>
      <c r="F203" s="62">
        <v>16.95</v>
      </c>
      <c r="G203" s="62">
        <v>16.95</v>
      </c>
      <c r="H203" s="62">
        <v>16.95</v>
      </c>
      <c r="I203" s="35">
        <f t="shared" si="115"/>
        <v>50.849999999999994</v>
      </c>
      <c r="J203" s="62">
        <v>16.95</v>
      </c>
      <c r="K203" s="62">
        <v>16.95</v>
      </c>
      <c r="L203" s="62">
        <v>16.95</v>
      </c>
      <c r="M203" s="35">
        <f t="shared" si="116"/>
        <v>50.849999999999994</v>
      </c>
      <c r="N203" s="62">
        <v>16.95</v>
      </c>
      <c r="O203" s="62">
        <v>16.95</v>
      </c>
      <c r="P203" s="62">
        <v>12</v>
      </c>
      <c r="Q203" s="35">
        <f t="shared" si="117"/>
        <v>45.9</v>
      </c>
      <c r="R203" s="34">
        <f t="shared" si="112"/>
        <v>198.45</v>
      </c>
    </row>
    <row r="204" spans="1:18" ht="12.75" hidden="1" outlineLevel="3">
      <c r="A204" s="23" t="s">
        <v>17</v>
      </c>
      <c r="B204" s="63">
        <v>13.56</v>
      </c>
      <c r="C204" s="63">
        <v>12.43</v>
      </c>
      <c r="D204" s="63">
        <v>11.3</v>
      </c>
      <c r="E204" s="35">
        <f t="shared" si="114"/>
        <v>37.290000000000006</v>
      </c>
      <c r="F204" s="37">
        <v>11.3</v>
      </c>
      <c r="G204" s="37">
        <v>9.04</v>
      </c>
      <c r="H204" s="37">
        <v>13.56</v>
      </c>
      <c r="I204" s="35">
        <f t="shared" si="115"/>
        <v>33.9</v>
      </c>
      <c r="J204" s="37">
        <v>1.13</v>
      </c>
      <c r="K204" s="37">
        <v>6.78</v>
      </c>
      <c r="L204" s="37">
        <v>5.65</v>
      </c>
      <c r="M204" s="35">
        <f t="shared" si="116"/>
        <v>13.56</v>
      </c>
      <c r="N204" s="37">
        <v>9.04</v>
      </c>
      <c r="O204" s="37">
        <v>5.65</v>
      </c>
      <c r="P204" s="38">
        <v>15.82</v>
      </c>
      <c r="Q204" s="35">
        <f t="shared" si="117"/>
        <v>30.509999999999998</v>
      </c>
      <c r="R204" s="34">
        <f t="shared" si="112"/>
        <v>115.26</v>
      </c>
    </row>
    <row r="205" spans="1:18" ht="12.75" hidden="1" outlineLevel="3">
      <c r="A205" s="25" t="s">
        <v>18</v>
      </c>
      <c r="B205" s="63">
        <f>3.55+0.61</f>
        <v>4.16</v>
      </c>
      <c r="C205" s="63">
        <f>3.09+0.6</f>
        <v>3.69</v>
      </c>
      <c r="D205" s="63">
        <f>3.38+0.6+8.71+0.66</f>
        <v>13.350000000000001</v>
      </c>
      <c r="E205" s="35">
        <f t="shared" si="114"/>
        <v>21.200000000000003</v>
      </c>
      <c r="F205" s="37"/>
      <c r="G205" s="37">
        <f>9.99+0.71</f>
        <v>10.7</v>
      </c>
      <c r="H205" s="37">
        <f>6.92+0.64</f>
        <v>7.56</v>
      </c>
      <c r="I205" s="35">
        <f t="shared" si="115"/>
        <v>18.259999999999998</v>
      </c>
      <c r="J205" s="37"/>
      <c r="K205" s="37"/>
      <c r="L205" s="37">
        <f>3.49+0.05</f>
        <v>3.54</v>
      </c>
      <c r="M205" s="35">
        <f t="shared" si="116"/>
        <v>3.54</v>
      </c>
      <c r="N205" s="37"/>
      <c r="O205" s="37"/>
      <c r="P205" s="38">
        <f>0.04+2.9+0.05+4.11+0.04+3.33+0.07</f>
        <v>10.54</v>
      </c>
      <c r="Q205" s="35">
        <f t="shared" si="117"/>
        <v>10.54</v>
      </c>
      <c r="R205" s="34">
        <f t="shared" si="112"/>
        <v>53.54</v>
      </c>
    </row>
    <row r="206" spans="1:18" ht="12.75" hidden="1" outlineLevel="3">
      <c r="A206" s="23" t="s">
        <v>19</v>
      </c>
      <c r="B206" s="63"/>
      <c r="C206" s="63"/>
      <c r="D206" s="63">
        <v>4.65</v>
      </c>
      <c r="E206" s="35">
        <f t="shared" si="114"/>
        <v>4.65</v>
      </c>
      <c r="F206" s="37"/>
      <c r="G206" s="37"/>
      <c r="H206" s="37"/>
      <c r="I206" s="35">
        <f t="shared" si="115"/>
        <v>0</v>
      </c>
      <c r="J206" s="37"/>
      <c r="K206" s="37">
        <v>0.93</v>
      </c>
      <c r="L206" s="37"/>
      <c r="M206" s="35">
        <f t="shared" si="116"/>
        <v>0.93</v>
      </c>
      <c r="N206" s="37"/>
      <c r="O206" s="37">
        <v>0.93</v>
      </c>
      <c r="P206" s="38"/>
      <c r="Q206" s="35">
        <f t="shared" si="117"/>
        <v>0.93</v>
      </c>
      <c r="R206" s="34">
        <f t="shared" si="112"/>
        <v>6.510000000000001</v>
      </c>
    </row>
    <row r="207" spans="1:18" ht="12.75" hidden="1" outlineLevel="3">
      <c r="A207" s="23" t="s">
        <v>20</v>
      </c>
      <c r="B207" s="63">
        <v>6</v>
      </c>
      <c r="C207" s="63">
        <v>11</v>
      </c>
      <c r="D207" s="63">
        <f>13.5+0.18+1.13</f>
        <v>14.809999999999999</v>
      </c>
      <c r="E207" s="35">
        <f t="shared" si="114"/>
        <v>31.81</v>
      </c>
      <c r="F207" s="37">
        <v>11</v>
      </c>
      <c r="G207" s="37">
        <v>3</v>
      </c>
      <c r="H207" s="37">
        <v>4</v>
      </c>
      <c r="I207" s="35">
        <f t="shared" si="115"/>
        <v>18</v>
      </c>
      <c r="J207" s="37"/>
      <c r="K207" s="37">
        <v>5.5</v>
      </c>
      <c r="L207" s="37">
        <v>2.5</v>
      </c>
      <c r="M207" s="35">
        <f t="shared" si="116"/>
        <v>8</v>
      </c>
      <c r="N207" s="37">
        <v>2</v>
      </c>
      <c r="O207" s="37">
        <v>1.5</v>
      </c>
      <c r="P207" s="38">
        <v>7.5</v>
      </c>
      <c r="Q207" s="35">
        <f t="shared" si="117"/>
        <v>11</v>
      </c>
      <c r="R207" s="34">
        <f t="shared" si="112"/>
        <v>68.81</v>
      </c>
    </row>
    <row r="208" spans="1:18" ht="12.75" hidden="1" outlineLevel="3">
      <c r="A208" s="23" t="s">
        <v>21</v>
      </c>
      <c r="B208" s="63"/>
      <c r="C208" s="63"/>
      <c r="D208" s="63"/>
      <c r="E208" s="35">
        <f t="shared" si="114"/>
        <v>0</v>
      </c>
      <c r="G208" s="37"/>
      <c r="H208" s="37"/>
      <c r="I208" s="35">
        <f t="shared" si="115"/>
        <v>0</v>
      </c>
      <c r="J208" s="37"/>
      <c r="K208" s="37"/>
      <c r="L208" s="37"/>
      <c r="M208" s="35">
        <f t="shared" si="116"/>
        <v>0</v>
      </c>
      <c r="N208" s="37"/>
      <c r="O208" s="37"/>
      <c r="P208" s="38"/>
      <c r="Q208" s="35">
        <f t="shared" si="117"/>
        <v>0</v>
      </c>
      <c r="R208" s="34">
        <f t="shared" si="112"/>
        <v>0</v>
      </c>
    </row>
    <row r="209" spans="1:18" ht="12.75" hidden="1" outlineLevel="3">
      <c r="A209" s="23" t="s">
        <v>22</v>
      </c>
      <c r="B209" s="63"/>
      <c r="C209" s="63"/>
      <c r="D209" s="63"/>
      <c r="E209" s="35">
        <f t="shared" si="114"/>
        <v>0</v>
      </c>
      <c r="G209" s="37"/>
      <c r="H209" s="37"/>
      <c r="I209" s="35">
        <f t="shared" si="115"/>
        <v>0</v>
      </c>
      <c r="J209" s="37"/>
      <c r="K209" s="37"/>
      <c r="L209" s="37"/>
      <c r="M209" s="35">
        <f t="shared" si="116"/>
        <v>0</v>
      </c>
      <c r="N209" s="37"/>
      <c r="O209" s="37"/>
      <c r="P209" s="38"/>
      <c r="Q209" s="35">
        <f t="shared" si="117"/>
        <v>0</v>
      </c>
      <c r="R209" s="34">
        <f t="shared" si="112"/>
        <v>0</v>
      </c>
    </row>
    <row r="210" spans="1:18" ht="12.75" hidden="1" outlineLevel="3">
      <c r="A210" s="23" t="s">
        <v>61</v>
      </c>
      <c r="B210" s="62"/>
      <c r="C210" s="62"/>
      <c r="D210" s="62"/>
      <c r="E210" s="35">
        <f t="shared" si="114"/>
        <v>0</v>
      </c>
      <c r="F210" s="38"/>
      <c r="G210" s="38"/>
      <c r="H210" s="38"/>
      <c r="I210" s="35">
        <f t="shared" si="115"/>
        <v>0</v>
      </c>
      <c r="J210" s="38"/>
      <c r="K210" s="38"/>
      <c r="L210" s="38"/>
      <c r="M210" s="35">
        <f t="shared" si="116"/>
        <v>0</v>
      </c>
      <c r="N210" s="38"/>
      <c r="O210" s="38"/>
      <c r="P210" s="38"/>
      <c r="Q210" s="35">
        <f t="shared" si="117"/>
        <v>0</v>
      </c>
      <c r="R210" s="72">
        <f t="shared" si="112"/>
        <v>0</v>
      </c>
    </row>
    <row r="211" spans="1:18" ht="12.75" hidden="1" outlineLevel="2" collapsed="1">
      <c r="A211" s="28" t="s">
        <v>50</v>
      </c>
      <c r="B211" s="43">
        <f aca="true" t="shared" si="118" ref="B211:Q211">SUM(B202:B209)</f>
        <v>102.35</v>
      </c>
      <c r="C211" s="43">
        <f t="shared" si="118"/>
        <v>105.87</v>
      </c>
      <c r="D211" s="43">
        <f t="shared" si="118"/>
        <v>122.74000000000001</v>
      </c>
      <c r="E211" s="42">
        <f t="shared" si="118"/>
        <v>330.96</v>
      </c>
      <c r="F211" s="43">
        <f t="shared" si="118"/>
        <v>100.92999999999999</v>
      </c>
      <c r="G211" s="43">
        <f t="shared" si="118"/>
        <v>101.36999999999999</v>
      </c>
      <c r="H211" s="43">
        <f t="shared" si="118"/>
        <v>103.99000000000001</v>
      </c>
      <c r="I211" s="42">
        <f t="shared" si="118"/>
        <v>306.28999999999996</v>
      </c>
      <c r="J211" s="43">
        <f t="shared" si="118"/>
        <v>79.88</v>
      </c>
      <c r="K211" s="43">
        <f t="shared" si="118"/>
        <v>91.60000000000001</v>
      </c>
      <c r="L211" s="43">
        <f t="shared" si="118"/>
        <v>89.96000000000001</v>
      </c>
      <c r="M211" s="42">
        <f t="shared" si="118"/>
        <v>261.44</v>
      </c>
      <c r="N211" s="43">
        <f t="shared" si="118"/>
        <v>89.55000000000001</v>
      </c>
      <c r="O211" s="43">
        <f t="shared" si="118"/>
        <v>85.51</v>
      </c>
      <c r="P211" s="43">
        <f t="shared" si="118"/>
        <v>106.57999999999998</v>
      </c>
      <c r="Q211" s="42">
        <f t="shared" si="118"/>
        <v>281.64000000000004</v>
      </c>
      <c r="R211" s="44">
        <f t="shared" si="112"/>
        <v>1180.33</v>
      </c>
    </row>
    <row r="212" spans="1:21" ht="13.5" outlineLevel="1" collapsed="1" thickBot="1">
      <c r="A212" s="22" t="s">
        <v>48</v>
      </c>
      <c r="B212" s="46">
        <f aca="true" t="shared" si="119" ref="B212:R212">B211+B201</f>
        <v>96.41</v>
      </c>
      <c r="C212" s="46">
        <f t="shared" si="119"/>
        <v>105.87</v>
      </c>
      <c r="D212" s="46">
        <f t="shared" si="119"/>
        <v>122.74000000000001</v>
      </c>
      <c r="E212" s="45">
        <f t="shared" si="119"/>
        <v>325.02</v>
      </c>
      <c r="F212" s="46">
        <f t="shared" si="119"/>
        <v>100.92999999999999</v>
      </c>
      <c r="G212" s="46">
        <f t="shared" si="119"/>
        <v>101.36999999999999</v>
      </c>
      <c r="H212" s="46">
        <f t="shared" si="119"/>
        <v>103.99000000000001</v>
      </c>
      <c r="I212" s="45">
        <f t="shared" si="119"/>
        <v>306.28999999999996</v>
      </c>
      <c r="J212" s="46">
        <f t="shared" si="119"/>
        <v>79.88</v>
      </c>
      <c r="K212" s="46">
        <f t="shared" si="119"/>
        <v>91.60000000000001</v>
      </c>
      <c r="L212" s="46">
        <f t="shared" si="119"/>
        <v>91.02000000000001</v>
      </c>
      <c r="M212" s="45">
        <f t="shared" si="119"/>
        <v>262.5</v>
      </c>
      <c r="N212" s="46">
        <f t="shared" si="119"/>
        <v>89.55000000000001</v>
      </c>
      <c r="O212" s="46">
        <f t="shared" si="119"/>
        <v>85.51</v>
      </c>
      <c r="P212" s="46">
        <f t="shared" si="119"/>
        <v>106.57999999999998</v>
      </c>
      <c r="Q212" s="45">
        <f t="shared" si="119"/>
        <v>281.64000000000004</v>
      </c>
      <c r="R212" s="47">
        <f t="shared" si="119"/>
        <v>1175.4499999999998</v>
      </c>
      <c r="S212" s="65">
        <f>((B202/0.12)+(C202/0.12)+(D202/0.12)+(F202/0.12)+(G202/0.12)+(H202/0.12)+(J202/0.12)+(K202/0.12)+(L202/0.12)+(N202/0.12)+(O202/0.12)+(P202/0.12))/12</f>
        <v>512.3333333333334</v>
      </c>
      <c r="T212" s="54">
        <f>R212/S212</f>
        <v>2.2943070917371498</v>
      </c>
      <c r="U212" s="66">
        <f>R204/R212</f>
        <v>0.09805606363520356</v>
      </c>
    </row>
    <row r="213" spans="1:18" ht="13.5" outlineLevel="1" thickTop="1">
      <c r="A213" s="16" t="s">
        <v>36</v>
      </c>
      <c r="B213" s="17"/>
      <c r="C213" s="17"/>
      <c r="D213" s="17"/>
      <c r="E213" s="14"/>
      <c r="F213" s="17"/>
      <c r="G213" s="17"/>
      <c r="H213" s="17"/>
      <c r="I213" s="14"/>
      <c r="J213" s="17"/>
      <c r="K213" s="17"/>
      <c r="L213" s="17"/>
      <c r="M213" s="14"/>
      <c r="N213" s="17"/>
      <c r="O213" s="17"/>
      <c r="P213" s="17"/>
      <c r="Q213" s="14"/>
      <c r="R213" s="27"/>
    </row>
    <row r="214" spans="1:18" ht="12.75" hidden="1" outlineLevel="3">
      <c r="A214" s="19" t="s">
        <v>40</v>
      </c>
      <c r="B214" s="20"/>
      <c r="C214" s="20"/>
      <c r="D214" s="20"/>
      <c r="E214" s="67">
        <f aca="true" t="shared" si="120" ref="E214:E221">SUM(B214:D214)</f>
        <v>0</v>
      </c>
      <c r="F214" s="20"/>
      <c r="G214" s="20"/>
      <c r="H214" s="20"/>
      <c r="I214" s="67">
        <f aca="true" t="shared" si="121" ref="I214:I221">SUM(F214:H214)</f>
        <v>0</v>
      </c>
      <c r="J214" s="20"/>
      <c r="K214" s="20"/>
      <c r="L214" s="20"/>
      <c r="M214" s="67">
        <f aca="true" t="shared" si="122" ref="M214:M221">SUM(J214:L214)</f>
        <v>0</v>
      </c>
      <c r="N214" s="20"/>
      <c r="O214" s="20"/>
      <c r="P214" s="20"/>
      <c r="Q214" s="67">
        <f aca="true" t="shared" si="123" ref="Q214:Q221">SUM(N214:P214)</f>
        <v>0</v>
      </c>
      <c r="R214" s="21">
        <f aca="true" t="shared" si="124" ref="R214:R232">Q214+M214+I214+E214</f>
        <v>0</v>
      </c>
    </row>
    <row r="215" spans="1:18" ht="12.75" hidden="1" outlineLevel="3">
      <c r="A215" s="19" t="s">
        <v>41</v>
      </c>
      <c r="B215" s="20"/>
      <c r="C215" s="20"/>
      <c r="D215" s="20"/>
      <c r="E215" s="67">
        <f t="shared" si="120"/>
        <v>0</v>
      </c>
      <c r="F215" s="20"/>
      <c r="G215" s="20"/>
      <c r="H215" s="20"/>
      <c r="I215" s="67">
        <f t="shared" si="121"/>
        <v>0</v>
      </c>
      <c r="J215" s="20"/>
      <c r="K215" s="20"/>
      <c r="L215" s="20"/>
      <c r="M215" s="67">
        <f t="shared" si="122"/>
        <v>0</v>
      </c>
      <c r="N215" s="20"/>
      <c r="O215" s="20"/>
      <c r="P215" s="20"/>
      <c r="Q215" s="67">
        <f t="shared" si="123"/>
        <v>0</v>
      </c>
      <c r="R215" s="21">
        <f t="shared" si="124"/>
        <v>0</v>
      </c>
    </row>
    <row r="216" spans="1:18" ht="12.75" hidden="1" outlineLevel="3">
      <c r="A216" s="19" t="s">
        <v>42</v>
      </c>
      <c r="B216" s="20"/>
      <c r="C216" s="20"/>
      <c r="D216" s="20"/>
      <c r="E216" s="67">
        <f t="shared" si="120"/>
        <v>0</v>
      </c>
      <c r="F216" s="20"/>
      <c r="G216" s="20"/>
      <c r="H216" s="20"/>
      <c r="I216" s="67">
        <f t="shared" si="121"/>
        <v>0</v>
      </c>
      <c r="J216" s="20"/>
      <c r="K216" s="20"/>
      <c r="L216" s="20"/>
      <c r="M216" s="67">
        <f t="shared" si="122"/>
        <v>0</v>
      </c>
      <c r="N216" s="20"/>
      <c r="O216" s="20"/>
      <c r="P216" s="20"/>
      <c r="Q216" s="67">
        <f t="shared" si="123"/>
        <v>0</v>
      </c>
      <c r="R216" s="21">
        <f t="shared" si="124"/>
        <v>0</v>
      </c>
    </row>
    <row r="217" spans="1:18" ht="12.75" hidden="1" outlineLevel="3">
      <c r="A217" s="19" t="s">
        <v>43</v>
      </c>
      <c r="B217" s="20"/>
      <c r="C217" s="20"/>
      <c r="D217" s="20"/>
      <c r="E217" s="67">
        <f t="shared" si="120"/>
        <v>0</v>
      </c>
      <c r="F217" s="20"/>
      <c r="G217" s="20"/>
      <c r="H217" s="20"/>
      <c r="I217" s="67">
        <f t="shared" si="121"/>
        <v>0</v>
      </c>
      <c r="J217" s="20"/>
      <c r="K217" s="20"/>
      <c r="L217" s="20"/>
      <c r="M217" s="67">
        <f t="shared" si="122"/>
        <v>0</v>
      </c>
      <c r="N217" s="20"/>
      <c r="O217" s="20"/>
      <c r="P217" s="20"/>
      <c r="Q217" s="67">
        <f t="shared" si="123"/>
        <v>0</v>
      </c>
      <c r="R217" s="21">
        <f t="shared" si="124"/>
        <v>0</v>
      </c>
    </row>
    <row r="218" spans="1:18" ht="12.75" hidden="1" outlineLevel="3">
      <c r="A218" s="19" t="s">
        <v>44</v>
      </c>
      <c r="B218" s="20"/>
      <c r="C218" s="20"/>
      <c r="D218" s="20"/>
      <c r="E218" s="67">
        <f t="shared" si="120"/>
        <v>0</v>
      </c>
      <c r="F218" s="20"/>
      <c r="G218" s="20"/>
      <c r="H218" s="20"/>
      <c r="I218" s="67">
        <f t="shared" si="121"/>
        <v>0</v>
      </c>
      <c r="J218" s="20"/>
      <c r="K218" s="20"/>
      <c r="L218" s="20"/>
      <c r="M218" s="67">
        <f t="shared" si="122"/>
        <v>0</v>
      </c>
      <c r="N218" s="20"/>
      <c r="O218" s="20"/>
      <c r="P218" s="20"/>
      <c r="Q218" s="67">
        <f t="shared" si="123"/>
        <v>0</v>
      </c>
      <c r="R218" s="21">
        <f t="shared" si="124"/>
        <v>0</v>
      </c>
    </row>
    <row r="219" spans="1:18" ht="12.75" hidden="1" outlineLevel="3">
      <c r="A219" s="19" t="s">
        <v>45</v>
      </c>
      <c r="B219" s="62"/>
      <c r="C219" s="62"/>
      <c r="D219" s="62"/>
      <c r="E219" s="35">
        <f t="shared" si="120"/>
        <v>0</v>
      </c>
      <c r="F219" s="62"/>
      <c r="G219" s="62"/>
      <c r="H219" s="62"/>
      <c r="I219" s="35">
        <f t="shared" si="121"/>
        <v>0</v>
      </c>
      <c r="J219" s="62"/>
      <c r="K219" s="62"/>
      <c r="L219" s="62"/>
      <c r="M219" s="35">
        <f t="shared" si="122"/>
        <v>0</v>
      </c>
      <c r="N219" s="62"/>
      <c r="O219" s="62"/>
      <c r="P219" s="62"/>
      <c r="Q219" s="35">
        <f t="shared" si="123"/>
        <v>0</v>
      </c>
      <c r="R219" s="34">
        <f t="shared" si="124"/>
        <v>0</v>
      </c>
    </row>
    <row r="220" spans="1:18" ht="12.75" hidden="1" outlineLevel="3">
      <c r="A220" s="19" t="s">
        <v>46</v>
      </c>
      <c r="B220" s="20"/>
      <c r="C220" s="20"/>
      <c r="D220" s="20"/>
      <c r="E220" s="67">
        <f t="shared" si="120"/>
        <v>0</v>
      </c>
      <c r="F220" s="20"/>
      <c r="G220" s="20"/>
      <c r="H220" s="20"/>
      <c r="I220" s="67">
        <f t="shared" si="121"/>
        <v>0</v>
      </c>
      <c r="J220" s="20"/>
      <c r="K220" s="20"/>
      <c r="L220" s="20"/>
      <c r="M220" s="67">
        <f t="shared" si="122"/>
        <v>0</v>
      </c>
      <c r="N220" s="20"/>
      <c r="O220" s="20"/>
      <c r="P220" s="20"/>
      <c r="Q220" s="67">
        <f t="shared" si="123"/>
        <v>0</v>
      </c>
      <c r="R220" s="21">
        <f t="shared" si="124"/>
        <v>0</v>
      </c>
    </row>
    <row r="221" spans="1:18" ht="12.75" hidden="1" outlineLevel="3">
      <c r="A221" s="19" t="s">
        <v>58</v>
      </c>
      <c r="B221" s="62"/>
      <c r="C221" s="62"/>
      <c r="D221" s="62"/>
      <c r="E221" s="59">
        <f t="shared" si="120"/>
        <v>0</v>
      </c>
      <c r="F221" s="52"/>
      <c r="G221" s="52"/>
      <c r="H221" s="52"/>
      <c r="I221" s="59">
        <f t="shared" si="121"/>
        <v>0</v>
      </c>
      <c r="J221" s="52"/>
      <c r="K221" s="52"/>
      <c r="L221" s="52"/>
      <c r="M221" s="59">
        <f t="shared" si="122"/>
        <v>0</v>
      </c>
      <c r="N221" s="52"/>
      <c r="O221" s="52"/>
      <c r="P221" s="52"/>
      <c r="Q221" s="59">
        <f t="shared" si="123"/>
        <v>0</v>
      </c>
      <c r="R221" s="60">
        <f t="shared" si="124"/>
        <v>0</v>
      </c>
    </row>
    <row r="222" spans="1:18" ht="12.75" hidden="1" outlineLevel="2" collapsed="1">
      <c r="A222" s="22" t="s">
        <v>47</v>
      </c>
      <c r="B222" s="63">
        <f aca="true" t="shared" si="125" ref="B222:Q222">SUM(B214:B221)</f>
        <v>0</v>
      </c>
      <c r="C222" s="63">
        <f t="shared" si="125"/>
        <v>0</v>
      </c>
      <c r="D222" s="63">
        <f t="shared" si="125"/>
        <v>0</v>
      </c>
      <c r="E222" s="33">
        <f t="shared" si="125"/>
        <v>0</v>
      </c>
      <c r="F222" s="33">
        <f t="shared" si="125"/>
        <v>0</v>
      </c>
      <c r="G222" s="33">
        <f t="shared" si="125"/>
        <v>0</v>
      </c>
      <c r="H222" s="33">
        <f t="shared" si="125"/>
        <v>0</v>
      </c>
      <c r="I222" s="33">
        <f t="shared" si="125"/>
        <v>0</v>
      </c>
      <c r="J222" s="33">
        <f t="shared" si="125"/>
        <v>0</v>
      </c>
      <c r="K222" s="33">
        <f t="shared" si="125"/>
        <v>0</v>
      </c>
      <c r="L222" s="33">
        <f t="shared" si="125"/>
        <v>0</v>
      </c>
      <c r="M222" s="33">
        <f t="shared" si="125"/>
        <v>0</v>
      </c>
      <c r="N222" s="33">
        <f t="shared" si="125"/>
        <v>0</v>
      </c>
      <c r="O222" s="33">
        <f t="shared" si="125"/>
        <v>0</v>
      </c>
      <c r="P222" s="33">
        <f t="shared" si="125"/>
        <v>0</v>
      </c>
      <c r="Q222" s="33">
        <f t="shared" si="125"/>
        <v>0</v>
      </c>
      <c r="R222" s="34">
        <f t="shared" si="124"/>
        <v>0</v>
      </c>
    </row>
    <row r="223" spans="1:18" ht="12.75" hidden="1" outlineLevel="3">
      <c r="A223" s="23" t="s">
        <v>15</v>
      </c>
      <c r="B223" s="63"/>
      <c r="C223" s="63"/>
      <c r="D223" s="63"/>
      <c r="E223" s="35">
        <f aca="true" t="shared" si="126" ref="E223:E231">SUM(B223:D223)</f>
        <v>0</v>
      </c>
      <c r="F223" s="37"/>
      <c r="G223" s="37"/>
      <c r="H223" s="37"/>
      <c r="I223" s="35">
        <f aca="true" t="shared" si="127" ref="I223:I231">SUM(F223:H223)</f>
        <v>0</v>
      </c>
      <c r="J223" s="37"/>
      <c r="K223" s="37"/>
      <c r="L223" s="37"/>
      <c r="M223" s="35">
        <f aca="true" t="shared" si="128" ref="M223:M231">SUM(J223:L223)</f>
        <v>0</v>
      </c>
      <c r="N223" s="37"/>
      <c r="O223" s="37"/>
      <c r="P223" s="38">
        <v>76.08</v>
      </c>
      <c r="Q223" s="35">
        <f aca="true" t="shared" si="129" ref="Q223:Q231">SUM(N223:P223)</f>
        <v>76.08</v>
      </c>
      <c r="R223" s="34">
        <f t="shared" si="124"/>
        <v>76.08</v>
      </c>
    </row>
    <row r="224" spans="1:18" ht="12.75" hidden="1" outlineLevel="3">
      <c r="A224" s="23" t="s">
        <v>16</v>
      </c>
      <c r="B224" s="63"/>
      <c r="C224" s="63"/>
      <c r="D224" s="63"/>
      <c r="E224" s="35">
        <f t="shared" si="126"/>
        <v>0</v>
      </c>
      <c r="F224" s="37"/>
      <c r="G224" s="37"/>
      <c r="H224" s="37"/>
      <c r="I224" s="35">
        <f t="shared" si="127"/>
        <v>0</v>
      </c>
      <c r="J224" s="37"/>
      <c r="K224" s="37"/>
      <c r="L224" s="37"/>
      <c r="M224" s="35">
        <f t="shared" si="128"/>
        <v>0</v>
      </c>
      <c r="N224" s="37"/>
      <c r="O224" s="37"/>
      <c r="P224" s="38">
        <v>14</v>
      </c>
      <c r="Q224" s="35">
        <f t="shared" si="129"/>
        <v>14</v>
      </c>
      <c r="R224" s="34">
        <f t="shared" si="124"/>
        <v>14</v>
      </c>
    </row>
    <row r="225" spans="1:18" ht="12.75" hidden="1" outlineLevel="3">
      <c r="A225" s="23" t="s">
        <v>17</v>
      </c>
      <c r="B225" s="63"/>
      <c r="C225" s="63"/>
      <c r="D225" s="63"/>
      <c r="E225" s="35">
        <f t="shared" si="126"/>
        <v>0</v>
      </c>
      <c r="F225" s="37"/>
      <c r="G225" s="37"/>
      <c r="H225" s="37"/>
      <c r="I225" s="35">
        <f t="shared" si="127"/>
        <v>0</v>
      </c>
      <c r="J225" s="37"/>
      <c r="K225" s="37"/>
      <c r="L225" s="37"/>
      <c r="M225" s="35">
        <f t="shared" si="128"/>
        <v>0</v>
      </c>
      <c r="N225" s="37"/>
      <c r="O225" s="37"/>
      <c r="P225" s="38">
        <v>722.07</v>
      </c>
      <c r="Q225" s="35">
        <f t="shared" si="129"/>
        <v>722.07</v>
      </c>
      <c r="R225" s="34">
        <f t="shared" si="124"/>
        <v>722.07</v>
      </c>
    </row>
    <row r="226" spans="1:18" ht="12.75" hidden="1" outlineLevel="3">
      <c r="A226" s="25" t="s">
        <v>18</v>
      </c>
      <c r="B226" s="63"/>
      <c r="C226" s="63"/>
      <c r="D226" s="63"/>
      <c r="E226" s="35">
        <f t="shared" si="126"/>
        <v>0</v>
      </c>
      <c r="F226" s="37"/>
      <c r="G226" s="37"/>
      <c r="H226" s="37"/>
      <c r="I226" s="35">
        <f t="shared" si="127"/>
        <v>0</v>
      </c>
      <c r="J226" s="37"/>
      <c r="K226" s="37"/>
      <c r="L226" s="37"/>
      <c r="M226" s="35">
        <f t="shared" si="128"/>
        <v>0</v>
      </c>
      <c r="N226" s="37"/>
      <c r="O226" s="37"/>
      <c r="P226" s="38"/>
      <c r="Q226" s="35">
        <f t="shared" si="129"/>
        <v>0</v>
      </c>
      <c r="R226" s="34">
        <f t="shared" si="124"/>
        <v>0</v>
      </c>
    </row>
    <row r="227" spans="1:18" ht="12.75" hidden="1" outlineLevel="3">
      <c r="A227" s="23" t="s">
        <v>19</v>
      </c>
      <c r="B227" s="63"/>
      <c r="C227" s="63"/>
      <c r="D227" s="63"/>
      <c r="E227" s="35">
        <f t="shared" si="126"/>
        <v>0</v>
      </c>
      <c r="F227" s="37"/>
      <c r="G227" s="37"/>
      <c r="H227" s="37"/>
      <c r="I227" s="35">
        <f t="shared" si="127"/>
        <v>0</v>
      </c>
      <c r="J227" s="37"/>
      <c r="K227" s="37"/>
      <c r="L227" s="37"/>
      <c r="M227" s="35">
        <f t="shared" si="128"/>
        <v>0</v>
      </c>
      <c r="N227" s="37"/>
      <c r="O227" s="37"/>
      <c r="P227" s="38"/>
      <c r="Q227" s="35">
        <f t="shared" si="129"/>
        <v>0</v>
      </c>
      <c r="R227" s="34">
        <f t="shared" si="124"/>
        <v>0</v>
      </c>
    </row>
    <row r="228" spans="1:18" ht="12.75" hidden="1" outlineLevel="3">
      <c r="A228" s="23" t="s">
        <v>20</v>
      </c>
      <c r="B228" s="63"/>
      <c r="C228" s="63"/>
      <c r="D228" s="63"/>
      <c r="E228" s="35">
        <f t="shared" si="126"/>
        <v>0</v>
      </c>
      <c r="F228" s="37"/>
      <c r="G228" s="37"/>
      <c r="H228" s="37"/>
      <c r="I228" s="35">
        <f t="shared" si="127"/>
        <v>0</v>
      </c>
      <c r="J228" s="37"/>
      <c r="K228" s="37"/>
      <c r="L228" s="37"/>
      <c r="M228" s="35">
        <f t="shared" si="128"/>
        <v>0</v>
      </c>
      <c r="N228" s="37"/>
      <c r="O228" s="37"/>
      <c r="P228" s="38">
        <v>9.5</v>
      </c>
      <c r="Q228" s="35">
        <f t="shared" si="129"/>
        <v>9.5</v>
      </c>
      <c r="R228" s="34">
        <f t="shared" si="124"/>
        <v>9.5</v>
      </c>
    </row>
    <row r="229" spans="1:18" ht="12.75" hidden="1" outlineLevel="3">
      <c r="A229" s="23" t="s">
        <v>21</v>
      </c>
      <c r="B229" s="63"/>
      <c r="C229" s="63"/>
      <c r="D229" s="63"/>
      <c r="E229" s="35">
        <f t="shared" si="126"/>
        <v>0</v>
      </c>
      <c r="F229" s="37"/>
      <c r="G229" s="37"/>
      <c r="H229" s="37"/>
      <c r="I229" s="35">
        <f t="shared" si="127"/>
        <v>0</v>
      </c>
      <c r="J229" s="37"/>
      <c r="K229" s="37"/>
      <c r="L229" s="37"/>
      <c r="M229" s="35">
        <f t="shared" si="128"/>
        <v>0</v>
      </c>
      <c r="N229" s="37"/>
      <c r="O229" s="37"/>
      <c r="P229" s="38"/>
      <c r="Q229" s="35">
        <f t="shared" si="129"/>
        <v>0</v>
      </c>
      <c r="R229" s="34">
        <f t="shared" si="124"/>
        <v>0</v>
      </c>
    </row>
    <row r="230" spans="1:18" ht="12.75" hidden="1" outlineLevel="3">
      <c r="A230" s="23" t="s">
        <v>22</v>
      </c>
      <c r="B230" s="63"/>
      <c r="C230" s="63"/>
      <c r="D230" s="63"/>
      <c r="E230" s="35">
        <f t="shared" si="126"/>
        <v>0</v>
      </c>
      <c r="F230" s="37"/>
      <c r="G230" s="37"/>
      <c r="H230" s="37"/>
      <c r="I230" s="35">
        <f t="shared" si="127"/>
        <v>0</v>
      </c>
      <c r="J230" s="37"/>
      <c r="K230" s="37"/>
      <c r="L230" s="37"/>
      <c r="M230" s="35">
        <f t="shared" si="128"/>
        <v>0</v>
      </c>
      <c r="N230" s="37"/>
      <c r="O230" s="37"/>
      <c r="P230" s="38"/>
      <c r="Q230" s="35">
        <f t="shared" si="129"/>
        <v>0</v>
      </c>
      <c r="R230" s="34">
        <f t="shared" si="124"/>
        <v>0</v>
      </c>
    </row>
    <row r="231" spans="1:18" ht="12.75" hidden="1" outlineLevel="3">
      <c r="A231" s="23" t="s">
        <v>61</v>
      </c>
      <c r="B231" s="62"/>
      <c r="C231" s="62"/>
      <c r="D231" s="62"/>
      <c r="E231" s="35">
        <f t="shared" si="126"/>
        <v>0</v>
      </c>
      <c r="F231" s="38"/>
      <c r="G231" s="38"/>
      <c r="H231" s="38"/>
      <c r="I231" s="35">
        <f t="shared" si="127"/>
        <v>0</v>
      </c>
      <c r="J231" s="38"/>
      <c r="K231" s="38"/>
      <c r="L231" s="38"/>
      <c r="M231" s="35">
        <f t="shared" si="128"/>
        <v>0</v>
      </c>
      <c r="N231" s="38"/>
      <c r="O231" s="38"/>
      <c r="P231" s="38"/>
      <c r="Q231" s="35">
        <f t="shared" si="129"/>
        <v>0</v>
      </c>
      <c r="R231" s="72">
        <f t="shared" si="124"/>
        <v>0</v>
      </c>
    </row>
    <row r="232" spans="1:18" ht="12.75" hidden="1" outlineLevel="2" collapsed="1">
      <c r="A232" s="28" t="s">
        <v>50</v>
      </c>
      <c r="B232" s="43">
        <f aca="true" t="shared" si="130" ref="B232:Q232">SUM(B223:B230)</f>
        <v>0</v>
      </c>
      <c r="C232" s="43">
        <f t="shared" si="130"/>
        <v>0</v>
      </c>
      <c r="D232" s="43">
        <f t="shared" si="130"/>
        <v>0</v>
      </c>
      <c r="E232" s="42">
        <f t="shared" si="130"/>
        <v>0</v>
      </c>
      <c r="F232" s="43">
        <f t="shared" si="130"/>
        <v>0</v>
      </c>
      <c r="G232" s="43">
        <f t="shared" si="130"/>
        <v>0</v>
      </c>
      <c r="H232" s="43">
        <f t="shared" si="130"/>
        <v>0</v>
      </c>
      <c r="I232" s="42">
        <f t="shared" si="130"/>
        <v>0</v>
      </c>
      <c r="J232" s="43">
        <f t="shared" si="130"/>
        <v>0</v>
      </c>
      <c r="K232" s="43">
        <f t="shared" si="130"/>
        <v>0</v>
      </c>
      <c r="L232" s="43">
        <f t="shared" si="130"/>
        <v>0</v>
      </c>
      <c r="M232" s="42">
        <f t="shared" si="130"/>
        <v>0</v>
      </c>
      <c r="N232" s="43">
        <f t="shared" si="130"/>
        <v>0</v>
      </c>
      <c r="O232" s="43">
        <f t="shared" si="130"/>
        <v>0</v>
      </c>
      <c r="P232" s="43">
        <f t="shared" si="130"/>
        <v>821.6500000000001</v>
      </c>
      <c r="Q232" s="42">
        <f t="shared" si="130"/>
        <v>821.6500000000001</v>
      </c>
      <c r="R232" s="44">
        <f t="shared" si="124"/>
        <v>821.6500000000001</v>
      </c>
    </row>
    <row r="233" spans="1:18" ht="13.5" outlineLevel="1" collapsed="1" thickBot="1">
      <c r="A233" s="26" t="s">
        <v>48</v>
      </c>
      <c r="B233" s="46">
        <f aca="true" t="shared" si="131" ref="B233:R233">B232+B222</f>
        <v>0</v>
      </c>
      <c r="C233" s="46">
        <f t="shared" si="131"/>
        <v>0</v>
      </c>
      <c r="D233" s="46">
        <f t="shared" si="131"/>
        <v>0</v>
      </c>
      <c r="E233" s="45">
        <f t="shared" si="131"/>
        <v>0</v>
      </c>
      <c r="F233" s="46">
        <f t="shared" si="131"/>
        <v>0</v>
      </c>
      <c r="G233" s="46">
        <f t="shared" si="131"/>
        <v>0</v>
      </c>
      <c r="H233" s="46">
        <f t="shared" si="131"/>
        <v>0</v>
      </c>
      <c r="I233" s="45">
        <f t="shared" si="131"/>
        <v>0</v>
      </c>
      <c r="J233" s="46">
        <f t="shared" si="131"/>
        <v>0</v>
      </c>
      <c r="K233" s="46">
        <f t="shared" si="131"/>
        <v>0</v>
      </c>
      <c r="L233" s="46">
        <f t="shared" si="131"/>
        <v>0</v>
      </c>
      <c r="M233" s="45">
        <f t="shared" si="131"/>
        <v>0</v>
      </c>
      <c r="N233" s="46">
        <f t="shared" si="131"/>
        <v>0</v>
      </c>
      <c r="O233" s="46">
        <f t="shared" si="131"/>
        <v>0</v>
      </c>
      <c r="P233" s="46">
        <f t="shared" si="131"/>
        <v>821.6500000000001</v>
      </c>
      <c r="Q233" s="45">
        <f t="shared" si="131"/>
        <v>821.6500000000001</v>
      </c>
      <c r="R233" s="47">
        <f t="shared" si="131"/>
        <v>821.6500000000001</v>
      </c>
    </row>
    <row r="234" spans="1:18" ht="13.5" outlineLevel="1" thickTop="1">
      <c r="A234" s="16" t="s">
        <v>68</v>
      </c>
      <c r="B234" s="17"/>
      <c r="C234" s="17"/>
      <c r="D234" s="17"/>
      <c r="E234" s="14"/>
      <c r="F234" s="17"/>
      <c r="G234" s="17"/>
      <c r="H234" s="17"/>
      <c r="I234" s="14"/>
      <c r="J234" s="17"/>
      <c r="K234" s="17"/>
      <c r="L234" s="17"/>
      <c r="M234" s="14"/>
      <c r="N234" s="17"/>
      <c r="O234" s="17"/>
      <c r="P234" s="17"/>
      <c r="Q234" s="14"/>
      <c r="R234" s="27"/>
    </row>
    <row r="235" spans="1:18" ht="12.75" hidden="1" outlineLevel="3">
      <c r="A235" s="19" t="s">
        <v>40</v>
      </c>
      <c r="B235" s="20"/>
      <c r="C235" s="20"/>
      <c r="D235" s="20"/>
      <c r="E235" s="67">
        <f aca="true" t="shared" si="132" ref="E235:E242">SUM(B235:D235)</f>
        <v>0</v>
      </c>
      <c r="F235" s="20"/>
      <c r="G235" s="20"/>
      <c r="H235" s="20"/>
      <c r="I235" s="67">
        <f aca="true" t="shared" si="133" ref="I235:I242">SUM(F235:H235)</f>
        <v>0</v>
      </c>
      <c r="J235" s="20"/>
      <c r="K235" s="20"/>
      <c r="L235" s="20"/>
      <c r="M235" s="67">
        <f aca="true" t="shared" si="134" ref="M235:M242">SUM(J235:L235)</f>
        <v>0</v>
      </c>
      <c r="N235" s="20"/>
      <c r="O235" s="20"/>
      <c r="P235" s="20"/>
      <c r="Q235" s="67">
        <f aca="true" t="shared" si="135" ref="Q235:Q242">SUM(N235:P235)</f>
        <v>0</v>
      </c>
      <c r="R235" s="21">
        <f aca="true" t="shared" si="136" ref="R235:R253">Q235+M235+I235+E235</f>
        <v>0</v>
      </c>
    </row>
    <row r="236" spans="1:18" ht="12.75" hidden="1" outlineLevel="3">
      <c r="A236" s="19" t="s">
        <v>41</v>
      </c>
      <c r="B236" s="20"/>
      <c r="C236" s="20"/>
      <c r="D236" s="20"/>
      <c r="E236" s="67">
        <f t="shared" si="132"/>
        <v>0</v>
      </c>
      <c r="F236" s="20"/>
      <c r="G236" s="20"/>
      <c r="H236" s="20"/>
      <c r="I236" s="67">
        <f t="shared" si="133"/>
        <v>0</v>
      </c>
      <c r="J236" s="20"/>
      <c r="K236" s="20"/>
      <c r="L236" s="20"/>
      <c r="M236" s="67">
        <f t="shared" si="134"/>
        <v>0</v>
      </c>
      <c r="N236" s="20"/>
      <c r="O236" s="20"/>
      <c r="P236" s="20"/>
      <c r="Q236" s="67">
        <f t="shared" si="135"/>
        <v>0</v>
      </c>
      <c r="R236" s="21">
        <f t="shared" si="136"/>
        <v>0</v>
      </c>
    </row>
    <row r="237" spans="1:18" ht="12.75" hidden="1" outlineLevel="3">
      <c r="A237" s="19" t="s">
        <v>42</v>
      </c>
      <c r="B237" s="20"/>
      <c r="C237" s="20"/>
      <c r="D237" s="20"/>
      <c r="E237" s="67">
        <f t="shared" si="132"/>
        <v>0</v>
      </c>
      <c r="F237" s="20"/>
      <c r="G237" s="20"/>
      <c r="H237" s="20"/>
      <c r="I237" s="67">
        <f t="shared" si="133"/>
        <v>0</v>
      </c>
      <c r="J237" s="20"/>
      <c r="K237" s="20"/>
      <c r="L237" s="20"/>
      <c r="M237" s="67">
        <f t="shared" si="134"/>
        <v>0</v>
      </c>
      <c r="N237" s="20"/>
      <c r="O237" s="20"/>
      <c r="P237" s="20"/>
      <c r="Q237" s="67">
        <f t="shared" si="135"/>
        <v>0</v>
      </c>
      <c r="R237" s="21">
        <f t="shared" si="136"/>
        <v>0</v>
      </c>
    </row>
    <row r="238" spans="1:18" ht="12.75" hidden="1" outlineLevel="3">
      <c r="A238" s="19" t="s">
        <v>43</v>
      </c>
      <c r="B238" s="20"/>
      <c r="C238" s="20"/>
      <c r="D238" s="20"/>
      <c r="E238" s="67">
        <f t="shared" si="132"/>
        <v>0</v>
      </c>
      <c r="F238" s="20"/>
      <c r="G238" s="20"/>
      <c r="H238" s="20"/>
      <c r="I238" s="67">
        <f t="shared" si="133"/>
        <v>0</v>
      </c>
      <c r="J238" s="20"/>
      <c r="K238" s="20"/>
      <c r="L238" s="20"/>
      <c r="M238" s="67">
        <f t="shared" si="134"/>
        <v>0</v>
      </c>
      <c r="N238" s="20"/>
      <c r="O238" s="20"/>
      <c r="P238" s="20"/>
      <c r="Q238" s="67">
        <f t="shared" si="135"/>
        <v>0</v>
      </c>
      <c r="R238" s="21">
        <f t="shared" si="136"/>
        <v>0</v>
      </c>
    </row>
    <row r="239" spans="1:18" ht="12.75" hidden="1" outlineLevel="3">
      <c r="A239" s="19" t="s">
        <v>44</v>
      </c>
      <c r="B239" s="20"/>
      <c r="C239" s="20"/>
      <c r="D239" s="20"/>
      <c r="E239" s="67">
        <f t="shared" si="132"/>
        <v>0</v>
      </c>
      <c r="F239" s="20"/>
      <c r="G239" s="20"/>
      <c r="H239" s="20"/>
      <c r="I239" s="67">
        <f t="shared" si="133"/>
        <v>0</v>
      </c>
      <c r="J239" s="20"/>
      <c r="K239" s="20"/>
      <c r="L239" s="20"/>
      <c r="M239" s="67">
        <f t="shared" si="134"/>
        <v>0</v>
      </c>
      <c r="N239" s="20"/>
      <c r="O239" s="20"/>
      <c r="P239" s="20"/>
      <c r="Q239" s="67">
        <f t="shared" si="135"/>
        <v>0</v>
      </c>
      <c r="R239" s="21">
        <f t="shared" si="136"/>
        <v>0</v>
      </c>
    </row>
    <row r="240" spans="1:18" ht="12.75" hidden="1" outlineLevel="3">
      <c r="A240" s="19" t="s">
        <v>45</v>
      </c>
      <c r="B240" s="62"/>
      <c r="C240" s="62"/>
      <c r="D240" s="62"/>
      <c r="E240" s="35">
        <f t="shared" si="132"/>
        <v>0</v>
      </c>
      <c r="F240" s="62"/>
      <c r="G240" s="62"/>
      <c r="H240" s="62"/>
      <c r="I240" s="35">
        <f t="shared" si="133"/>
        <v>0</v>
      </c>
      <c r="J240" s="62"/>
      <c r="K240" s="62"/>
      <c r="L240" s="62"/>
      <c r="M240" s="35">
        <f t="shared" si="134"/>
        <v>0</v>
      </c>
      <c r="N240" s="62"/>
      <c r="O240" s="62"/>
      <c r="P240" s="62"/>
      <c r="Q240" s="35">
        <f t="shared" si="135"/>
        <v>0</v>
      </c>
      <c r="R240" s="34">
        <f t="shared" si="136"/>
        <v>0</v>
      </c>
    </row>
    <row r="241" spans="1:18" ht="12.75" hidden="1" outlineLevel="3">
      <c r="A241" s="19" t="s">
        <v>46</v>
      </c>
      <c r="B241" s="20"/>
      <c r="C241" s="20"/>
      <c r="D241" s="20"/>
      <c r="E241" s="67">
        <f t="shared" si="132"/>
        <v>0</v>
      </c>
      <c r="F241" s="20"/>
      <c r="G241" s="20"/>
      <c r="H241" s="20"/>
      <c r="I241" s="67">
        <f t="shared" si="133"/>
        <v>0</v>
      </c>
      <c r="J241" s="20"/>
      <c r="K241" s="20"/>
      <c r="L241" s="20"/>
      <c r="M241" s="67">
        <f t="shared" si="134"/>
        <v>0</v>
      </c>
      <c r="N241" s="20"/>
      <c r="O241" s="20"/>
      <c r="P241" s="20"/>
      <c r="Q241" s="67">
        <f t="shared" si="135"/>
        <v>0</v>
      </c>
      <c r="R241" s="21">
        <f t="shared" si="136"/>
        <v>0</v>
      </c>
    </row>
    <row r="242" spans="1:18" ht="12.75" hidden="1" outlineLevel="3">
      <c r="A242" s="19" t="s">
        <v>58</v>
      </c>
      <c r="B242" s="62"/>
      <c r="C242" s="62"/>
      <c r="D242" s="62"/>
      <c r="E242" s="59">
        <f t="shared" si="132"/>
        <v>0</v>
      </c>
      <c r="F242" s="52"/>
      <c r="G242" s="52"/>
      <c r="H242" s="52"/>
      <c r="I242" s="59">
        <f t="shared" si="133"/>
        <v>0</v>
      </c>
      <c r="J242" s="52"/>
      <c r="K242" s="52"/>
      <c r="L242" s="52"/>
      <c r="M242" s="59">
        <f t="shared" si="134"/>
        <v>0</v>
      </c>
      <c r="N242" s="52"/>
      <c r="O242" s="52"/>
      <c r="P242" s="52"/>
      <c r="Q242" s="59">
        <f t="shared" si="135"/>
        <v>0</v>
      </c>
      <c r="R242" s="60">
        <f t="shared" si="136"/>
        <v>0</v>
      </c>
    </row>
    <row r="243" spans="1:18" ht="12.75" hidden="1" outlineLevel="2" collapsed="1">
      <c r="A243" s="22" t="s">
        <v>47</v>
      </c>
      <c r="B243" s="63">
        <f aca="true" t="shared" si="137" ref="B243:Q243">SUM(B235:B242)</f>
        <v>0</v>
      </c>
      <c r="C243" s="63">
        <f t="shared" si="137"/>
        <v>0</v>
      </c>
      <c r="D243" s="63">
        <f t="shared" si="137"/>
        <v>0</v>
      </c>
      <c r="E243" s="33">
        <f t="shared" si="137"/>
        <v>0</v>
      </c>
      <c r="F243" s="33">
        <f t="shared" si="137"/>
        <v>0</v>
      </c>
      <c r="G243" s="33">
        <f t="shared" si="137"/>
        <v>0</v>
      </c>
      <c r="H243" s="33">
        <f t="shared" si="137"/>
        <v>0</v>
      </c>
      <c r="I243" s="33">
        <f t="shared" si="137"/>
        <v>0</v>
      </c>
      <c r="J243" s="33">
        <f t="shared" si="137"/>
        <v>0</v>
      </c>
      <c r="K243" s="33">
        <f t="shared" si="137"/>
        <v>0</v>
      </c>
      <c r="L243" s="33">
        <f t="shared" si="137"/>
        <v>0</v>
      </c>
      <c r="M243" s="33">
        <f t="shared" si="137"/>
        <v>0</v>
      </c>
      <c r="N243" s="33">
        <f t="shared" si="137"/>
        <v>0</v>
      </c>
      <c r="O243" s="33">
        <f t="shared" si="137"/>
        <v>0</v>
      </c>
      <c r="P243" s="33">
        <f t="shared" si="137"/>
        <v>0</v>
      </c>
      <c r="Q243" s="33">
        <f t="shared" si="137"/>
        <v>0</v>
      </c>
      <c r="R243" s="34">
        <f t="shared" si="136"/>
        <v>0</v>
      </c>
    </row>
    <row r="244" spans="1:18" ht="12.75" hidden="1" outlineLevel="3">
      <c r="A244" s="23" t="s">
        <v>15</v>
      </c>
      <c r="B244" s="63"/>
      <c r="C244" s="63"/>
      <c r="D244" s="63"/>
      <c r="E244" s="35">
        <f aca="true" t="shared" si="138" ref="E244:E252">SUM(B244:D244)</f>
        <v>0</v>
      </c>
      <c r="F244" s="37"/>
      <c r="G244" s="37"/>
      <c r="H244" s="37"/>
      <c r="I244" s="35">
        <f aca="true" t="shared" si="139" ref="I244:I252">SUM(F244:H244)</f>
        <v>0</v>
      </c>
      <c r="J244" s="37"/>
      <c r="K244" s="37"/>
      <c r="L244" s="37"/>
      <c r="M244" s="35">
        <f aca="true" t="shared" si="140" ref="M244:M252">SUM(J244:L244)</f>
        <v>0</v>
      </c>
      <c r="N244" s="37"/>
      <c r="O244" s="37"/>
      <c r="P244" s="38"/>
      <c r="Q244" s="35">
        <f aca="true" t="shared" si="141" ref="Q244:Q252">SUM(N244:P244)</f>
        <v>0</v>
      </c>
      <c r="R244" s="34">
        <f t="shared" si="136"/>
        <v>0</v>
      </c>
    </row>
    <row r="245" spans="1:18" ht="12.75" hidden="1" outlineLevel="3">
      <c r="A245" s="23" t="s">
        <v>16</v>
      </c>
      <c r="B245" s="62"/>
      <c r="C245" s="62"/>
      <c r="D245" s="62"/>
      <c r="E245" s="35">
        <f t="shared" si="138"/>
        <v>0</v>
      </c>
      <c r="F245" s="62"/>
      <c r="G245" s="62"/>
      <c r="H245" s="62"/>
      <c r="I245" s="35">
        <f t="shared" si="139"/>
        <v>0</v>
      </c>
      <c r="J245" s="62"/>
      <c r="K245" s="62"/>
      <c r="L245" s="62"/>
      <c r="M245" s="35">
        <f t="shared" si="140"/>
        <v>0</v>
      </c>
      <c r="N245" s="62"/>
      <c r="O245" s="62"/>
      <c r="P245" s="62"/>
      <c r="Q245" s="35">
        <f t="shared" si="141"/>
        <v>0</v>
      </c>
      <c r="R245" s="34">
        <f t="shared" si="136"/>
        <v>0</v>
      </c>
    </row>
    <row r="246" spans="1:18" ht="12.75" hidden="1" outlineLevel="3">
      <c r="A246" s="23" t="s">
        <v>17</v>
      </c>
      <c r="B246" s="63"/>
      <c r="C246" s="63"/>
      <c r="D246" s="63"/>
      <c r="E246" s="35">
        <f t="shared" si="138"/>
        <v>0</v>
      </c>
      <c r="F246" s="37"/>
      <c r="G246" s="37"/>
      <c r="H246" s="37"/>
      <c r="I246" s="35">
        <f t="shared" si="139"/>
        <v>0</v>
      </c>
      <c r="J246" s="37"/>
      <c r="K246" s="37"/>
      <c r="L246" s="37"/>
      <c r="M246" s="35">
        <f t="shared" si="140"/>
        <v>0</v>
      </c>
      <c r="N246" s="37"/>
      <c r="O246" s="37"/>
      <c r="P246" s="38"/>
      <c r="Q246" s="35">
        <f t="shared" si="141"/>
        <v>0</v>
      </c>
      <c r="R246" s="34">
        <f t="shared" si="136"/>
        <v>0</v>
      </c>
    </row>
    <row r="247" spans="1:18" ht="12.75" hidden="1" outlineLevel="3">
      <c r="A247" s="25" t="s">
        <v>18</v>
      </c>
      <c r="B247" s="63"/>
      <c r="C247" s="63"/>
      <c r="D247" s="63"/>
      <c r="E247" s="35">
        <f t="shared" si="138"/>
        <v>0</v>
      </c>
      <c r="F247" s="37"/>
      <c r="G247" s="37"/>
      <c r="H247" s="37"/>
      <c r="I247" s="35">
        <f t="shared" si="139"/>
        <v>0</v>
      </c>
      <c r="J247" s="37"/>
      <c r="K247" s="37"/>
      <c r="L247" s="37"/>
      <c r="M247" s="35">
        <f t="shared" si="140"/>
        <v>0</v>
      </c>
      <c r="N247" s="37"/>
      <c r="O247" s="37"/>
      <c r="P247" s="38"/>
      <c r="Q247" s="35">
        <f t="shared" si="141"/>
        <v>0</v>
      </c>
      <c r="R247" s="34">
        <f t="shared" si="136"/>
        <v>0</v>
      </c>
    </row>
    <row r="248" spans="1:18" ht="12.75" hidden="1" outlineLevel="3">
      <c r="A248" s="23" t="s">
        <v>19</v>
      </c>
      <c r="B248" s="63"/>
      <c r="C248" s="63"/>
      <c r="D248" s="63"/>
      <c r="E248" s="35">
        <f t="shared" si="138"/>
        <v>0</v>
      </c>
      <c r="F248" s="37"/>
      <c r="G248" s="37"/>
      <c r="H248" s="37"/>
      <c r="I248" s="35">
        <f t="shared" si="139"/>
        <v>0</v>
      </c>
      <c r="J248" s="37"/>
      <c r="K248" s="37"/>
      <c r="L248" s="37"/>
      <c r="M248" s="35">
        <f t="shared" si="140"/>
        <v>0</v>
      </c>
      <c r="N248" s="37"/>
      <c r="O248" s="37"/>
      <c r="P248" s="38"/>
      <c r="Q248" s="35">
        <f t="shared" si="141"/>
        <v>0</v>
      </c>
      <c r="R248" s="34">
        <f t="shared" si="136"/>
        <v>0</v>
      </c>
    </row>
    <row r="249" spans="1:18" ht="12.75" hidden="1" outlineLevel="3">
      <c r="A249" s="23" t="s">
        <v>20</v>
      </c>
      <c r="B249" s="63"/>
      <c r="C249" s="63"/>
      <c r="D249" s="63"/>
      <c r="E249" s="35">
        <f t="shared" si="138"/>
        <v>0</v>
      </c>
      <c r="F249" s="37"/>
      <c r="G249" s="37"/>
      <c r="H249" s="37"/>
      <c r="I249" s="35">
        <f t="shared" si="139"/>
        <v>0</v>
      </c>
      <c r="J249" s="37"/>
      <c r="K249" s="37"/>
      <c r="L249" s="37"/>
      <c r="M249" s="35">
        <f t="shared" si="140"/>
        <v>0</v>
      </c>
      <c r="N249" s="37"/>
      <c r="O249" s="37"/>
      <c r="P249" s="38"/>
      <c r="Q249" s="35">
        <f t="shared" si="141"/>
        <v>0</v>
      </c>
      <c r="R249" s="34">
        <f t="shared" si="136"/>
        <v>0</v>
      </c>
    </row>
    <row r="250" spans="1:18" ht="12.75" hidden="1" outlineLevel="3">
      <c r="A250" s="23" t="s">
        <v>21</v>
      </c>
      <c r="B250" s="63"/>
      <c r="C250" s="63"/>
      <c r="D250" s="63"/>
      <c r="E250" s="35">
        <f t="shared" si="138"/>
        <v>0</v>
      </c>
      <c r="F250" s="37"/>
      <c r="G250" s="37"/>
      <c r="H250" s="37"/>
      <c r="I250" s="35">
        <f t="shared" si="139"/>
        <v>0</v>
      </c>
      <c r="J250" s="37"/>
      <c r="K250" s="37"/>
      <c r="L250" s="37"/>
      <c r="M250" s="35">
        <f t="shared" si="140"/>
        <v>0</v>
      </c>
      <c r="N250" s="37"/>
      <c r="O250" s="37"/>
      <c r="P250" s="38"/>
      <c r="Q250" s="35">
        <f t="shared" si="141"/>
        <v>0</v>
      </c>
      <c r="R250" s="34">
        <f t="shared" si="136"/>
        <v>0</v>
      </c>
    </row>
    <row r="251" spans="1:18" ht="12.75" hidden="1" outlineLevel="3">
      <c r="A251" s="23" t="s">
        <v>22</v>
      </c>
      <c r="B251" s="63"/>
      <c r="C251" s="63"/>
      <c r="D251" s="63"/>
      <c r="E251" s="35">
        <f t="shared" si="138"/>
        <v>0</v>
      </c>
      <c r="F251" s="37"/>
      <c r="G251" s="37"/>
      <c r="H251" s="37"/>
      <c r="I251" s="35">
        <f t="shared" si="139"/>
        <v>0</v>
      </c>
      <c r="J251" s="37"/>
      <c r="K251" s="37"/>
      <c r="L251" s="37"/>
      <c r="M251" s="35">
        <f t="shared" si="140"/>
        <v>0</v>
      </c>
      <c r="N251" s="37"/>
      <c r="O251" s="37"/>
      <c r="P251" s="38"/>
      <c r="Q251" s="35">
        <f t="shared" si="141"/>
        <v>0</v>
      </c>
      <c r="R251" s="34">
        <f t="shared" si="136"/>
        <v>0</v>
      </c>
    </row>
    <row r="252" spans="1:18" ht="12.75" hidden="1" outlineLevel="3">
      <c r="A252" s="23" t="s">
        <v>61</v>
      </c>
      <c r="B252" s="62"/>
      <c r="C252" s="62"/>
      <c r="D252" s="62"/>
      <c r="E252" s="35">
        <f t="shared" si="138"/>
        <v>0</v>
      </c>
      <c r="F252" s="38"/>
      <c r="G252" s="38"/>
      <c r="H252" s="38"/>
      <c r="I252" s="35">
        <f t="shared" si="139"/>
        <v>0</v>
      </c>
      <c r="J252" s="38"/>
      <c r="K252" s="38"/>
      <c r="L252" s="38"/>
      <c r="M252" s="35">
        <f t="shared" si="140"/>
        <v>0</v>
      </c>
      <c r="N252" s="38"/>
      <c r="O252" s="38"/>
      <c r="P252" s="38"/>
      <c r="Q252" s="35">
        <f t="shared" si="141"/>
        <v>0</v>
      </c>
      <c r="R252" s="72">
        <f t="shared" si="136"/>
        <v>0</v>
      </c>
    </row>
    <row r="253" spans="1:18" ht="12.75" hidden="1" outlineLevel="2" collapsed="1">
      <c r="A253" s="28" t="s">
        <v>50</v>
      </c>
      <c r="B253" s="43">
        <f aca="true" t="shared" si="142" ref="B253:Q253">SUM(B244:B251)</f>
        <v>0</v>
      </c>
      <c r="C253" s="43">
        <f t="shared" si="142"/>
        <v>0</v>
      </c>
      <c r="D253" s="43">
        <f t="shared" si="142"/>
        <v>0</v>
      </c>
      <c r="E253" s="42">
        <f t="shared" si="142"/>
        <v>0</v>
      </c>
      <c r="F253" s="43">
        <f t="shared" si="142"/>
        <v>0</v>
      </c>
      <c r="G253" s="43">
        <f t="shared" si="142"/>
        <v>0</v>
      </c>
      <c r="H253" s="43">
        <f t="shared" si="142"/>
        <v>0</v>
      </c>
      <c r="I253" s="42">
        <f t="shared" si="142"/>
        <v>0</v>
      </c>
      <c r="J253" s="43">
        <f t="shared" si="142"/>
        <v>0</v>
      </c>
      <c r="K253" s="43">
        <f t="shared" si="142"/>
        <v>0</v>
      </c>
      <c r="L253" s="43">
        <f t="shared" si="142"/>
        <v>0</v>
      </c>
      <c r="M253" s="42">
        <f t="shared" si="142"/>
        <v>0</v>
      </c>
      <c r="N253" s="43">
        <f t="shared" si="142"/>
        <v>0</v>
      </c>
      <c r="O253" s="43">
        <f t="shared" si="142"/>
        <v>0</v>
      </c>
      <c r="P253" s="43">
        <f t="shared" si="142"/>
        <v>0</v>
      </c>
      <c r="Q253" s="42">
        <f t="shared" si="142"/>
        <v>0</v>
      </c>
      <c r="R253" s="44">
        <f t="shared" si="136"/>
        <v>0</v>
      </c>
    </row>
    <row r="254" spans="1:18" ht="13.5" outlineLevel="1" collapsed="1" thickBot="1">
      <c r="A254" s="26" t="s">
        <v>48</v>
      </c>
      <c r="B254" s="46">
        <f aca="true" t="shared" si="143" ref="B254:R254">B253+B243</f>
        <v>0</v>
      </c>
      <c r="C254" s="46">
        <f t="shared" si="143"/>
        <v>0</v>
      </c>
      <c r="D254" s="46">
        <f t="shared" si="143"/>
        <v>0</v>
      </c>
      <c r="E254" s="45">
        <f t="shared" si="143"/>
        <v>0</v>
      </c>
      <c r="F254" s="46">
        <f t="shared" si="143"/>
        <v>0</v>
      </c>
      <c r="G254" s="46">
        <f t="shared" si="143"/>
        <v>0</v>
      </c>
      <c r="H254" s="46">
        <f t="shared" si="143"/>
        <v>0</v>
      </c>
      <c r="I254" s="45">
        <f t="shared" si="143"/>
        <v>0</v>
      </c>
      <c r="J254" s="46">
        <f t="shared" si="143"/>
        <v>0</v>
      </c>
      <c r="K254" s="46">
        <f t="shared" si="143"/>
        <v>0</v>
      </c>
      <c r="L254" s="46">
        <f t="shared" si="143"/>
        <v>0</v>
      </c>
      <c r="M254" s="45">
        <f t="shared" si="143"/>
        <v>0</v>
      </c>
      <c r="N254" s="46">
        <f t="shared" si="143"/>
        <v>0</v>
      </c>
      <c r="O254" s="46">
        <f t="shared" si="143"/>
        <v>0</v>
      </c>
      <c r="P254" s="46">
        <f t="shared" si="143"/>
        <v>0</v>
      </c>
      <c r="Q254" s="45">
        <f t="shared" si="143"/>
        <v>0</v>
      </c>
      <c r="R254" s="47">
        <f t="shared" si="143"/>
        <v>0</v>
      </c>
    </row>
    <row r="255" ht="26.25" thickTop="1">
      <c r="A255" s="73" t="s">
        <v>62</v>
      </c>
    </row>
    <row r="256" spans="1:18" ht="12.75" outlineLevel="1">
      <c r="A256" s="70" t="s">
        <v>45</v>
      </c>
      <c r="O256">
        <v>13971</v>
      </c>
      <c r="Q256" s="35">
        <f>SUM(N256:P256)</f>
        <v>13971</v>
      </c>
      <c r="R256" s="34">
        <f>Q256+M256+I256+E256</f>
        <v>13971</v>
      </c>
    </row>
    <row r="257" spans="1:18" ht="13.5" hidden="1" outlineLevel="2" thickBot="1">
      <c r="A257" s="26" t="s">
        <v>48</v>
      </c>
      <c r="B257" s="46">
        <f aca="true" t="shared" si="144" ref="B257:P257">B256+B246</f>
        <v>0</v>
      </c>
      <c r="C257" s="46">
        <f t="shared" si="144"/>
        <v>0</v>
      </c>
      <c r="D257" s="46">
        <f t="shared" si="144"/>
        <v>0</v>
      </c>
      <c r="E257" s="45">
        <f t="shared" si="144"/>
        <v>0</v>
      </c>
      <c r="F257" s="46">
        <f t="shared" si="144"/>
        <v>0</v>
      </c>
      <c r="G257" s="46">
        <f t="shared" si="144"/>
        <v>0</v>
      </c>
      <c r="H257" s="46">
        <f t="shared" si="144"/>
        <v>0</v>
      </c>
      <c r="I257" s="45">
        <f t="shared" si="144"/>
        <v>0</v>
      </c>
      <c r="J257" s="46">
        <f t="shared" si="144"/>
        <v>0</v>
      </c>
      <c r="K257" s="46">
        <f t="shared" si="144"/>
        <v>0</v>
      </c>
      <c r="L257" s="46">
        <f t="shared" si="144"/>
        <v>0</v>
      </c>
      <c r="M257" s="45">
        <f t="shared" si="144"/>
        <v>0</v>
      </c>
      <c r="N257" s="46">
        <f t="shared" si="144"/>
        <v>0</v>
      </c>
      <c r="O257" s="46">
        <f t="shared" si="144"/>
        <v>13971</v>
      </c>
      <c r="P257" s="46">
        <f t="shared" si="144"/>
        <v>0</v>
      </c>
      <c r="Q257" s="35">
        <f>SUM(N257:P257)</f>
        <v>13971</v>
      </c>
      <c r="R257" s="44">
        <f>Q257+M257+I257+E257</f>
        <v>13971</v>
      </c>
    </row>
    <row r="258" spans="1:18" ht="12.75" collapsed="1">
      <c r="A258" s="16" t="s">
        <v>38</v>
      </c>
      <c r="B258" s="17"/>
      <c r="C258" s="17"/>
      <c r="D258" s="17"/>
      <c r="E258" s="14"/>
      <c r="F258" s="17"/>
      <c r="G258" s="17"/>
      <c r="H258" s="17"/>
      <c r="I258" s="14"/>
      <c r="J258" s="17"/>
      <c r="K258" s="17"/>
      <c r="L258" s="17"/>
      <c r="M258" s="14"/>
      <c r="N258" s="17"/>
      <c r="O258" s="17"/>
      <c r="P258" s="17"/>
      <c r="Q258" s="14"/>
      <c r="R258" s="27"/>
    </row>
    <row r="259" spans="1:18" ht="12.75" hidden="1" outlineLevel="2">
      <c r="A259" s="19" t="s">
        <v>40</v>
      </c>
      <c r="B259" s="63">
        <f aca="true" t="shared" si="145" ref="B259:D266">B235+B214+B193+B172+B151+B130+B109+B88+B67+B46+B25+B4</f>
        <v>0</v>
      </c>
      <c r="C259" s="63">
        <f t="shared" si="145"/>
        <v>0</v>
      </c>
      <c r="D259" s="63">
        <f t="shared" si="145"/>
        <v>0</v>
      </c>
      <c r="E259" s="63">
        <f aca="true" t="shared" si="146" ref="E259:E266">SUM(B259:D259)</f>
        <v>0</v>
      </c>
      <c r="F259" s="63">
        <f aca="true" t="shared" si="147" ref="F259:H266">F235+F214+F193+F172+F151+F130+F109+F88+F67+F46+F25+F4</f>
        <v>0</v>
      </c>
      <c r="G259" s="63">
        <f t="shared" si="147"/>
        <v>0</v>
      </c>
      <c r="H259" s="63">
        <f t="shared" si="147"/>
        <v>0</v>
      </c>
      <c r="I259" s="63">
        <f aca="true" t="shared" si="148" ref="I259:I266">SUM(F259:H259)</f>
        <v>0</v>
      </c>
      <c r="J259" s="63">
        <f aca="true" t="shared" si="149" ref="J259:L266">J235+J214+J193+J172+J151+J130+J109+J88+J67+J46+J25+J4</f>
        <v>0</v>
      </c>
      <c r="K259" s="63">
        <f t="shared" si="149"/>
        <v>0</v>
      </c>
      <c r="L259" s="63">
        <f t="shared" si="149"/>
        <v>0</v>
      </c>
      <c r="M259" s="63">
        <f aca="true" t="shared" si="150" ref="M259:M266">SUM(J259:L259)</f>
        <v>0</v>
      </c>
      <c r="N259" s="63">
        <f aca="true" t="shared" si="151" ref="N259:P266">N235+N214+N193+N172+N151+N130+N109+N88+N67+N46+N25+N4</f>
        <v>0</v>
      </c>
      <c r="O259" s="63">
        <f t="shared" si="151"/>
        <v>0</v>
      </c>
      <c r="P259" s="63">
        <f t="shared" si="151"/>
        <v>0</v>
      </c>
      <c r="Q259" s="63">
        <f aca="true" t="shared" si="152" ref="Q259:Q266">SUM(N259:P259)</f>
        <v>0</v>
      </c>
      <c r="R259" s="21">
        <f aca="true" t="shared" si="153" ref="R259:R278">Q259+M259+I259+E259</f>
        <v>0</v>
      </c>
    </row>
    <row r="260" spans="1:18" ht="12.75" hidden="1" outlineLevel="2">
      <c r="A260" s="19" t="s">
        <v>41</v>
      </c>
      <c r="B260" s="63">
        <f t="shared" si="145"/>
        <v>0</v>
      </c>
      <c r="C260" s="63">
        <f t="shared" si="145"/>
        <v>0</v>
      </c>
      <c r="D260" s="63">
        <f t="shared" si="145"/>
        <v>0</v>
      </c>
      <c r="E260" s="63">
        <f t="shared" si="146"/>
        <v>0</v>
      </c>
      <c r="F260" s="63">
        <f t="shared" si="147"/>
        <v>0</v>
      </c>
      <c r="G260" s="63">
        <f t="shared" si="147"/>
        <v>0</v>
      </c>
      <c r="H260" s="63">
        <f t="shared" si="147"/>
        <v>0</v>
      </c>
      <c r="I260" s="63">
        <f t="shared" si="148"/>
        <v>0</v>
      </c>
      <c r="J260" s="63">
        <f t="shared" si="149"/>
        <v>0</v>
      </c>
      <c r="K260" s="63">
        <f t="shared" si="149"/>
        <v>0</v>
      </c>
      <c r="L260" s="63">
        <f t="shared" si="149"/>
        <v>0</v>
      </c>
      <c r="M260" s="63">
        <f t="shared" si="150"/>
        <v>0</v>
      </c>
      <c r="N260" s="63">
        <f t="shared" si="151"/>
        <v>0</v>
      </c>
      <c r="O260" s="63">
        <f t="shared" si="151"/>
        <v>0</v>
      </c>
      <c r="P260" s="63">
        <f t="shared" si="151"/>
        <v>0</v>
      </c>
      <c r="Q260" s="63">
        <f t="shared" si="152"/>
        <v>0</v>
      </c>
      <c r="R260" s="21">
        <f t="shared" si="153"/>
        <v>0</v>
      </c>
    </row>
    <row r="261" spans="1:18" ht="12.75" hidden="1" outlineLevel="2">
      <c r="A261" s="19" t="s">
        <v>42</v>
      </c>
      <c r="B261" s="63">
        <f t="shared" si="145"/>
        <v>0</v>
      </c>
      <c r="C261" s="63">
        <f t="shared" si="145"/>
        <v>0</v>
      </c>
      <c r="D261" s="63">
        <f t="shared" si="145"/>
        <v>0</v>
      </c>
      <c r="E261" s="63">
        <f t="shared" si="146"/>
        <v>0</v>
      </c>
      <c r="F261" s="63">
        <f t="shared" si="147"/>
        <v>0</v>
      </c>
      <c r="G261" s="63">
        <f t="shared" si="147"/>
        <v>0</v>
      </c>
      <c r="H261" s="63">
        <f t="shared" si="147"/>
        <v>0</v>
      </c>
      <c r="I261" s="63">
        <f t="shared" si="148"/>
        <v>0</v>
      </c>
      <c r="J261" s="63">
        <f t="shared" si="149"/>
        <v>0</v>
      </c>
      <c r="K261" s="63">
        <f t="shared" si="149"/>
        <v>0</v>
      </c>
      <c r="L261" s="63">
        <f t="shared" si="149"/>
        <v>0</v>
      </c>
      <c r="M261" s="63">
        <f t="shared" si="150"/>
        <v>0</v>
      </c>
      <c r="N261" s="63">
        <f t="shared" si="151"/>
        <v>0</v>
      </c>
      <c r="O261" s="63">
        <f t="shared" si="151"/>
        <v>0</v>
      </c>
      <c r="P261" s="63">
        <f t="shared" si="151"/>
        <v>0</v>
      </c>
      <c r="Q261" s="63">
        <f t="shared" si="152"/>
        <v>0</v>
      </c>
      <c r="R261" s="21">
        <f t="shared" si="153"/>
        <v>0</v>
      </c>
    </row>
    <row r="262" spans="1:18" ht="12.75" hidden="1" outlineLevel="2">
      <c r="A262" s="19" t="s">
        <v>43</v>
      </c>
      <c r="B262" s="63">
        <f t="shared" si="145"/>
        <v>0</v>
      </c>
      <c r="C262" s="63">
        <f t="shared" si="145"/>
        <v>0</v>
      </c>
      <c r="D262" s="63">
        <f t="shared" si="145"/>
        <v>0</v>
      </c>
      <c r="E262" s="63">
        <f t="shared" si="146"/>
        <v>0</v>
      </c>
      <c r="F262" s="63">
        <f t="shared" si="147"/>
        <v>0</v>
      </c>
      <c r="G262" s="63">
        <f t="shared" si="147"/>
        <v>0</v>
      </c>
      <c r="H262" s="63">
        <f t="shared" si="147"/>
        <v>0</v>
      </c>
      <c r="I262" s="63">
        <f t="shared" si="148"/>
        <v>0</v>
      </c>
      <c r="J262" s="63">
        <f t="shared" si="149"/>
        <v>0</v>
      </c>
      <c r="K262" s="63">
        <f t="shared" si="149"/>
        <v>0</v>
      </c>
      <c r="L262" s="63">
        <f t="shared" si="149"/>
        <v>0</v>
      </c>
      <c r="M262" s="63">
        <f t="shared" si="150"/>
        <v>0</v>
      </c>
      <c r="N262" s="63">
        <f t="shared" si="151"/>
        <v>0</v>
      </c>
      <c r="O262" s="63">
        <f t="shared" si="151"/>
        <v>0</v>
      </c>
      <c r="P262" s="63">
        <f t="shared" si="151"/>
        <v>0</v>
      </c>
      <c r="Q262" s="63">
        <f t="shared" si="152"/>
        <v>0</v>
      </c>
      <c r="R262" s="21">
        <f t="shared" si="153"/>
        <v>0</v>
      </c>
    </row>
    <row r="263" spans="1:18" ht="12.75" hidden="1" outlineLevel="2">
      <c r="A263" s="19" t="s">
        <v>44</v>
      </c>
      <c r="B263" s="63">
        <f t="shared" si="145"/>
        <v>0</v>
      </c>
      <c r="C263" s="63">
        <f t="shared" si="145"/>
        <v>0</v>
      </c>
      <c r="D263" s="63">
        <f t="shared" si="145"/>
        <v>0</v>
      </c>
      <c r="E263" s="63">
        <f t="shared" si="146"/>
        <v>0</v>
      </c>
      <c r="F263" s="63">
        <f t="shared" si="147"/>
        <v>0</v>
      </c>
      <c r="G263" s="63">
        <f t="shared" si="147"/>
        <v>0</v>
      </c>
      <c r="H263" s="63">
        <f t="shared" si="147"/>
        <v>0</v>
      </c>
      <c r="I263" s="63">
        <f t="shared" si="148"/>
        <v>0</v>
      </c>
      <c r="J263" s="63">
        <f t="shared" si="149"/>
        <v>0</v>
      </c>
      <c r="K263" s="63">
        <f t="shared" si="149"/>
        <v>0</v>
      </c>
      <c r="L263" s="63">
        <f t="shared" si="149"/>
        <v>0</v>
      </c>
      <c r="M263" s="63">
        <f t="shared" si="150"/>
        <v>0</v>
      </c>
      <c r="N263" s="63">
        <f t="shared" si="151"/>
        <v>0</v>
      </c>
      <c r="O263" s="63">
        <f t="shared" si="151"/>
        <v>0</v>
      </c>
      <c r="P263" s="63">
        <f t="shared" si="151"/>
        <v>0</v>
      </c>
      <c r="Q263" s="63">
        <f t="shared" si="152"/>
        <v>0</v>
      </c>
      <c r="R263" s="21">
        <f t="shared" si="153"/>
        <v>0</v>
      </c>
    </row>
    <row r="264" spans="1:18" ht="12.75" hidden="1" outlineLevel="2">
      <c r="A264" s="19" t="s">
        <v>45</v>
      </c>
      <c r="B264" s="62">
        <f t="shared" si="145"/>
        <v>-715.83</v>
      </c>
      <c r="C264" s="62">
        <f t="shared" si="145"/>
        <v>0</v>
      </c>
      <c r="D264" s="62">
        <f t="shared" si="145"/>
        <v>0</v>
      </c>
      <c r="E264" s="35">
        <f t="shared" si="146"/>
        <v>-715.83</v>
      </c>
      <c r="F264" s="62">
        <f t="shared" si="147"/>
        <v>0</v>
      </c>
      <c r="G264" s="62">
        <f t="shared" si="147"/>
        <v>0</v>
      </c>
      <c r="H264" s="62">
        <f t="shared" si="147"/>
        <v>0</v>
      </c>
      <c r="I264" s="35">
        <f t="shared" si="148"/>
        <v>0</v>
      </c>
      <c r="J264" s="62">
        <f t="shared" si="149"/>
        <v>0</v>
      </c>
      <c r="K264" s="62">
        <f t="shared" si="149"/>
        <v>0</v>
      </c>
      <c r="L264" s="62">
        <f t="shared" si="149"/>
        <v>0</v>
      </c>
      <c r="M264" s="35">
        <f t="shared" si="150"/>
        <v>0</v>
      </c>
      <c r="N264" s="62">
        <f t="shared" si="151"/>
        <v>0</v>
      </c>
      <c r="O264" s="62">
        <f>O257+O240+O219+O198+O177+O156+O135+O114+O93+O72+O51+O30+O9</f>
        <v>13971</v>
      </c>
      <c r="P264" s="62">
        <f t="shared" si="151"/>
        <v>0</v>
      </c>
      <c r="Q264" s="35">
        <f t="shared" si="152"/>
        <v>13971</v>
      </c>
      <c r="R264" s="34">
        <f t="shared" si="153"/>
        <v>13255.17</v>
      </c>
    </row>
    <row r="265" spans="1:18" ht="12.75" hidden="1" outlineLevel="2">
      <c r="A265" s="19" t="s">
        <v>46</v>
      </c>
      <c r="B265" s="63">
        <f t="shared" si="145"/>
        <v>0</v>
      </c>
      <c r="C265" s="63">
        <f t="shared" si="145"/>
        <v>0</v>
      </c>
      <c r="D265" s="63">
        <f t="shared" si="145"/>
        <v>0</v>
      </c>
      <c r="E265" s="63">
        <f t="shared" si="146"/>
        <v>0</v>
      </c>
      <c r="F265" s="63">
        <f t="shared" si="147"/>
        <v>0</v>
      </c>
      <c r="G265" s="63">
        <f t="shared" si="147"/>
        <v>0</v>
      </c>
      <c r="H265" s="63">
        <f t="shared" si="147"/>
        <v>0</v>
      </c>
      <c r="I265" s="63">
        <f t="shared" si="148"/>
        <v>0</v>
      </c>
      <c r="J265" s="63">
        <f t="shared" si="149"/>
        <v>0</v>
      </c>
      <c r="K265" s="63">
        <f t="shared" si="149"/>
        <v>0</v>
      </c>
      <c r="L265" s="63">
        <f t="shared" si="149"/>
        <v>0</v>
      </c>
      <c r="M265" s="63">
        <f t="shared" si="150"/>
        <v>0</v>
      </c>
      <c r="N265" s="63">
        <f t="shared" si="151"/>
        <v>0</v>
      </c>
      <c r="O265" s="63">
        <f t="shared" si="151"/>
        <v>0</v>
      </c>
      <c r="P265" s="63">
        <f t="shared" si="151"/>
        <v>0</v>
      </c>
      <c r="Q265" s="63">
        <f t="shared" si="152"/>
        <v>0</v>
      </c>
      <c r="R265" s="21">
        <f t="shared" si="153"/>
        <v>0</v>
      </c>
    </row>
    <row r="266" spans="1:18" ht="12.75" hidden="1" outlineLevel="3">
      <c r="A266" s="19" t="s">
        <v>58</v>
      </c>
      <c r="B266" s="63">
        <f t="shared" si="145"/>
        <v>0</v>
      </c>
      <c r="C266" s="63">
        <f t="shared" si="145"/>
        <v>0</v>
      </c>
      <c r="D266" s="63">
        <f t="shared" si="145"/>
        <v>0</v>
      </c>
      <c r="E266" s="63">
        <f t="shared" si="146"/>
        <v>0</v>
      </c>
      <c r="F266" s="63">
        <f t="shared" si="147"/>
        <v>0</v>
      </c>
      <c r="G266" s="63">
        <f t="shared" si="147"/>
        <v>54</v>
      </c>
      <c r="H266" s="63">
        <f t="shared" si="147"/>
        <v>0</v>
      </c>
      <c r="I266" s="63">
        <f t="shared" si="148"/>
        <v>54</v>
      </c>
      <c r="J266" s="63">
        <f t="shared" si="149"/>
        <v>0</v>
      </c>
      <c r="K266" s="63">
        <f t="shared" si="149"/>
        <v>0</v>
      </c>
      <c r="L266" s="63">
        <f t="shared" si="149"/>
        <v>133.02</v>
      </c>
      <c r="M266" s="63">
        <f t="shared" si="150"/>
        <v>133.02</v>
      </c>
      <c r="N266" s="63">
        <f t="shared" si="151"/>
        <v>0</v>
      </c>
      <c r="O266" s="63">
        <f t="shared" si="151"/>
        <v>0</v>
      </c>
      <c r="P266" s="63">
        <f t="shared" si="151"/>
        <v>0</v>
      </c>
      <c r="Q266" s="63">
        <f t="shared" si="152"/>
        <v>0</v>
      </c>
      <c r="R266" s="21">
        <f t="shared" si="153"/>
        <v>187.02</v>
      </c>
    </row>
    <row r="267" spans="1:18" ht="12.75" outlineLevel="1" collapsed="1">
      <c r="A267" s="22" t="s">
        <v>47</v>
      </c>
      <c r="B267" s="63">
        <f aca="true" t="shared" si="154" ref="B267:Q267">SUM(B259:B266)</f>
        <v>-715.83</v>
      </c>
      <c r="C267" s="63">
        <f t="shared" si="154"/>
        <v>0</v>
      </c>
      <c r="D267" s="63">
        <f t="shared" si="154"/>
        <v>0</v>
      </c>
      <c r="E267" s="33">
        <f t="shared" si="154"/>
        <v>-715.83</v>
      </c>
      <c r="F267" s="33">
        <f t="shared" si="154"/>
        <v>0</v>
      </c>
      <c r="G267" s="33">
        <f t="shared" si="154"/>
        <v>54</v>
      </c>
      <c r="H267" s="33">
        <f t="shared" si="154"/>
        <v>0</v>
      </c>
      <c r="I267" s="33">
        <f t="shared" si="154"/>
        <v>54</v>
      </c>
      <c r="J267" s="33">
        <f t="shared" si="154"/>
        <v>0</v>
      </c>
      <c r="K267" s="33">
        <f t="shared" si="154"/>
        <v>0</v>
      </c>
      <c r="L267" s="33">
        <f t="shared" si="154"/>
        <v>133.02</v>
      </c>
      <c r="M267" s="33">
        <f t="shared" si="154"/>
        <v>133.02</v>
      </c>
      <c r="N267" s="33">
        <f t="shared" si="154"/>
        <v>0</v>
      </c>
      <c r="O267" s="33">
        <f t="shared" si="154"/>
        <v>13971</v>
      </c>
      <c r="P267" s="33">
        <f t="shared" si="154"/>
        <v>0</v>
      </c>
      <c r="Q267" s="33">
        <f t="shared" si="154"/>
        <v>13971</v>
      </c>
      <c r="R267" s="34">
        <f t="shared" si="153"/>
        <v>13442.19</v>
      </c>
    </row>
    <row r="268" spans="1:18" ht="12.75" hidden="1" outlineLevel="2">
      <c r="A268" s="23" t="s">
        <v>15</v>
      </c>
      <c r="B268" s="63">
        <f aca="true" t="shared" si="155" ref="B268:D275">B244+B223+B202+B181+B160+B139+B118+B97+B76+B55+B34+B13</f>
        <v>7597.3</v>
      </c>
      <c r="C268" s="63">
        <f t="shared" si="155"/>
        <v>7590.84</v>
      </c>
      <c r="D268" s="63">
        <f t="shared" si="155"/>
        <v>7588.08</v>
      </c>
      <c r="E268" s="63">
        <f aca="true" t="shared" si="156" ref="E268:E278">SUM(B268:D268)</f>
        <v>22776.22</v>
      </c>
      <c r="F268" s="63">
        <f aca="true" t="shared" si="157" ref="F268:H275">F244+F223+F202+F181+F160+F139+F118+F97+F76+F55+F34+F13</f>
        <v>7541.039999999999</v>
      </c>
      <c r="G268" s="63">
        <f t="shared" si="157"/>
        <v>7537.200000000001</v>
      </c>
      <c r="H268" s="63">
        <f t="shared" si="157"/>
        <v>7529.280000000001</v>
      </c>
      <c r="I268" s="63">
        <f aca="true" t="shared" si="158" ref="I268:I278">SUM(F268:H268)</f>
        <v>22607.52</v>
      </c>
      <c r="J268" s="63">
        <f aca="true" t="shared" si="159" ref="J268:L275">J244+J223+J202+J181+J160+J139+J118+J97+J76+J55+J34+J13</f>
        <v>7529.28</v>
      </c>
      <c r="K268" s="63">
        <f t="shared" si="159"/>
        <v>7525.08</v>
      </c>
      <c r="L268" s="63">
        <f t="shared" si="159"/>
        <v>7536.72</v>
      </c>
      <c r="M268" s="63">
        <f aca="true" t="shared" si="160" ref="M268:M278">SUM(J268:L268)</f>
        <v>22591.08</v>
      </c>
      <c r="N268" s="63">
        <f aca="true" t="shared" si="161" ref="N268:P275">N244+N223+N202+N181+N160+N139+N118+N97+N76+N55+N34+N13</f>
        <v>7545.4800000000005</v>
      </c>
      <c r="O268" s="63">
        <f t="shared" si="161"/>
        <v>7530.72</v>
      </c>
      <c r="P268" s="63">
        <f t="shared" si="161"/>
        <v>7601.880000000001</v>
      </c>
      <c r="Q268" s="63">
        <f aca="true" t="shared" si="162" ref="Q268:Q278">SUM(N268:P268)</f>
        <v>22678.08</v>
      </c>
      <c r="R268" s="21">
        <f t="shared" si="153"/>
        <v>90652.90000000001</v>
      </c>
    </row>
    <row r="269" spans="1:18" ht="12.75" hidden="1" outlineLevel="2">
      <c r="A269" s="23" t="s">
        <v>16</v>
      </c>
      <c r="B269" s="63">
        <f t="shared" si="155"/>
        <v>1320.01</v>
      </c>
      <c r="C269" s="63">
        <f t="shared" si="155"/>
        <v>1320.01</v>
      </c>
      <c r="D269" s="63">
        <f t="shared" si="155"/>
        <v>1320.01</v>
      </c>
      <c r="E269" s="63">
        <f t="shared" si="156"/>
        <v>3960.0299999999997</v>
      </c>
      <c r="F269" s="63">
        <f t="shared" si="157"/>
        <v>1320.01</v>
      </c>
      <c r="G269" s="63">
        <f t="shared" si="157"/>
        <v>1320.01</v>
      </c>
      <c r="H269" s="63">
        <f t="shared" si="157"/>
        <v>1320.01</v>
      </c>
      <c r="I269" s="63">
        <f t="shared" si="158"/>
        <v>3960.0299999999997</v>
      </c>
      <c r="J269" s="63">
        <f t="shared" si="159"/>
        <v>1320.01</v>
      </c>
      <c r="K269" s="63">
        <f t="shared" si="159"/>
        <v>1320.01</v>
      </c>
      <c r="L269" s="63">
        <f t="shared" si="159"/>
        <v>1320.01</v>
      </c>
      <c r="M269" s="63">
        <f t="shared" si="160"/>
        <v>3960.0299999999997</v>
      </c>
      <c r="N269" s="63">
        <f t="shared" si="161"/>
        <v>1320.01</v>
      </c>
      <c r="O269" s="63">
        <f t="shared" si="161"/>
        <v>1320.01</v>
      </c>
      <c r="P269" s="63">
        <f t="shared" si="161"/>
        <v>1320</v>
      </c>
      <c r="Q269" s="63">
        <f t="shared" si="162"/>
        <v>3960.02</v>
      </c>
      <c r="R269" s="21">
        <f t="shared" si="153"/>
        <v>15840.109999999997</v>
      </c>
    </row>
    <row r="270" spans="1:18" ht="12.75" hidden="1" outlineLevel="2">
      <c r="A270" s="23" t="s">
        <v>17</v>
      </c>
      <c r="B270" s="63">
        <f t="shared" si="155"/>
        <v>1248.65</v>
      </c>
      <c r="C270" s="63">
        <f t="shared" si="155"/>
        <v>1569.5700000000002</v>
      </c>
      <c r="D270" s="63">
        <f t="shared" si="155"/>
        <v>887.05</v>
      </c>
      <c r="E270" s="63">
        <f t="shared" si="156"/>
        <v>3705.2700000000004</v>
      </c>
      <c r="F270" s="63">
        <f t="shared" si="157"/>
        <v>642.97</v>
      </c>
      <c r="G270" s="63">
        <f t="shared" si="157"/>
        <v>506.24</v>
      </c>
      <c r="H270" s="63">
        <f t="shared" si="157"/>
        <v>991.01</v>
      </c>
      <c r="I270" s="63">
        <f t="shared" si="158"/>
        <v>2140.2200000000003</v>
      </c>
      <c r="J270" s="63">
        <f t="shared" si="159"/>
        <v>1040.73</v>
      </c>
      <c r="K270" s="63">
        <f t="shared" si="159"/>
        <v>1520.98</v>
      </c>
      <c r="L270" s="63">
        <f t="shared" si="159"/>
        <v>1710.82</v>
      </c>
      <c r="M270" s="63">
        <f t="shared" si="160"/>
        <v>4272.53</v>
      </c>
      <c r="N270" s="63">
        <f t="shared" si="161"/>
        <v>1397.81</v>
      </c>
      <c r="O270" s="63">
        <f t="shared" si="161"/>
        <v>923.21</v>
      </c>
      <c r="P270" s="63">
        <f t="shared" si="161"/>
        <v>1680.31</v>
      </c>
      <c r="Q270" s="63">
        <f t="shared" si="162"/>
        <v>4001.33</v>
      </c>
      <c r="R270" s="21">
        <f t="shared" si="153"/>
        <v>14119.350000000002</v>
      </c>
    </row>
    <row r="271" spans="1:18" ht="12.75" hidden="1" outlineLevel="2">
      <c r="A271" s="25" t="s">
        <v>18</v>
      </c>
      <c r="B271" s="63">
        <f t="shared" si="155"/>
        <v>461.26</v>
      </c>
      <c r="C271" s="63">
        <f t="shared" si="155"/>
        <v>401.59000000000003</v>
      </c>
      <c r="D271" s="63">
        <f t="shared" si="155"/>
        <v>1562.12</v>
      </c>
      <c r="E271" s="63">
        <f t="shared" si="156"/>
        <v>2424.97</v>
      </c>
      <c r="F271" s="63">
        <f t="shared" si="157"/>
        <v>0</v>
      </c>
      <c r="G271" s="63">
        <f t="shared" si="157"/>
        <v>1210.8200000000002</v>
      </c>
      <c r="H271" s="63">
        <f t="shared" si="157"/>
        <v>840.16</v>
      </c>
      <c r="I271" s="63">
        <f t="shared" si="158"/>
        <v>2050.98</v>
      </c>
      <c r="J271" s="63">
        <f t="shared" si="159"/>
        <v>0</v>
      </c>
      <c r="K271" s="63">
        <f t="shared" si="159"/>
        <v>0</v>
      </c>
      <c r="L271" s="63">
        <f t="shared" si="159"/>
        <v>420.46000000000004</v>
      </c>
      <c r="M271" s="63">
        <f t="shared" si="160"/>
        <v>420.46000000000004</v>
      </c>
      <c r="N271" s="63">
        <f t="shared" si="161"/>
        <v>0</v>
      </c>
      <c r="O271" s="63">
        <f t="shared" si="161"/>
        <v>0</v>
      </c>
      <c r="P271" s="63">
        <f t="shared" si="161"/>
        <v>1248.18</v>
      </c>
      <c r="Q271" s="63">
        <f t="shared" si="162"/>
        <v>1248.18</v>
      </c>
      <c r="R271" s="21">
        <f t="shared" si="153"/>
        <v>6144.59</v>
      </c>
    </row>
    <row r="272" spans="1:18" ht="12.75" hidden="1" outlineLevel="2">
      <c r="A272" s="23" t="s">
        <v>19</v>
      </c>
      <c r="B272" s="63">
        <f t="shared" si="155"/>
        <v>71.61</v>
      </c>
      <c r="C272" s="63">
        <f t="shared" si="155"/>
        <v>367.35</v>
      </c>
      <c r="D272" s="63">
        <f t="shared" si="155"/>
        <v>454.77</v>
      </c>
      <c r="E272" s="63">
        <f t="shared" si="156"/>
        <v>893.73</v>
      </c>
      <c r="F272" s="63">
        <f t="shared" si="157"/>
        <v>104.16</v>
      </c>
      <c r="G272" s="63">
        <f t="shared" si="157"/>
        <v>76.26</v>
      </c>
      <c r="H272" s="63">
        <f t="shared" si="157"/>
        <v>76.26</v>
      </c>
      <c r="I272" s="63">
        <f t="shared" si="158"/>
        <v>256.68</v>
      </c>
      <c r="J272" s="63">
        <f t="shared" si="159"/>
        <v>58.589999999999996</v>
      </c>
      <c r="K272" s="63">
        <f t="shared" si="159"/>
        <v>83.7</v>
      </c>
      <c r="L272" s="63">
        <f t="shared" si="159"/>
        <v>79.98</v>
      </c>
      <c r="M272" s="63">
        <f t="shared" si="160"/>
        <v>222.26999999999998</v>
      </c>
      <c r="N272" s="63">
        <f t="shared" si="161"/>
        <v>83.7</v>
      </c>
      <c r="O272" s="63">
        <f t="shared" si="161"/>
        <v>69.75</v>
      </c>
      <c r="P272" s="63">
        <f t="shared" si="161"/>
        <v>43.71</v>
      </c>
      <c r="Q272" s="63">
        <f t="shared" si="162"/>
        <v>197.16</v>
      </c>
      <c r="R272" s="21">
        <f t="shared" si="153"/>
        <v>1569.84</v>
      </c>
    </row>
    <row r="273" spans="1:18" ht="12.75" hidden="1" outlineLevel="2">
      <c r="A273" s="23" t="s">
        <v>20</v>
      </c>
      <c r="B273" s="63">
        <f t="shared" si="155"/>
        <v>731.3399999999999</v>
      </c>
      <c r="C273" s="63">
        <f t="shared" si="155"/>
        <v>1861.3400000000001</v>
      </c>
      <c r="D273" s="63">
        <f t="shared" si="155"/>
        <v>1922.4</v>
      </c>
      <c r="E273" s="63">
        <f t="shared" si="156"/>
        <v>4515.08</v>
      </c>
      <c r="F273" s="63">
        <f t="shared" si="157"/>
        <v>633.02</v>
      </c>
      <c r="G273" s="63">
        <f t="shared" si="157"/>
        <v>377.45</v>
      </c>
      <c r="H273" s="63">
        <f t="shared" si="157"/>
        <v>640.26</v>
      </c>
      <c r="I273" s="63">
        <f t="shared" si="158"/>
        <v>1650.73</v>
      </c>
      <c r="J273" s="63">
        <f t="shared" si="159"/>
        <v>599.92</v>
      </c>
      <c r="K273" s="63">
        <f t="shared" si="159"/>
        <v>1023.5</v>
      </c>
      <c r="L273" s="63">
        <f t="shared" si="159"/>
        <v>921.54</v>
      </c>
      <c r="M273" s="63">
        <f t="shared" si="160"/>
        <v>2544.96</v>
      </c>
      <c r="N273" s="63">
        <f t="shared" si="161"/>
        <v>963.4000000000001</v>
      </c>
      <c r="O273" s="63">
        <f t="shared" si="161"/>
        <v>581.25</v>
      </c>
      <c r="P273" s="63">
        <f t="shared" si="161"/>
        <v>567.62</v>
      </c>
      <c r="Q273" s="63">
        <f t="shared" si="162"/>
        <v>2112.27</v>
      </c>
      <c r="R273" s="21">
        <f t="shared" si="153"/>
        <v>10823.039999999999</v>
      </c>
    </row>
    <row r="274" spans="1:18" ht="12.75" hidden="1" outlineLevel="2">
      <c r="A274" s="23" t="s">
        <v>21</v>
      </c>
      <c r="B274" s="63">
        <f t="shared" si="155"/>
        <v>1110</v>
      </c>
      <c r="C274" s="63">
        <f t="shared" si="155"/>
        <v>1110</v>
      </c>
      <c r="D274" s="63">
        <f t="shared" si="155"/>
        <v>1110</v>
      </c>
      <c r="E274" s="63">
        <f t="shared" si="156"/>
        <v>3330</v>
      </c>
      <c r="F274" s="63">
        <f t="shared" si="157"/>
        <v>1110</v>
      </c>
      <c r="G274" s="63">
        <f t="shared" si="157"/>
        <v>1110</v>
      </c>
      <c r="H274" s="63">
        <f t="shared" si="157"/>
        <v>1110</v>
      </c>
      <c r="I274" s="63">
        <f t="shared" si="158"/>
        <v>3330</v>
      </c>
      <c r="J274" s="63">
        <f t="shared" si="159"/>
        <v>1110</v>
      </c>
      <c r="K274" s="63">
        <f t="shared" si="159"/>
        <v>1110</v>
      </c>
      <c r="L274" s="63">
        <f t="shared" si="159"/>
        <v>1110</v>
      </c>
      <c r="M274" s="63">
        <f t="shared" si="160"/>
        <v>3330</v>
      </c>
      <c r="N274" s="63">
        <f t="shared" si="161"/>
        <v>1110</v>
      </c>
      <c r="O274" s="63">
        <f t="shared" si="161"/>
        <v>1110</v>
      </c>
      <c r="P274" s="63">
        <f t="shared" si="161"/>
        <v>1110</v>
      </c>
      <c r="Q274" s="63">
        <f t="shared" si="162"/>
        <v>3330</v>
      </c>
      <c r="R274" s="21">
        <f t="shared" si="153"/>
        <v>13320</v>
      </c>
    </row>
    <row r="275" spans="1:18" ht="12.75" hidden="1" outlineLevel="2">
      <c r="A275" s="23" t="s">
        <v>22</v>
      </c>
      <c r="B275" s="63">
        <f t="shared" si="155"/>
        <v>230.04</v>
      </c>
      <c r="C275" s="63">
        <f t="shared" si="155"/>
        <v>187.44</v>
      </c>
      <c r="D275" s="63">
        <f t="shared" si="155"/>
        <v>276.90000000000003</v>
      </c>
      <c r="E275" s="63">
        <f t="shared" si="156"/>
        <v>694.3800000000001</v>
      </c>
      <c r="F275" s="63">
        <f t="shared" si="157"/>
        <v>391.91999999999996</v>
      </c>
      <c r="G275" s="63">
        <f t="shared" si="157"/>
        <v>149.1</v>
      </c>
      <c r="H275" s="63">
        <f t="shared" si="157"/>
        <v>178.92000000000002</v>
      </c>
      <c r="I275" s="63">
        <f t="shared" si="158"/>
        <v>719.94</v>
      </c>
      <c r="J275" s="63">
        <f t="shared" si="159"/>
        <v>238.56</v>
      </c>
      <c r="K275" s="63">
        <f t="shared" si="159"/>
        <v>230.04</v>
      </c>
      <c r="L275" s="63">
        <f t="shared" si="159"/>
        <v>200.22</v>
      </c>
      <c r="M275" s="63">
        <f t="shared" si="160"/>
        <v>668.82</v>
      </c>
      <c r="N275" s="63">
        <f t="shared" si="161"/>
        <v>310.98</v>
      </c>
      <c r="O275" s="63">
        <f t="shared" si="161"/>
        <v>187.44</v>
      </c>
      <c r="P275" s="63">
        <f t="shared" si="161"/>
        <v>281.15999999999997</v>
      </c>
      <c r="Q275" s="63">
        <f t="shared" si="162"/>
        <v>779.5799999999999</v>
      </c>
      <c r="R275" s="21">
        <f t="shared" si="153"/>
        <v>2862.7200000000003</v>
      </c>
    </row>
    <row r="276" spans="1:18" ht="12.75" hidden="1" outlineLevel="3">
      <c r="A276" s="23" t="s">
        <v>61</v>
      </c>
      <c r="B276" s="62"/>
      <c r="C276" s="62"/>
      <c r="D276" s="62"/>
      <c r="E276" s="35">
        <f t="shared" si="156"/>
        <v>0</v>
      </c>
      <c r="F276" s="38"/>
      <c r="G276" s="38"/>
      <c r="H276" s="38"/>
      <c r="I276" s="35">
        <f t="shared" si="158"/>
        <v>0</v>
      </c>
      <c r="J276" s="38"/>
      <c r="K276" s="38"/>
      <c r="L276" s="38"/>
      <c r="M276" s="35">
        <f t="shared" si="160"/>
        <v>0</v>
      </c>
      <c r="N276" s="38"/>
      <c r="O276" s="38"/>
      <c r="P276" s="38"/>
      <c r="Q276" s="35">
        <f t="shared" si="162"/>
        <v>0</v>
      </c>
      <c r="R276" s="72">
        <f t="shared" si="153"/>
        <v>0</v>
      </c>
    </row>
    <row r="277" spans="1:18" ht="12.75" outlineLevel="1" collapsed="1">
      <c r="A277" s="28" t="s">
        <v>50</v>
      </c>
      <c r="B277" s="43">
        <f>SUM(B268:B275)</f>
        <v>12770.210000000001</v>
      </c>
      <c r="C277" s="43">
        <f>SUM(C268:C275)</f>
        <v>14408.140000000001</v>
      </c>
      <c r="D277" s="43">
        <f>SUM(D268:D275)</f>
        <v>15121.329999999998</v>
      </c>
      <c r="E277" s="43">
        <f t="shared" si="156"/>
        <v>42299.68</v>
      </c>
      <c r="F277" s="43">
        <f>SUM(F268:F275)</f>
        <v>11743.119999999999</v>
      </c>
      <c r="G277" s="43">
        <f>SUM(G268:G275)</f>
        <v>12287.080000000002</v>
      </c>
      <c r="H277" s="43">
        <f>SUM(H268:H275)</f>
        <v>12685.900000000001</v>
      </c>
      <c r="I277" s="43">
        <f t="shared" si="158"/>
        <v>36716.100000000006</v>
      </c>
      <c r="J277" s="43">
        <f>SUM(J268:J275)</f>
        <v>11897.089999999998</v>
      </c>
      <c r="K277" s="43">
        <f>SUM(K268:K275)</f>
        <v>12813.310000000001</v>
      </c>
      <c r="L277" s="43">
        <f>SUM(L268:L275)</f>
        <v>13299.749999999998</v>
      </c>
      <c r="M277" s="43">
        <f t="shared" si="160"/>
        <v>38010.15</v>
      </c>
      <c r="N277" s="43">
        <f>SUM(N268:N275)</f>
        <v>12731.38</v>
      </c>
      <c r="O277" s="43">
        <f>SUM(O268:O275)</f>
        <v>11722.38</v>
      </c>
      <c r="P277" s="43">
        <f>SUM(P268:P275)</f>
        <v>13852.86</v>
      </c>
      <c r="Q277" s="43">
        <f t="shared" si="162"/>
        <v>38306.619999999995</v>
      </c>
      <c r="R277" s="44">
        <f t="shared" si="153"/>
        <v>155332.55</v>
      </c>
    </row>
    <row r="278" spans="1:21" ht="13.5" thickBot="1">
      <c r="A278" s="30" t="s">
        <v>48</v>
      </c>
      <c r="B278" s="49">
        <f>B277+B267</f>
        <v>12054.380000000001</v>
      </c>
      <c r="C278" s="49">
        <f>C277+C267</f>
        <v>14408.140000000001</v>
      </c>
      <c r="D278" s="49">
        <f>D277+D267</f>
        <v>15121.329999999998</v>
      </c>
      <c r="E278" s="49">
        <f t="shared" si="156"/>
        <v>41583.850000000006</v>
      </c>
      <c r="F278" s="49">
        <f>F277+F267</f>
        <v>11743.119999999999</v>
      </c>
      <c r="G278" s="49">
        <f>G277+G267</f>
        <v>12341.080000000002</v>
      </c>
      <c r="H278" s="49">
        <f>H277+H267</f>
        <v>12685.900000000001</v>
      </c>
      <c r="I278" s="49">
        <f t="shared" si="158"/>
        <v>36770.100000000006</v>
      </c>
      <c r="J278" s="49">
        <f>J277+J267</f>
        <v>11897.089999999998</v>
      </c>
      <c r="K278" s="49">
        <f>K277+K267</f>
        <v>12813.310000000001</v>
      </c>
      <c r="L278" s="49">
        <f>L277+L267</f>
        <v>13432.769999999999</v>
      </c>
      <c r="M278" s="49">
        <f t="shared" si="160"/>
        <v>38143.17</v>
      </c>
      <c r="N278" s="49">
        <f>N277+N267</f>
        <v>12731.38</v>
      </c>
      <c r="O278" s="49">
        <f>O277+O267</f>
        <v>25693.379999999997</v>
      </c>
      <c r="P278" s="49">
        <f>P277+P267</f>
        <v>13852.86</v>
      </c>
      <c r="Q278" s="49">
        <f t="shared" si="162"/>
        <v>52277.619999999995</v>
      </c>
      <c r="R278" s="44">
        <f t="shared" si="153"/>
        <v>168774.74</v>
      </c>
      <c r="S278" s="65">
        <f>((B268/0.12)+(C268/0.12)+(D268/0.12)+(F268/0.12)+(G268/0.12)+(H268/0.12)+(J268/0.12)+(K268/0.12)+(L268/0.12)+(N268/0.12)+(O268/0.12)+(P268/0.12))/12</f>
        <v>62953.40277777778</v>
      </c>
      <c r="T278" s="54">
        <f>R278/S278</f>
        <v>2.6809470585055744</v>
      </c>
      <c r="U278" s="66">
        <f>R270/R278</f>
        <v>0.08365795734598674</v>
      </c>
    </row>
  </sheetData>
  <printOptions/>
  <pageMargins left="0.75" right="0.62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78"/>
  <sheetViews>
    <sheetView workbookViewId="0" topLeftCell="A1">
      <pane xSplit="1" ySplit="2" topLeftCell="E6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233" sqref="T233"/>
    </sheetView>
  </sheetViews>
  <sheetFormatPr defaultColWidth="9.140625" defaultRowHeight="12.75" outlineLevelRow="3" outlineLevelCol="2"/>
  <cols>
    <col min="1" max="1" width="19.28125" style="0" customWidth="1"/>
    <col min="2" max="4" width="8.7109375" style="0" hidden="1" customWidth="1" outlineLevel="2"/>
    <col min="5" max="5" width="8.7109375" style="0" customWidth="1" outlineLevel="1" collapsed="1"/>
    <col min="6" max="7" width="8.7109375" style="0" hidden="1" customWidth="1" outlineLevel="2"/>
    <col min="8" max="8" width="9.7109375" style="0" hidden="1" customWidth="1" outlineLevel="2"/>
    <col min="9" max="9" width="9.7109375" style="0" customWidth="1" outlineLevel="1" collapsed="1"/>
    <col min="10" max="10" width="8.7109375" style="0" hidden="1" customWidth="1" outlineLevel="2"/>
    <col min="11" max="11" width="9.28125" style="0" hidden="1" customWidth="1" outlineLevel="2"/>
    <col min="12" max="12" width="8.7109375" style="0" hidden="1" customWidth="1" outlineLevel="2"/>
    <col min="13" max="13" width="9.140625" style="0" customWidth="1" outlineLevel="1" collapsed="1"/>
    <col min="14" max="16" width="8.7109375" style="0" hidden="1" customWidth="1" outlineLevel="2"/>
    <col min="17" max="17" width="8.7109375" style="0" customWidth="1" outlineLevel="1" collapsed="1"/>
    <col min="18" max="18" width="11.421875" style="0" customWidth="1"/>
    <col min="19" max="19" width="10.57421875" style="0" customWidth="1"/>
    <col min="20" max="20" width="9.8515625" style="0" customWidth="1"/>
    <col min="21" max="21" width="8.421875" style="0" customWidth="1"/>
    <col min="22" max="22" width="10.421875" style="0" customWidth="1"/>
  </cols>
  <sheetData>
    <row r="1" ht="18.75" thickBot="1">
      <c r="A1" s="1" t="s">
        <v>0</v>
      </c>
    </row>
    <row r="2" spans="1:22" ht="64.5" thickBot="1">
      <c r="A2" s="15" t="s">
        <v>63</v>
      </c>
      <c r="B2" s="9" t="s">
        <v>5</v>
      </c>
      <c r="C2" s="6" t="s">
        <v>6</v>
      </c>
      <c r="D2" s="10" t="s">
        <v>7</v>
      </c>
      <c r="E2" s="7" t="s">
        <v>23</v>
      </c>
      <c r="F2" s="9" t="s">
        <v>2</v>
      </c>
      <c r="G2" s="10" t="s">
        <v>3</v>
      </c>
      <c r="H2" s="10" t="s">
        <v>8</v>
      </c>
      <c r="I2" s="7" t="s">
        <v>24</v>
      </c>
      <c r="J2" s="9" t="s">
        <v>9</v>
      </c>
      <c r="K2" s="6" t="s">
        <v>10</v>
      </c>
      <c r="L2" s="10" t="s">
        <v>11</v>
      </c>
      <c r="M2" s="7" t="s">
        <v>25</v>
      </c>
      <c r="N2" s="9" t="s">
        <v>12</v>
      </c>
      <c r="O2" s="6" t="s">
        <v>13</v>
      </c>
      <c r="P2" s="10" t="s">
        <v>14</v>
      </c>
      <c r="Q2" s="7" t="s">
        <v>26</v>
      </c>
      <c r="R2" s="8" t="s">
        <v>4</v>
      </c>
      <c r="S2" s="55" t="s">
        <v>53</v>
      </c>
      <c r="T2" s="55" t="s">
        <v>52</v>
      </c>
      <c r="U2" s="57" t="s">
        <v>54</v>
      </c>
      <c r="V2" s="58" t="s">
        <v>55</v>
      </c>
    </row>
    <row r="3" spans="1:18" ht="12.75" outlineLevel="1">
      <c r="A3" s="16" t="s">
        <v>1</v>
      </c>
      <c r="B3" s="17"/>
      <c r="C3" s="17"/>
      <c r="D3" s="17"/>
      <c r="E3" s="61"/>
      <c r="F3" s="17"/>
      <c r="G3" s="17"/>
      <c r="H3" s="17"/>
      <c r="I3" s="61"/>
      <c r="J3" s="17"/>
      <c r="K3" s="17"/>
      <c r="L3" s="17"/>
      <c r="M3" s="61"/>
      <c r="N3" s="17"/>
      <c r="O3" s="17"/>
      <c r="P3" s="17"/>
      <c r="Q3" s="61"/>
      <c r="R3" s="18"/>
    </row>
    <row r="4" spans="1:18" ht="12.75" hidden="1" outlineLevel="3">
      <c r="A4" s="19" t="s">
        <v>40</v>
      </c>
      <c r="B4" s="62"/>
      <c r="C4" s="62"/>
      <c r="D4" s="62"/>
      <c r="E4" s="35">
        <f aca="true" t="shared" si="0" ref="E4:E11">SUM(B4:D4)</f>
        <v>0</v>
      </c>
      <c r="F4" s="52"/>
      <c r="G4" s="52"/>
      <c r="H4" s="52"/>
      <c r="I4" s="35">
        <f aca="true" t="shared" si="1" ref="I4:I11">SUM(F4:H4)</f>
        <v>0</v>
      </c>
      <c r="J4" s="20"/>
      <c r="K4" s="20"/>
      <c r="L4" s="20"/>
      <c r="M4" s="35">
        <f aca="true" t="shared" si="2" ref="M4:M11">SUM(J4:L4)</f>
        <v>0</v>
      </c>
      <c r="N4" s="51"/>
      <c r="O4" s="51"/>
      <c r="P4" s="51"/>
      <c r="Q4" s="35">
        <f aca="true" t="shared" si="3" ref="Q4:Q11">SUM(N4:P4)</f>
        <v>0</v>
      </c>
      <c r="R4" s="34">
        <f aca="true" t="shared" si="4" ref="R4:R22">Q4+M4+I4+E4</f>
        <v>0</v>
      </c>
    </row>
    <row r="5" spans="1:18" ht="12.75" hidden="1" outlineLevel="3">
      <c r="A5" s="19" t="s">
        <v>41</v>
      </c>
      <c r="B5" s="62"/>
      <c r="C5" s="62"/>
      <c r="D5" s="62"/>
      <c r="E5" s="35">
        <f t="shared" si="0"/>
        <v>0</v>
      </c>
      <c r="F5" s="52"/>
      <c r="G5" s="52"/>
      <c r="H5" s="52"/>
      <c r="I5" s="35">
        <f t="shared" si="1"/>
        <v>0</v>
      </c>
      <c r="J5" s="20"/>
      <c r="K5" s="20"/>
      <c r="L5" s="20"/>
      <c r="M5" s="35">
        <f t="shared" si="2"/>
        <v>0</v>
      </c>
      <c r="N5" s="51"/>
      <c r="O5" s="51"/>
      <c r="P5" s="51"/>
      <c r="Q5" s="35">
        <f t="shared" si="3"/>
        <v>0</v>
      </c>
      <c r="R5" s="34">
        <f t="shared" si="4"/>
        <v>0</v>
      </c>
    </row>
    <row r="6" spans="1:18" ht="12.75" hidden="1" outlineLevel="3">
      <c r="A6" s="19" t="s">
        <v>42</v>
      </c>
      <c r="B6" s="62"/>
      <c r="C6" s="62"/>
      <c r="D6" s="62"/>
      <c r="E6" s="35">
        <f t="shared" si="0"/>
        <v>0</v>
      </c>
      <c r="F6" s="52"/>
      <c r="G6" s="52"/>
      <c r="H6" s="52"/>
      <c r="I6" s="35">
        <f t="shared" si="1"/>
        <v>0</v>
      </c>
      <c r="J6" s="20"/>
      <c r="K6" s="20"/>
      <c r="L6" s="20"/>
      <c r="M6" s="35">
        <f t="shared" si="2"/>
        <v>0</v>
      </c>
      <c r="N6" s="51"/>
      <c r="O6" s="51"/>
      <c r="P6" s="51"/>
      <c r="Q6" s="35">
        <f t="shared" si="3"/>
        <v>0</v>
      </c>
      <c r="R6" s="34">
        <f t="shared" si="4"/>
        <v>0</v>
      </c>
    </row>
    <row r="7" spans="1:18" ht="12.75" hidden="1" outlineLevel="3">
      <c r="A7" s="19" t="s">
        <v>43</v>
      </c>
      <c r="B7" s="62"/>
      <c r="C7" s="62"/>
      <c r="D7" s="62"/>
      <c r="E7" s="35">
        <f t="shared" si="0"/>
        <v>0</v>
      </c>
      <c r="F7" s="52"/>
      <c r="G7" s="52"/>
      <c r="H7" s="52"/>
      <c r="I7" s="35">
        <f t="shared" si="1"/>
        <v>0</v>
      </c>
      <c r="J7" s="20"/>
      <c r="K7" s="20"/>
      <c r="L7" s="20"/>
      <c r="M7" s="35">
        <f t="shared" si="2"/>
        <v>0</v>
      </c>
      <c r="N7" s="51"/>
      <c r="O7" s="51"/>
      <c r="P7" s="51"/>
      <c r="Q7" s="35">
        <f t="shared" si="3"/>
        <v>0</v>
      </c>
      <c r="R7" s="34">
        <f t="shared" si="4"/>
        <v>0</v>
      </c>
    </row>
    <row r="8" spans="1:18" ht="12.75" hidden="1" outlineLevel="3">
      <c r="A8" s="19" t="s">
        <v>44</v>
      </c>
      <c r="B8" s="62"/>
      <c r="C8" s="62"/>
      <c r="D8" s="62"/>
      <c r="E8" s="35">
        <f t="shared" si="0"/>
        <v>0</v>
      </c>
      <c r="F8" s="52"/>
      <c r="G8" s="52"/>
      <c r="H8" s="52"/>
      <c r="I8" s="35">
        <f t="shared" si="1"/>
        <v>0</v>
      </c>
      <c r="J8" s="20"/>
      <c r="K8" s="20"/>
      <c r="L8" s="20"/>
      <c r="M8" s="35">
        <f t="shared" si="2"/>
        <v>0</v>
      </c>
      <c r="N8" s="51"/>
      <c r="O8" s="51"/>
      <c r="P8" s="51"/>
      <c r="Q8" s="35">
        <f t="shared" si="3"/>
        <v>0</v>
      </c>
      <c r="R8" s="34">
        <f t="shared" si="4"/>
        <v>0</v>
      </c>
    </row>
    <row r="9" spans="1:18" ht="12.75" hidden="1" outlineLevel="3">
      <c r="A9" s="19" t="s">
        <v>45</v>
      </c>
      <c r="B9" s="62">
        <v>18286.94</v>
      </c>
      <c r="C9" s="62"/>
      <c r="D9" s="62"/>
      <c r="E9" s="35">
        <f t="shared" si="0"/>
        <v>18286.94</v>
      </c>
      <c r="F9" s="62"/>
      <c r="G9" s="62"/>
      <c r="H9" s="62"/>
      <c r="I9" s="35">
        <f t="shared" si="1"/>
        <v>0</v>
      </c>
      <c r="J9" s="62"/>
      <c r="K9" s="62"/>
      <c r="L9" s="62"/>
      <c r="M9" s="35">
        <f t="shared" si="2"/>
        <v>0</v>
      </c>
      <c r="N9" s="62"/>
      <c r="O9" s="62"/>
      <c r="P9" s="62"/>
      <c r="Q9" s="35">
        <f t="shared" si="3"/>
        <v>0</v>
      </c>
      <c r="R9" s="34">
        <f t="shared" si="4"/>
        <v>18286.94</v>
      </c>
    </row>
    <row r="10" spans="1:18" ht="12.75" hidden="1" outlineLevel="3">
      <c r="A10" s="19" t="s">
        <v>46</v>
      </c>
      <c r="B10" s="62"/>
      <c r="C10" s="62"/>
      <c r="D10" s="62"/>
      <c r="E10" s="35">
        <f t="shared" si="0"/>
        <v>0</v>
      </c>
      <c r="F10" s="52"/>
      <c r="G10" s="52"/>
      <c r="H10" s="52"/>
      <c r="I10" s="35">
        <f t="shared" si="1"/>
        <v>0</v>
      </c>
      <c r="J10" s="20"/>
      <c r="K10" s="20"/>
      <c r="L10" s="20"/>
      <c r="M10" s="35">
        <f t="shared" si="2"/>
        <v>0</v>
      </c>
      <c r="N10" s="51"/>
      <c r="O10" s="51"/>
      <c r="P10" s="51"/>
      <c r="Q10" s="35">
        <f t="shared" si="3"/>
        <v>0</v>
      </c>
      <c r="R10" s="34">
        <f t="shared" si="4"/>
        <v>0</v>
      </c>
    </row>
    <row r="11" spans="1:18" ht="12.75" hidden="1" outlineLevel="3">
      <c r="A11" s="19" t="s">
        <v>58</v>
      </c>
      <c r="B11" s="62">
        <v>2115</v>
      </c>
      <c r="C11" s="62"/>
      <c r="D11" s="62"/>
      <c r="E11" s="35">
        <f t="shared" si="0"/>
        <v>2115</v>
      </c>
      <c r="F11" s="52"/>
      <c r="G11" s="52"/>
      <c r="H11" s="52"/>
      <c r="I11" s="35">
        <f t="shared" si="1"/>
        <v>0</v>
      </c>
      <c r="J11" s="20">
        <v>799.4</v>
      </c>
      <c r="K11" s="20"/>
      <c r="L11" s="20"/>
      <c r="M11" s="35">
        <f t="shared" si="2"/>
        <v>799.4</v>
      </c>
      <c r="N11" s="51"/>
      <c r="O11" s="52">
        <v>3955.74</v>
      </c>
      <c r="P11" s="52">
        <v>541.14</v>
      </c>
      <c r="Q11" s="35">
        <f t="shared" si="3"/>
        <v>4496.88</v>
      </c>
      <c r="R11" s="34">
        <f t="shared" si="4"/>
        <v>7411.28</v>
      </c>
    </row>
    <row r="12" spans="1:18" s="70" customFormat="1" ht="12.75" hidden="1" outlineLevel="2">
      <c r="A12" s="22" t="s">
        <v>47</v>
      </c>
      <c r="B12" s="33">
        <f aca="true" t="shared" si="5" ref="B12:Q12">SUM(B4:B11)</f>
        <v>20401.94</v>
      </c>
      <c r="C12" s="33">
        <f t="shared" si="5"/>
        <v>0</v>
      </c>
      <c r="D12" s="33">
        <f t="shared" si="5"/>
        <v>0</v>
      </c>
      <c r="E12" s="33">
        <f t="shared" si="5"/>
        <v>20401.94</v>
      </c>
      <c r="F12" s="33">
        <f t="shared" si="5"/>
        <v>0</v>
      </c>
      <c r="G12" s="33">
        <f t="shared" si="5"/>
        <v>0</v>
      </c>
      <c r="H12" s="33">
        <f t="shared" si="5"/>
        <v>0</v>
      </c>
      <c r="I12" s="33">
        <f t="shared" si="5"/>
        <v>0</v>
      </c>
      <c r="J12" s="33">
        <f t="shared" si="5"/>
        <v>799.4</v>
      </c>
      <c r="K12" s="33">
        <f t="shared" si="5"/>
        <v>0</v>
      </c>
      <c r="L12" s="33">
        <f t="shared" si="5"/>
        <v>0</v>
      </c>
      <c r="M12" s="33">
        <f t="shared" si="5"/>
        <v>799.4</v>
      </c>
      <c r="N12" s="33">
        <f t="shared" si="5"/>
        <v>0</v>
      </c>
      <c r="O12" s="33">
        <f t="shared" si="5"/>
        <v>3955.74</v>
      </c>
      <c r="P12" s="33">
        <f t="shared" si="5"/>
        <v>541.14</v>
      </c>
      <c r="Q12" s="33">
        <f t="shared" si="5"/>
        <v>4496.88</v>
      </c>
      <c r="R12" s="34">
        <f t="shared" si="4"/>
        <v>25698.219999999998</v>
      </c>
    </row>
    <row r="13" spans="1:18" ht="12.75" hidden="1" outlineLevel="3">
      <c r="A13" s="23" t="s">
        <v>15</v>
      </c>
      <c r="B13" s="62">
        <v>5911.44</v>
      </c>
      <c r="C13" s="62">
        <v>5911.2</v>
      </c>
      <c r="D13" s="62">
        <v>5904.48</v>
      </c>
      <c r="E13" s="35">
        <f aca="true" t="shared" si="6" ref="E13:E21">SUM(B13:D13)</f>
        <v>17727.12</v>
      </c>
      <c r="F13" s="38">
        <v>5872.56</v>
      </c>
      <c r="G13" s="38">
        <v>5878.56</v>
      </c>
      <c r="H13" s="38">
        <v>5889.12</v>
      </c>
      <c r="I13" s="35">
        <f aca="true" t="shared" si="7" ref="I13:I21">SUM(F13:H13)</f>
        <v>17640.24</v>
      </c>
      <c r="J13" s="38">
        <v>5895.72</v>
      </c>
      <c r="K13" s="38">
        <v>5902.44</v>
      </c>
      <c r="L13" s="38">
        <v>5911.08</v>
      </c>
      <c r="M13" s="35">
        <f aca="true" t="shared" si="8" ref="M13:M21">SUM(J13:L13)</f>
        <v>17709.239999999998</v>
      </c>
      <c r="N13" s="38">
        <v>5938.92</v>
      </c>
      <c r="O13" s="38">
        <v>5964.96</v>
      </c>
      <c r="P13" s="38">
        <v>6009.48</v>
      </c>
      <c r="Q13" s="35">
        <f aca="true" t="shared" si="9" ref="Q13:Q21">SUM(N13:P13)</f>
        <v>17913.36</v>
      </c>
      <c r="R13" s="72">
        <f t="shared" si="4"/>
        <v>70989.95999999999</v>
      </c>
    </row>
    <row r="14" spans="1:18" ht="12.75" hidden="1" outlineLevel="3">
      <c r="A14" s="23" t="s">
        <v>16</v>
      </c>
      <c r="B14" s="62">
        <v>990</v>
      </c>
      <c r="C14" s="62">
        <v>990</v>
      </c>
      <c r="D14" s="62">
        <v>990</v>
      </c>
      <c r="E14" s="35">
        <f t="shared" si="6"/>
        <v>2970</v>
      </c>
      <c r="F14" s="38">
        <v>990</v>
      </c>
      <c r="G14" s="38">
        <v>990</v>
      </c>
      <c r="H14" s="38">
        <v>990</v>
      </c>
      <c r="I14" s="35">
        <f t="shared" si="7"/>
        <v>2970</v>
      </c>
      <c r="J14" s="38">
        <v>990</v>
      </c>
      <c r="K14" s="38">
        <v>990</v>
      </c>
      <c r="L14" s="38">
        <v>990</v>
      </c>
      <c r="M14" s="35">
        <f t="shared" si="8"/>
        <v>2970</v>
      </c>
      <c r="N14" s="38">
        <v>990</v>
      </c>
      <c r="O14" s="38">
        <v>990</v>
      </c>
      <c r="P14" s="38">
        <v>990</v>
      </c>
      <c r="Q14" s="35">
        <f t="shared" si="9"/>
        <v>2970</v>
      </c>
      <c r="R14" s="72">
        <f t="shared" si="4"/>
        <v>11880</v>
      </c>
    </row>
    <row r="15" spans="1:18" ht="12.75" hidden="1" outlineLevel="3">
      <c r="A15" s="23" t="s">
        <v>17</v>
      </c>
      <c r="B15" s="62">
        <v>1569.57</v>
      </c>
      <c r="C15" s="62">
        <v>894.96</v>
      </c>
      <c r="D15" s="62">
        <v>768.4</v>
      </c>
      <c r="E15" s="35">
        <f t="shared" si="6"/>
        <v>3232.93</v>
      </c>
      <c r="F15" s="38">
        <v>997.79</v>
      </c>
      <c r="G15" s="38">
        <v>844.11</v>
      </c>
      <c r="H15" s="38">
        <v>976.32</v>
      </c>
      <c r="I15" s="35">
        <f t="shared" si="7"/>
        <v>2818.2200000000003</v>
      </c>
      <c r="J15" s="38">
        <v>970.67</v>
      </c>
      <c r="K15" s="38">
        <v>1783.14</v>
      </c>
      <c r="L15" s="38">
        <v>1091.58</v>
      </c>
      <c r="M15" s="35">
        <f t="shared" si="8"/>
        <v>3845.39</v>
      </c>
      <c r="N15" s="38">
        <v>1059.94</v>
      </c>
      <c r="O15" s="38">
        <v>1036.21</v>
      </c>
      <c r="P15" s="38">
        <v>1011.35</v>
      </c>
      <c r="Q15" s="35">
        <f t="shared" si="9"/>
        <v>3107.5</v>
      </c>
      <c r="R15" s="72">
        <f t="shared" si="4"/>
        <v>13004.04</v>
      </c>
    </row>
    <row r="16" spans="1:18" ht="12.75" hidden="1" outlineLevel="3">
      <c r="A16" s="25" t="s">
        <v>18</v>
      </c>
      <c r="B16" s="62">
        <v>66.58</v>
      </c>
      <c r="C16" s="62"/>
      <c r="D16" s="62"/>
      <c r="E16" s="35">
        <f t="shared" si="6"/>
        <v>66.58</v>
      </c>
      <c r="F16" s="62"/>
      <c r="G16" s="62"/>
      <c r="H16" s="62"/>
      <c r="I16" s="35">
        <f t="shared" si="7"/>
        <v>0</v>
      </c>
      <c r="J16" s="62"/>
      <c r="K16" s="62"/>
      <c r="L16" s="62"/>
      <c r="M16" s="35">
        <f t="shared" si="8"/>
        <v>0</v>
      </c>
      <c r="N16" s="62">
        <f>183.28+216.42+871.31+1655.54+346.44+338.49+190.79+202.38+213.97+483.2+217.76+241.51</f>
        <v>5161.090000000001</v>
      </c>
      <c r="O16" s="62"/>
      <c r="P16" s="62">
        <f>178.97+211.33</f>
        <v>390.3</v>
      </c>
      <c r="Q16" s="35">
        <f t="shared" si="9"/>
        <v>5551.390000000001</v>
      </c>
      <c r="R16" s="72">
        <f t="shared" si="4"/>
        <v>5617.970000000001</v>
      </c>
    </row>
    <row r="17" spans="1:18" ht="12.75" hidden="1" outlineLevel="3">
      <c r="A17" s="23" t="s">
        <v>19</v>
      </c>
      <c r="B17" s="62">
        <v>60.45</v>
      </c>
      <c r="C17" s="62">
        <v>102.3</v>
      </c>
      <c r="D17" s="62">
        <v>195.3</v>
      </c>
      <c r="E17" s="35">
        <f t="shared" si="6"/>
        <v>358.05</v>
      </c>
      <c r="F17" s="38">
        <v>58.59</v>
      </c>
      <c r="G17" s="38">
        <v>26.04</v>
      </c>
      <c r="H17" s="38">
        <v>30.69</v>
      </c>
      <c r="I17" s="35">
        <f t="shared" si="7"/>
        <v>115.32</v>
      </c>
      <c r="J17" s="38">
        <v>36.27</v>
      </c>
      <c r="K17" s="38">
        <v>44.64</v>
      </c>
      <c r="L17" s="38">
        <v>34.41</v>
      </c>
      <c r="M17" s="35">
        <f t="shared" si="8"/>
        <v>115.32</v>
      </c>
      <c r="N17" s="38">
        <v>41.85</v>
      </c>
      <c r="O17" s="38">
        <v>26.04</v>
      </c>
      <c r="P17" s="38">
        <v>26.97</v>
      </c>
      <c r="Q17" s="35">
        <f t="shared" si="9"/>
        <v>94.86</v>
      </c>
      <c r="R17" s="72">
        <f t="shared" si="4"/>
        <v>683.55</v>
      </c>
    </row>
    <row r="18" spans="1:18" ht="12.75" hidden="1" outlineLevel="3">
      <c r="A18" s="23" t="s">
        <v>20</v>
      </c>
      <c r="B18" s="62">
        <f>493.5+1.8+4.52</f>
        <v>499.82</v>
      </c>
      <c r="C18" s="62">
        <f>575.5+3.42+553.7</f>
        <v>1132.62</v>
      </c>
      <c r="D18" s="62">
        <f>536+4.68+1011.35</f>
        <v>1552.03</v>
      </c>
      <c r="E18" s="35">
        <f t="shared" si="6"/>
        <v>3184.47</v>
      </c>
      <c r="F18" s="38">
        <f>781.5+3.24+6.78</f>
        <v>791.52</v>
      </c>
      <c r="G18" s="38">
        <f>460+2.04+2.26</f>
        <v>464.3</v>
      </c>
      <c r="H18" s="38">
        <f>515+0.9+1.13</f>
        <v>517.03</v>
      </c>
      <c r="I18" s="35">
        <f t="shared" si="7"/>
        <v>1772.85</v>
      </c>
      <c r="J18" s="38">
        <f>623+1.56</f>
        <v>624.56</v>
      </c>
      <c r="K18" s="38">
        <v>1175.26</v>
      </c>
      <c r="L18" s="38">
        <f>609+0.42+1.13</f>
        <v>610.55</v>
      </c>
      <c r="M18" s="35">
        <f t="shared" si="8"/>
        <v>2410.37</v>
      </c>
      <c r="N18" s="38">
        <f>586+1.02+1.13</f>
        <v>588.15</v>
      </c>
      <c r="O18" s="38">
        <v>429.58</v>
      </c>
      <c r="P18" s="38">
        <v>441.74</v>
      </c>
      <c r="Q18" s="35">
        <f t="shared" si="9"/>
        <v>1459.47</v>
      </c>
      <c r="R18" s="72">
        <f t="shared" si="4"/>
        <v>8827.16</v>
      </c>
    </row>
    <row r="19" spans="1:22" ht="12.75" hidden="1" outlineLevel="3">
      <c r="A19" s="23" t="s">
        <v>21</v>
      </c>
      <c r="B19" s="62">
        <v>1110</v>
      </c>
      <c r="C19" s="62">
        <v>1110</v>
      </c>
      <c r="D19" s="62">
        <v>1110</v>
      </c>
      <c r="E19" s="35">
        <f t="shared" si="6"/>
        <v>3330</v>
      </c>
      <c r="F19" s="38">
        <v>1110</v>
      </c>
      <c r="G19" s="38">
        <v>1110</v>
      </c>
      <c r="H19" s="38">
        <v>1110</v>
      </c>
      <c r="I19" s="35">
        <f t="shared" si="7"/>
        <v>3330</v>
      </c>
      <c r="J19" s="38">
        <v>1110</v>
      </c>
      <c r="K19" s="38">
        <v>1110</v>
      </c>
      <c r="L19" s="38">
        <v>1110</v>
      </c>
      <c r="M19" s="35">
        <f t="shared" si="8"/>
        <v>3330</v>
      </c>
      <c r="N19" s="38">
        <v>1110</v>
      </c>
      <c r="O19" s="38">
        <v>1110</v>
      </c>
      <c r="P19" s="38"/>
      <c r="Q19" s="35">
        <f t="shared" si="9"/>
        <v>2220</v>
      </c>
      <c r="R19" s="72">
        <f t="shared" si="4"/>
        <v>12210</v>
      </c>
      <c r="V19">
        <f>IF(R19&gt;0,R19/R23,0)</f>
        <v>0.08032476202555762</v>
      </c>
    </row>
    <row r="20" spans="1:18" ht="12.75" hidden="1" outlineLevel="3">
      <c r="A20" s="23" t="s">
        <v>22</v>
      </c>
      <c r="B20" s="62">
        <v>353.58</v>
      </c>
      <c r="C20" s="62">
        <v>132.06</v>
      </c>
      <c r="D20" s="62">
        <v>217.26</v>
      </c>
      <c r="E20" s="35">
        <f t="shared" si="6"/>
        <v>702.9</v>
      </c>
      <c r="F20" s="38">
        <v>455.82</v>
      </c>
      <c r="G20" s="38">
        <v>204.48</v>
      </c>
      <c r="H20" s="38">
        <v>285.42</v>
      </c>
      <c r="I20" s="35">
        <f t="shared" si="7"/>
        <v>945.72</v>
      </c>
      <c r="J20" s="38">
        <v>178.92</v>
      </c>
      <c r="K20" s="38">
        <v>161.88</v>
      </c>
      <c r="L20" s="38">
        <v>259.86</v>
      </c>
      <c r="M20" s="35">
        <f t="shared" si="8"/>
        <v>600.66</v>
      </c>
      <c r="N20" s="38">
        <v>234.3</v>
      </c>
      <c r="O20" s="38">
        <v>332.28</v>
      </c>
      <c r="P20" s="38">
        <v>281.16</v>
      </c>
      <c r="Q20" s="35">
        <f t="shared" si="9"/>
        <v>847.74</v>
      </c>
      <c r="R20" s="72">
        <f t="shared" si="4"/>
        <v>3097.02</v>
      </c>
    </row>
    <row r="21" spans="1:18" ht="12.75" hidden="1" outlineLevel="3">
      <c r="A21" s="23" t="s">
        <v>61</v>
      </c>
      <c r="B21" s="62"/>
      <c r="C21" s="62"/>
      <c r="D21" s="62"/>
      <c r="E21" s="35">
        <f t="shared" si="6"/>
        <v>0</v>
      </c>
      <c r="F21" s="38"/>
      <c r="G21" s="38"/>
      <c r="H21" s="38"/>
      <c r="I21" s="35">
        <f t="shared" si="7"/>
        <v>0</v>
      </c>
      <c r="J21" s="38"/>
      <c r="K21" s="38"/>
      <c r="L21" s="38"/>
      <c r="M21" s="35">
        <f t="shared" si="8"/>
        <v>0</v>
      </c>
      <c r="N21" s="38"/>
      <c r="O21" s="38"/>
      <c r="P21" s="38"/>
      <c r="Q21" s="35">
        <f t="shared" si="9"/>
        <v>0</v>
      </c>
      <c r="R21" s="72">
        <f t="shared" si="4"/>
        <v>0</v>
      </c>
    </row>
    <row r="22" spans="1:18" s="70" customFormat="1" ht="12.75" hidden="1" outlineLevel="2">
      <c r="A22" s="22" t="s">
        <v>49</v>
      </c>
      <c r="B22" s="33">
        <f aca="true" t="shared" si="10" ref="B22:Q22">SUM(B13:B20)</f>
        <v>10561.44</v>
      </c>
      <c r="C22" s="33">
        <f t="shared" si="10"/>
        <v>10273.14</v>
      </c>
      <c r="D22" s="33">
        <f t="shared" si="10"/>
        <v>10737.47</v>
      </c>
      <c r="E22" s="32">
        <f t="shared" si="10"/>
        <v>31572.050000000003</v>
      </c>
      <c r="F22" s="33">
        <f t="shared" si="10"/>
        <v>10276.28</v>
      </c>
      <c r="G22" s="33">
        <f t="shared" si="10"/>
        <v>9517.49</v>
      </c>
      <c r="H22" s="33">
        <f t="shared" si="10"/>
        <v>9798.58</v>
      </c>
      <c r="I22" s="32">
        <f t="shared" si="10"/>
        <v>29592.350000000002</v>
      </c>
      <c r="J22" s="33">
        <f t="shared" si="10"/>
        <v>9806.140000000001</v>
      </c>
      <c r="K22" s="33">
        <f t="shared" si="10"/>
        <v>11167.359999999999</v>
      </c>
      <c r="L22" s="33">
        <f t="shared" si="10"/>
        <v>10007.48</v>
      </c>
      <c r="M22" s="32">
        <f t="shared" si="10"/>
        <v>30980.979999999996</v>
      </c>
      <c r="N22" s="33">
        <f t="shared" si="10"/>
        <v>15124.25</v>
      </c>
      <c r="O22" s="33">
        <f t="shared" si="10"/>
        <v>9889.070000000002</v>
      </c>
      <c r="P22" s="33">
        <f t="shared" si="10"/>
        <v>9150.999999999998</v>
      </c>
      <c r="Q22" s="32">
        <f t="shared" si="10"/>
        <v>34164.32</v>
      </c>
      <c r="R22" s="34">
        <f t="shared" si="4"/>
        <v>126309.7</v>
      </c>
    </row>
    <row r="23" spans="1:21" ht="13.5" outlineLevel="1" collapsed="1" thickBot="1">
      <c r="A23" s="26" t="s">
        <v>48</v>
      </c>
      <c r="B23" s="40">
        <f aca="true" t="shared" si="11" ref="B23:R23">B22+B12</f>
        <v>30963.379999999997</v>
      </c>
      <c r="C23" s="40">
        <f t="shared" si="11"/>
        <v>10273.14</v>
      </c>
      <c r="D23" s="40">
        <f t="shared" si="11"/>
        <v>10737.47</v>
      </c>
      <c r="E23" s="39">
        <f t="shared" si="11"/>
        <v>51973.990000000005</v>
      </c>
      <c r="F23" s="40">
        <f t="shared" si="11"/>
        <v>10276.28</v>
      </c>
      <c r="G23" s="40">
        <f t="shared" si="11"/>
        <v>9517.49</v>
      </c>
      <c r="H23" s="40">
        <f t="shared" si="11"/>
        <v>9798.58</v>
      </c>
      <c r="I23" s="39">
        <f t="shared" si="11"/>
        <v>29592.350000000002</v>
      </c>
      <c r="J23" s="40">
        <f t="shared" si="11"/>
        <v>10605.54</v>
      </c>
      <c r="K23" s="40">
        <f t="shared" si="11"/>
        <v>11167.359999999999</v>
      </c>
      <c r="L23" s="40">
        <f t="shared" si="11"/>
        <v>10007.48</v>
      </c>
      <c r="M23" s="39">
        <f t="shared" si="11"/>
        <v>31780.379999999997</v>
      </c>
      <c r="N23" s="40">
        <f t="shared" si="11"/>
        <v>15124.25</v>
      </c>
      <c r="O23" s="40">
        <f t="shared" si="11"/>
        <v>13844.810000000001</v>
      </c>
      <c r="P23" s="40">
        <f t="shared" si="11"/>
        <v>9692.139999999998</v>
      </c>
      <c r="Q23" s="39">
        <f t="shared" si="11"/>
        <v>38661.2</v>
      </c>
      <c r="R23" s="41">
        <f t="shared" si="11"/>
        <v>152007.91999999998</v>
      </c>
      <c r="S23" s="65">
        <f>((B13/0.12)+(C13/0.12)+(D13/0.12)+(F13/0.12)+(G13/0.12)+(H13/0.12)+(J13/0.12)+(K13/0.12)+(L13/0.12)+(N13/0.12)+(O13/0.12)+(P13/0.12))/12</f>
        <v>49298.583333333336</v>
      </c>
      <c r="T23" s="54">
        <f>IF(R23&gt;0,R23/S23,0)</f>
        <v>3.083413553127794</v>
      </c>
      <c r="U23" s="66">
        <f>IF(R15&gt;0,R15/R23,0)</f>
        <v>0.0855484372130084</v>
      </c>
    </row>
    <row r="24" spans="1:18" ht="13.5" outlineLevel="1" thickTop="1">
      <c r="A24" s="16" t="s">
        <v>27</v>
      </c>
      <c r="B24" s="17"/>
      <c r="C24" s="17"/>
      <c r="D24" s="17"/>
      <c r="E24" s="14"/>
      <c r="F24" s="17"/>
      <c r="G24" s="17"/>
      <c r="H24" s="17"/>
      <c r="I24" s="14"/>
      <c r="J24" s="17"/>
      <c r="K24" s="17"/>
      <c r="L24" s="17"/>
      <c r="M24" s="14"/>
      <c r="N24" s="17"/>
      <c r="O24" s="17"/>
      <c r="P24" s="17"/>
      <c r="Q24" s="14"/>
      <c r="R24" s="27"/>
    </row>
    <row r="25" spans="1:18" ht="12.75" hidden="1" outlineLevel="3">
      <c r="A25" s="19" t="s">
        <v>40</v>
      </c>
      <c r="B25" s="62"/>
      <c r="C25" s="62"/>
      <c r="D25" s="62"/>
      <c r="E25" s="35">
        <f aca="true" t="shared" si="12" ref="E25:E32">SUM(B25:D25)</f>
        <v>0</v>
      </c>
      <c r="F25" s="38"/>
      <c r="G25" s="38"/>
      <c r="H25" s="38"/>
      <c r="I25" s="35">
        <f aca="true" t="shared" si="13" ref="I25:I32">SUM(F25:H25)</f>
        <v>0</v>
      </c>
      <c r="J25" s="38"/>
      <c r="K25" s="38"/>
      <c r="L25" s="38"/>
      <c r="M25" s="35">
        <f aca="true" t="shared" si="14" ref="M25:M32">SUM(J25:L25)</f>
        <v>0</v>
      </c>
      <c r="N25" s="38"/>
      <c r="O25" s="38"/>
      <c r="P25" s="38"/>
      <c r="Q25" s="35">
        <f aca="true" t="shared" si="15" ref="Q25:Q32">SUM(N25:P25)</f>
        <v>0</v>
      </c>
      <c r="R25" s="72">
        <f aca="true" t="shared" si="16" ref="R25:R43">Q25+M25+I25+E25</f>
        <v>0</v>
      </c>
    </row>
    <row r="26" spans="1:18" ht="12.75" hidden="1" outlineLevel="3">
      <c r="A26" s="19" t="s">
        <v>41</v>
      </c>
      <c r="B26" s="62"/>
      <c r="C26" s="62"/>
      <c r="D26" s="62"/>
      <c r="E26" s="35">
        <f t="shared" si="12"/>
        <v>0</v>
      </c>
      <c r="F26" s="38"/>
      <c r="G26" s="38"/>
      <c r="H26" s="38"/>
      <c r="I26" s="35">
        <f t="shared" si="13"/>
        <v>0</v>
      </c>
      <c r="J26" s="38"/>
      <c r="K26" s="38"/>
      <c r="L26" s="38"/>
      <c r="M26" s="35">
        <f t="shared" si="14"/>
        <v>0</v>
      </c>
      <c r="N26" s="38"/>
      <c r="O26" s="38"/>
      <c r="P26" s="38"/>
      <c r="Q26" s="35">
        <f t="shared" si="15"/>
        <v>0</v>
      </c>
      <c r="R26" s="72">
        <f t="shared" si="16"/>
        <v>0</v>
      </c>
    </row>
    <row r="27" spans="1:18" ht="12.75" hidden="1" outlineLevel="3">
      <c r="A27" s="19" t="s">
        <v>42</v>
      </c>
      <c r="B27" s="62"/>
      <c r="C27" s="62"/>
      <c r="D27" s="62"/>
      <c r="E27" s="35">
        <f t="shared" si="12"/>
        <v>0</v>
      </c>
      <c r="F27" s="38"/>
      <c r="G27" s="38"/>
      <c r="H27" s="38"/>
      <c r="I27" s="35">
        <f t="shared" si="13"/>
        <v>0</v>
      </c>
      <c r="J27" s="38"/>
      <c r="K27" s="38"/>
      <c r="L27" s="38"/>
      <c r="M27" s="35">
        <f t="shared" si="14"/>
        <v>0</v>
      </c>
      <c r="N27" s="38"/>
      <c r="O27" s="38"/>
      <c r="P27" s="38"/>
      <c r="Q27" s="35">
        <f t="shared" si="15"/>
        <v>0</v>
      </c>
      <c r="R27" s="72">
        <f t="shared" si="16"/>
        <v>0</v>
      </c>
    </row>
    <row r="28" spans="1:21" ht="12.75" hidden="1" outlineLevel="3">
      <c r="A28" s="19" t="s">
        <v>43</v>
      </c>
      <c r="B28" s="71"/>
      <c r="C28" s="62"/>
      <c r="D28" s="62"/>
      <c r="E28" s="35">
        <f t="shared" si="12"/>
        <v>0</v>
      </c>
      <c r="F28" s="38"/>
      <c r="G28" s="38"/>
      <c r="H28" s="38"/>
      <c r="I28" s="35">
        <f t="shared" si="13"/>
        <v>0</v>
      </c>
      <c r="J28" s="38"/>
      <c r="K28" s="38"/>
      <c r="L28" s="38"/>
      <c r="M28" s="35">
        <f t="shared" si="14"/>
        <v>0</v>
      </c>
      <c r="N28" s="38"/>
      <c r="O28" s="38"/>
      <c r="P28" s="38"/>
      <c r="Q28" s="35">
        <f t="shared" si="15"/>
        <v>0</v>
      </c>
      <c r="R28" s="72">
        <f t="shared" si="16"/>
        <v>0</v>
      </c>
      <c r="U28" s="66"/>
    </row>
    <row r="29" spans="1:18" ht="12.75" hidden="1" outlineLevel="3">
      <c r="A29" s="19" t="s">
        <v>44</v>
      </c>
      <c r="B29" s="62"/>
      <c r="C29" s="62"/>
      <c r="D29" s="62"/>
      <c r="E29" s="35">
        <f t="shared" si="12"/>
        <v>0</v>
      </c>
      <c r="F29" s="38"/>
      <c r="G29" s="38"/>
      <c r="H29" s="38"/>
      <c r="I29" s="35">
        <f t="shared" si="13"/>
        <v>0</v>
      </c>
      <c r="J29" s="38"/>
      <c r="K29" s="38"/>
      <c r="L29" s="38"/>
      <c r="M29" s="35">
        <f t="shared" si="14"/>
        <v>0</v>
      </c>
      <c r="N29" s="38"/>
      <c r="O29" s="38"/>
      <c r="P29" s="38"/>
      <c r="Q29" s="35">
        <f t="shared" si="15"/>
        <v>0</v>
      </c>
      <c r="R29" s="72">
        <f t="shared" si="16"/>
        <v>0</v>
      </c>
    </row>
    <row r="30" spans="1:18" ht="12.75" hidden="1" outlineLevel="3">
      <c r="A30" s="19" t="s">
        <v>45</v>
      </c>
      <c r="B30" s="62">
        <v>1307.36</v>
      </c>
      <c r="C30" s="62"/>
      <c r="D30" s="62"/>
      <c r="E30" s="35">
        <f t="shared" si="12"/>
        <v>1307.36</v>
      </c>
      <c r="F30" s="62"/>
      <c r="G30" s="62"/>
      <c r="H30" s="62"/>
      <c r="I30" s="35">
        <f t="shared" si="13"/>
        <v>0</v>
      </c>
      <c r="J30" s="62"/>
      <c r="K30" s="62"/>
      <c r="L30" s="62"/>
      <c r="M30" s="35">
        <f t="shared" si="14"/>
        <v>0</v>
      </c>
      <c r="N30" s="62"/>
      <c r="O30" s="62"/>
      <c r="P30" s="62"/>
      <c r="Q30" s="35">
        <f t="shared" si="15"/>
        <v>0</v>
      </c>
      <c r="R30" s="72">
        <f t="shared" si="16"/>
        <v>1307.36</v>
      </c>
    </row>
    <row r="31" spans="1:18" ht="12.75" hidden="1" outlineLevel="3">
      <c r="A31" s="19" t="s">
        <v>46</v>
      </c>
      <c r="B31" s="62"/>
      <c r="C31" s="62"/>
      <c r="D31" s="62"/>
      <c r="E31" s="35">
        <f t="shared" si="12"/>
        <v>0</v>
      </c>
      <c r="F31" s="38"/>
      <c r="G31" s="38"/>
      <c r="H31" s="38"/>
      <c r="I31" s="35">
        <f t="shared" si="13"/>
        <v>0</v>
      </c>
      <c r="J31" s="38"/>
      <c r="K31" s="38"/>
      <c r="L31" s="38"/>
      <c r="M31" s="35">
        <f t="shared" si="14"/>
        <v>0</v>
      </c>
      <c r="N31" s="38"/>
      <c r="O31" s="38"/>
      <c r="P31" s="38"/>
      <c r="Q31" s="35">
        <f t="shared" si="15"/>
        <v>0</v>
      </c>
      <c r="R31" s="72">
        <f t="shared" si="16"/>
        <v>0</v>
      </c>
    </row>
    <row r="32" spans="1:18" ht="12.75" hidden="1" outlineLevel="3">
      <c r="A32" s="19" t="s">
        <v>58</v>
      </c>
      <c r="B32" s="62">
        <v>151.21</v>
      </c>
      <c r="C32" s="62"/>
      <c r="D32" s="62"/>
      <c r="E32" s="35">
        <f t="shared" si="12"/>
        <v>151.21</v>
      </c>
      <c r="F32" s="38"/>
      <c r="G32" s="38"/>
      <c r="H32" s="38"/>
      <c r="I32" s="35">
        <f t="shared" si="13"/>
        <v>0</v>
      </c>
      <c r="J32" s="38">
        <v>57.97</v>
      </c>
      <c r="K32" s="38"/>
      <c r="L32" s="38"/>
      <c r="M32" s="35">
        <f t="shared" si="14"/>
        <v>57.97</v>
      </c>
      <c r="N32" s="38"/>
      <c r="O32" s="38">
        <v>293.33</v>
      </c>
      <c r="P32" s="38">
        <v>40.09</v>
      </c>
      <c r="Q32" s="35">
        <f t="shared" si="15"/>
        <v>333.41999999999996</v>
      </c>
      <c r="R32" s="72">
        <f t="shared" si="16"/>
        <v>542.6</v>
      </c>
    </row>
    <row r="33" spans="1:18" ht="12.75" hidden="1" outlineLevel="2">
      <c r="A33" s="22" t="s">
        <v>47</v>
      </c>
      <c r="B33" s="62">
        <f aca="true" t="shared" si="17" ref="B33:Q33">SUM(B25:B32)</f>
        <v>1458.57</v>
      </c>
      <c r="C33" s="62">
        <f t="shared" si="17"/>
        <v>0</v>
      </c>
      <c r="D33" s="62">
        <f t="shared" si="17"/>
        <v>0</v>
      </c>
      <c r="E33" s="35">
        <f t="shared" si="17"/>
        <v>1458.57</v>
      </c>
      <c r="F33" s="38">
        <f t="shared" si="17"/>
        <v>0</v>
      </c>
      <c r="G33" s="38">
        <f t="shared" si="17"/>
        <v>0</v>
      </c>
      <c r="H33" s="38">
        <f t="shared" si="17"/>
        <v>0</v>
      </c>
      <c r="I33" s="35">
        <f t="shared" si="17"/>
        <v>0</v>
      </c>
      <c r="J33" s="38">
        <f t="shared" si="17"/>
        <v>57.97</v>
      </c>
      <c r="K33" s="38">
        <f t="shared" si="17"/>
        <v>0</v>
      </c>
      <c r="L33" s="38">
        <f t="shared" si="17"/>
        <v>0</v>
      </c>
      <c r="M33" s="35">
        <f t="shared" si="17"/>
        <v>57.97</v>
      </c>
      <c r="N33" s="38">
        <f t="shared" si="17"/>
        <v>0</v>
      </c>
      <c r="O33" s="38">
        <f t="shared" si="17"/>
        <v>293.33</v>
      </c>
      <c r="P33" s="38">
        <f t="shared" si="17"/>
        <v>40.09</v>
      </c>
      <c r="Q33" s="35">
        <f t="shared" si="17"/>
        <v>333.41999999999996</v>
      </c>
      <c r="R33" s="72">
        <f t="shared" si="16"/>
        <v>1849.96</v>
      </c>
    </row>
    <row r="34" spans="1:18" ht="12.75" hidden="1" outlineLevel="3">
      <c r="A34" s="23" t="s">
        <v>15</v>
      </c>
      <c r="B34" s="63">
        <v>417.72</v>
      </c>
      <c r="C34" s="63">
        <v>417.6</v>
      </c>
      <c r="D34" s="63">
        <v>420.96</v>
      </c>
      <c r="E34" s="35">
        <f aca="true" t="shared" si="18" ref="E34:E42">SUM(B34:D34)</f>
        <v>1256.28</v>
      </c>
      <c r="F34" s="37">
        <v>420.48</v>
      </c>
      <c r="G34" s="37">
        <v>426</v>
      </c>
      <c r="H34" s="37">
        <v>427.08</v>
      </c>
      <c r="I34" s="35">
        <f aca="true" t="shared" si="19" ref="I34:I42">SUM(F34:H34)</f>
        <v>1273.56</v>
      </c>
      <c r="J34" s="37">
        <v>429</v>
      </c>
      <c r="K34" s="37">
        <v>431.52</v>
      </c>
      <c r="L34" s="37">
        <v>436.08</v>
      </c>
      <c r="M34" s="35">
        <f aca="true" t="shared" si="20" ref="M34:M42">SUM(J34:L34)</f>
        <v>1296.6</v>
      </c>
      <c r="N34" s="37">
        <v>442.44</v>
      </c>
      <c r="O34" s="38">
        <v>442.32</v>
      </c>
      <c r="P34" s="38">
        <v>445.2</v>
      </c>
      <c r="Q34" s="35">
        <f aca="true" t="shared" si="21" ref="Q34:Q42">SUM(N34:P34)</f>
        <v>1329.96</v>
      </c>
      <c r="R34" s="34">
        <f t="shared" si="16"/>
        <v>5156.4</v>
      </c>
    </row>
    <row r="35" spans="1:18" ht="12.75" hidden="1" outlineLevel="3">
      <c r="A35" s="23" t="s">
        <v>16</v>
      </c>
      <c r="B35" s="63">
        <v>88</v>
      </c>
      <c r="C35" s="63">
        <v>88</v>
      </c>
      <c r="D35" s="62">
        <v>88</v>
      </c>
      <c r="E35" s="35">
        <f t="shared" si="18"/>
        <v>264</v>
      </c>
      <c r="F35" s="62">
        <v>88</v>
      </c>
      <c r="G35" s="62">
        <v>88</v>
      </c>
      <c r="H35" s="62">
        <v>88</v>
      </c>
      <c r="I35" s="35">
        <f t="shared" si="19"/>
        <v>264</v>
      </c>
      <c r="J35" s="62">
        <v>88</v>
      </c>
      <c r="K35" s="62">
        <v>88</v>
      </c>
      <c r="L35" s="62">
        <v>88</v>
      </c>
      <c r="M35" s="35">
        <f t="shared" si="20"/>
        <v>264</v>
      </c>
      <c r="N35" s="62">
        <v>88</v>
      </c>
      <c r="O35" s="62">
        <v>88</v>
      </c>
      <c r="P35" s="62">
        <v>88</v>
      </c>
      <c r="Q35" s="35">
        <f t="shared" si="21"/>
        <v>264</v>
      </c>
      <c r="R35" s="34">
        <f t="shared" si="16"/>
        <v>1056</v>
      </c>
    </row>
    <row r="36" spans="1:18" ht="12.75" hidden="1" outlineLevel="3">
      <c r="A36" s="23" t="s">
        <v>17</v>
      </c>
      <c r="B36" s="63">
        <v>67.8</v>
      </c>
      <c r="C36" s="63">
        <v>66.67</v>
      </c>
      <c r="D36" s="63">
        <v>39.55</v>
      </c>
      <c r="E36" s="35">
        <f t="shared" si="18"/>
        <v>174.01999999999998</v>
      </c>
      <c r="F36" s="37">
        <v>85.88</v>
      </c>
      <c r="G36" s="37">
        <v>81.36</v>
      </c>
      <c r="H36" s="37">
        <v>87.01</v>
      </c>
      <c r="I36" s="35">
        <f t="shared" si="19"/>
        <v>254.25</v>
      </c>
      <c r="J36" s="37">
        <v>61.02</v>
      </c>
      <c r="K36" s="37">
        <v>171.76</v>
      </c>
      <c r="L36" s="37">
        <v>122.04</v>
      </c>
      <c r="M36" s="35">
        <f t="shared" si="20"/>
        <v>354.82</v>
      </c>
      <c r="N36" s="37">
        <v>109.61</v>
      </c>
      <c r="O36" s="38">
        <v>122.04</v>
      </c>
      <c r="P36" s="38">
        <v>84.75</v>
      </c>
      <c r="Q36" s="35">
        <f t="shared" si="21"/>
        <v>316.4</v>
      </c>
      <c r="R36" s="34">
        <f t="shared" si="16"/>
        <v>1099.49</v>
      </c>
    </row>
    <row r="37" spans="1:18" ht="12.75" hidden="1" outlineLevel="3">
      <c r="A37" s="25" t="s">
        <v>18</v>
      </c>
      <c r="B37" s="63">
        <v>4.6</v>
      </c>
      <c r="C37" s="63"/>
      <c r="D37" s="63"/>
      <c r="E37" s="35">
        <f t="shared" si="18"/>
        <v>4.6</v>
      </c>
      <c r="F37" s="37"/>
      <c r="G37" s="37"/>
      <c r="H37" s="37"/>
      <c r="I37" s="35">
        <f t="shared" si="19"/>
        <v>0</v>
      </c>
      <c r="J37" s="37"/>
      <c r="K37" s="37"/>
      <c r="L37" s="37"/>
      <c r="M37" s="35">
        <f t="shared" si="20"/>
        <v>0</v>
      </c>
      <c r="N37" s="37">
        <f>12.64+14.92+60.08+114.16+23.89+23.34+13.16+13.96+14.75+33.32+15.02+16.65</f>
        <v>355.88999999999993</v>
      </c>
      <c r="O37" s="38"/>
      <c r="P37" s="38">
        <f>12.79+15.11</f>
        <v>27.9</v>
      </c>
      <c r="Q37" s="35">
        <f t="shared" si="21"/>
        <v>383.7899999999999</v>
      </c>
      <c r="R37" s="34">
        <f t="shared" si="16"/>
        <v>388.38999999999993</v>
      </c>
    </row>
    <row r="38" spans="1:18" ht="12.75" hidden="1" outlineLevel="3">
      <c r="A38" s="23" t="s">
        <v>19</v>
      </c>
      <c r="B38" s="63">
        <v>0.93</v>
      </c>
      <c r="C38" s="63">
        <v>3.72</v>
      </c>
      <c r="D38" s="63">
        <v>2.79</v>
      </c>
      <c r="E38" s="35">
        <f t="shared" si="18"/>
        <v>7.44</v>
      </c>
      <c r="F38" s="37">
        <v>0.93</v>
      </c>
      <c r="G38" s="37">
        <v>0.93</v>
      </c>
      <c r="H38" s="37"/>
      <c r="I38" s="35">
        <f t="shared" si="19"/>
        <v>1.86</v>
      </c>
      <c r="J38" s="37">
        <v>0.93</v>
      </c>
      <c r="K38" s="37">
        <v>1.86</v>
      </c>
      <c r="L38" s="37"/>
      <c r="M38" s="35">
        <f t="shared" si="20"/>
        <v>2.79</v>
      </c>
      <c r="N38" s="37"/>
      <c r="O38" s="38"/>
      <c r="P38" s="38"/>
      <c r="Q38" s="35">
        <f t="shared" si="21"/>
        <v>0</v>
      </c>
      <c r="R38" s="34">
        <f t="shared" si="16"/>
        <v>12.09</v>
      </c>
    </row>
    <row r="39" spans="1:18" ht="12.75" hidden="1" outlineLevel="3">
      <c r="A39" s="23" t="s">
        <v>20</v>
      </c>
      <c r="B39" s="63">
        <v>9.63</v>
      </c>
      <c r="C39" s="63">
        <f>22.5+20.34</f>
        <v>42.84</v>
      </c>
      <c r="D39" s="63">
        <f>18+0.36+38.42</f>
        <v>56.78</v>
      </c>
      <c r="E39" s="35">
        <f t="shared" si="18"/>
        <v>109.25</v>
      </c>
      <c r="F39" s="37">
        <v>22.06</v>
      </c>
      <c r="G39" s="37">
        <v>13</v>
      </c>
      <c r="H39" s="37">
        <v>18.5</v>
      </c>
      <c r="I39" s="35">
        <f t="shared" si="19"/>
        <v>53.56</v>
      </c>
      <c r="J39" s="37">
        <v>18</v>
      </c>
      <c r="K39" s="37">
        <v>73</v>
      </c>
      <c r="L39" s="37">
        <v>42</v>
      </c>
      <c r="M39" s="35">
        <f t="shared" si="20"/>
        <v>133</v>
      </c>
      <c r="N39" s="37">
        <v>33.5</v>
      </c>
      <c r="O39" s="38">
        <v>35.5</v>
      </c>
      <c r="P39" s="38">
        <v>16.5</v>
      </c>
      <c r="Q39" s="35">
        <f t="shared" si="21"/>
        <v>85.5</v>
      </c>
      <c r="R39" s="34">
        <f t="shared" si="16"/>
        <v>381.31</v>
      </c>
    </row>
    <row r="40" spans="1:18" ht="12.75" hidden="1" outlineLevel="3">
      <c r="A40" s="23" t="s">
        <v>21</v>
      </c>
      <c r="B40" s="63"/>
      <c r="C40" s="63"/>
      <c r="D40" s="63"/>
      <c r="E40" s="35">
        <f t="shared" si="18"/>
        <v>0</v>
      </c>
      <c r="F40" s="37"/>
      <c r="G40" s="37"/>
      <c r="H40" s="37"/>
      <c r="I40" s="35">
        <f t="shared" si="19"/>
        <v>0</v>
      </c>
      <c r="J40" s="37"/>
      <c r="K40" s="37"/>
      <c r="L40" s="37"/>
      <c r="M40" s="35">
        <f t="shared" si="20"/>
        <v>0</v>
      </c>
      <c r="N40" s="37"/>
      <c r="O40" s="38"/>
      <c r="P40" s="38"/>
      <c r="Q40" s="35">
        <f t="shared" si="21"/>
        <v>0</v>
      </c>
      <c r="R40" s="34">
        <f t="shared" si="16"/>
        <v>0</v>
      </c>
    </row>
    <row r="41" spans="1:18" ht="12.75" hidden="1" outlineLevel="3">
      <c r="A41" s="23" t="s">
        <v>22</v>
      </c>
      <c r="B41" s="63"/>
      <c r="C41" s="63">
        <v>17.04</v>
      </c>
      <c r="D41" s="63">
        <v>12.78</v>
      </c>
      <c r="E41" s="35">
        <f t="shared" si="18"/>
        <v>29.82</v>
      </c>
      <c r="F41" s="37">
        <v>12.78</v>
      </c>
      <c r="G41" s="37">
        <v>8.52</v>
      </c>
      <c r="H41" s="37">
        <v>4.26</v>
      </c>
      <c r="I41" s="35">
        <f t="shared" si="19"/>
        <v>25.559999999999995</v>
      </c>
      <c r="J41" s="37">
        <v>46.86</v>
      </c>
      <c r="K41" s="37">
        <v>4.26</v>
      </c>
      <c r="L41" s="37">
        <v>4.26</v>
      </c>
      <c r="M41" s="35">
        <f t="shared" si="20"/>
        <v>55.379999999999995</v>
      </c>
      <c r="N41" s="37">
        <v>17.04</v>
      </c>
      <c r="O41" s="38">
        <v>46.86</v>
      </c>
      <c r="P41" s="38">
        <v>34.08</v>
      </c>
      <c r="Q41" s="35">
        <f t="shared" si="21"/>
        <v>97.97999999999999</v>
      </c>
      <c r="R41" s="34">
        <f t="shared" si="16"/>
        <v>208.73999999999998</v>
      </c>
    </row>
    <row r="42" spans="1:18" ht="12.75" hidden="1" outlineLevel="3">
      <c r="A42" s="23" t="s">
        <v>61</v>
      </c>
      <c r="B42" s="63"/>
      <c r="C42" s="63"/>
      <c r="D42" s="62"/>
      <c r="E42" s="35">
        <f t="shared" si="18"/>
        <v>0</v>
      </c>
      <c r="F42" s="38"/>
      <c r="G42" s="38"/>
      <c r="H42" s="38"/>
      <c r="I42" s="35">
        <f t="shared" si="19"/>
        <v>0</v>
      </c>
      <c r="J42" s="38"/>
      <c r="K42" s="38"/>
      <c r="L42" s="38"/>
      <c r="M42" s="35">
        <f t="shared" si="20"/>
        <v>0</v>
      </c>
      <c r="N42" s="38"/>
      <c r="O42" s="38"/>
      <c r="P42" s="38"/>
      <c r="Q42" s="35">
        <f t="shared" si="21"/>
        <v>0</v>
      </c>
      <c r="R42" s="34">
        <f t="shared" si="16"/>
        <v>0</v>
      </c>
    </row>
    <row r="43" spans="1:18" ht="12.75" hidden="1" outlineLevel="2">
      <c r="A43" s="22" t="s">
        <v>50</v>
      </c>
      <c r="B43" s="33">
        <f aca="true" t="shared" si="22" ref="B43:Q43">SUM(B34:B41)</f>
        <v>588.68</v>
      </c>
      <c r="C43" s="33">
        <f t="shared" si="22"/>
        <v>635.87</v>
      </c>
      <c r="D43" s="33">
        <f t="shared" si="22"/>
        <v>620.8599999999999</v>
      </c>
      <c r="E43" s="32">
        <f t="shared" si="22"/>
        <v>1845.4099999999999</v>
      </c>
      <c r="F43" s="33">
        <f t="shared" si="22"/>
        <v>630.1299999999999</v>
      </c>
      <c r="G43" s="33">
        <f t="shared" si="22"/>
        <v>617.81</v>
      </c>
      <c r="H43" s="33">
        <f t="shared" si="22"/>
        <v>624.8499999999999</v>
      </c>
      <c r="I43" s="32">
        <f t="shared" si="22"/>
        <v>1872.7899999999997</v>
      </c>
      <c r="J43" s="33">
        <f t="shared" si="22"/>
        <v>643.81</v>
      </c>
      <c r="K43" s="33">
        <f t="shared" si="22"/>
        <v>770.4</v>
      </c>
      <c r="L43" s="33">
        <f t="shared" si="22"/>
        <v>692.3799999999999</v>
      </c>
      <c r="M43" s="32">
        <f t="shared" si="22"/>
        <v>2106.59</v>
      </c>
      <c r="N43" s="33">
        <f t="shared" si="22"/>
        <v>1046.48</v>
      </c>
      <c r="O43" s="33">
        <f t="shared" si="22"/>
        <v>734.7199999999999</v>
      </c>
      <c r="P43" s="33">
        <f t="shared" si="22"/>
        <v>696.4300000000001</v>
      </c>
      <c r="Q43" s="32">
        <f t="shared" si="22"/>
        <v>2477.63</v>
      </c>
      <c r="R43" s="34">
        <f t="shared" si="16"/>
        <v>8302.42</v>
      </c>
    </row>
    <row r="44" spans="1:21" ht="13.5" outlineLevel="1" collapsed="1" thickBot="1">
      <c r="A44" s="26" t="s">
        <v>48</v>
      </c>
      <c r="B44" s="40">
        <f aca="true" t="shared" si="23" ref="B44:R44">B43+B33</f>
        <v>2047.25</v>
      </c>
      <c r="C44" s="40">
        <f t="shared" si="23"/>
        <v>635.87</v>
      </c>
      <c r="D44" s="40">
        <f t="shared" si="23"/>
        <v>620.8599999999999</v>
      </c>
      <c r="E44" s="39">
        <f t="shared" si="23"/>
        <v>3303.9799999999996</v>
      </c>
      <c r="F44" s="40">
        <f t="shared" si="23"/>
        <v>630.1299999999999</v>
      </c>
      <c r="G44" s="40">
        <f t="shared" si="23"/>
        <v>617.81</v>
      </c>
      <c r="H44" s="40">
        <f t="shared" si="23"/>
        <v>624.8499999999999</v>
      </c>
      <c r="I44" s="39">
        <f t="shared" si="23"/>
        <v>1872.7899999999997</v>
      </c>
      <c r="J44" s="40">
        <f t="shared" si="23"/>
        <v>701.78</v>
      </c>
      <c r="K44" s="40">
        <f t="shared" si="23"/>
        <v>770.4</v>
      </c>
      <c r="L44" s="40">
        <f t="shared" si="23"/>
        <v>692.3799999999999</v>
      </c>
      <c r="M44" s="39">
        <f t="shared" si="23"/>
        <v>2164.56</v>
      </c>
      <c r="N44" s="40">
        <f t="shared" si="23"/>
        <v>1046.48</v>
      </c>
      <c r="O44" s="40">
        <f t="shared" si="23"/>
        <v>1028.05</v>
      </c>
      <c r="P44" s="40">
        <f t="shared" si="23"/>
        <v>736.5200000000001</v>
      </c>
      <c r="Q44" s="39">
        <f t="shared" si="23"/>
        <v>2811.05</v>
      </c>
      <c r="R44" s="41">
        <f t="shared" si="23"/>
        <v>10152.380000000001</v>
      </c>
      <c r="S44" s="65">
        <f>((B34/0.12)+(C34/0.12)+(D34/0.12)+(F34/0.12)+(G34/0.12)+(H34/0.12)+(J34/0.12)+(K34/0.12)+(L34/0.12)+(N34/0.12)+(O34/0.12)+(P34/0.12))/12</f>
        <v>3580.8333333333335</v>
      </c>
      <c r="T44" s="54">
        <f>IF(R44&gt;0,R44/S44,0)</f>
        <v>2.8352003723528045</v>
      </c>
      <c r="U44" s="66">
        <f>IF(R36&gt;0,R36/R44,0)</f>
        <v>0.1082987437428465</v>
      </c>
    </row>
    <row r="45" spans="1:18" ht="13.5" outlineLevel="1" thickTop="1">
      <c r="A45" s="16" t="s">
        <v>28</v>
      </c>
      <c r="B45" s="17"/>
      <c r="C45" s="17"/>
      <c r="D45" s="17"/>
      <c r="E45" s="14"/>
      <c r="F45" s="17"/>
      <c r="G45" s="17"/>
      <c r="H45" s="17"/>
      <c r="I45" s="14"/>
      <c r="J45" s="17"/>
      <c r="K45" s="17"/>
      <c r="L45" s="17"/>
      <c r="M45" s="14"/>
      <c r="N45" s="17"/>
      <c r="O45" s="17"/>
      <c r="P45" s="17"/>
      <c r="Q45" s="14"/>
      <c r="R45" s="27"/>
    </row>
    <row r="46" spans="1:18" ht="12.75" hidden="1" outlineLevel="3">
      <c r="A46" s="19" t="s">
        <v>40</v>
      </c>
      <c r="B46" s="20"/>
      <c r="C46" s="20"/>
      <c r="D46" s="20"/>
      <c r="E46" s="67">
        <f aca="true" t="shared" si="24" ref="E46:E53">SUM(B46:D46)</f>
        <v>0</v>
      </c>
      <c r="F46" s="20"/>
      <c r="G46" s="20"/>
      <c r="H46" s="20"/>
      <c r="I46" s="67">
        <f aca="true" t="shared" si="25" ref="I46:I53">SUM(F46:H46)</f>
        <v>0</v>
      </c>
      <c r="J46" s="20"/>
      <c r="K46" s="20"/>
      <c r="L46" s="20"/>
      <c r="M46" s="67">
        <f aca="true" t="shared" si="26" ref="M46:M53">SUM(J46:L46)</f>
        <v>0</v>
      </c>
      <c r="N46" s="20"/>
      <c r="O46" s="20"/>
      <c r="P46" s="20"/>
      <c r="Q46" s="67">
        <f aca="true" t="shared" si="27" ref="Q46:Q53">SUM(N46:P46)</f>
        <v>0</v>
      </c>
      <c r="R46" s="21">
        <f aca="true" t="shared" si="28" ref="R46:R64">Q46+M46+I46+E46</f>
        <v>0</v>
      </c>
    </row>
    <row r="47" spans="1:18" ht="12.75" hidden="1" outlineLevel="3">
      <c r="A47" s="19" t="s">
        <v>41</v>
      </c>
      <c r="B47" s="20"/>
      <c r="C47" s="20"/>
      <c r="D47" s="20"/>
      <c r="E47" s="67">
        <f t="shared" si="24"/>
        <v>0</v>
      </c>
      <c r="F47" s="20"/>
      <c r="G47" s="20"/>
      <c r="H47" s="20"/>
      <c r="I47" s="67">
        <f t="shared" si="25"/>
        <v>0</v>
      </c>
      <c r="J47" s="20"/>
      <c r="K47" s="20"/>
      <c r="L47" s="20"/>
      <c r="M47" s="67">
        <f t="shared" si="26"/>
        <v>0</v>
      </c>
      <c r="N47" s="20"/>
      <c r="O47" s="20"/>
      <c r="P47" s="20"/>
      <c r="Q47" s="67">
        <f t="shared" si="27"/>
        <v>0</v>
      </c>
      <c r="R47" s="21">
        <f t="shared" si="28"/>
        <v>0</v>
      </c>
    </row>
    <row r="48" spans="1:18" ht="12.75" hidden="1" outlineLevel="3">
      <c r="A48" s="19" t="s">
        <v>42</v>
      </c>
      <c r="B48" s="20"/>
      <c r="C48" s="20"/>
      <c r="D48" s="20"/>
      <c r="E48" s="67">
        <f t="shared" si="24"/>
        <v>0</v>
      </c>
      <c r="F48" s="20"/>
      <c r="G48" s="20"/>
      <c r="H48" s="20"/>
      <c r="I48" s="67">
        <f t="shared" si="25"/>
        <v>0</v>
      </c>
      <c r="J48" s="20"/>
      <c r="K48" s="20"/>
      <c r="L48" s="20"/>
      <c r="M48" s="67">
        <f t="shared" si="26"/>
        <v>0</v>
      </c>
      <c r="N48" s="20"/>
      <c r="O48" s="20"/>
      <c r="P48" s="20"/>
      <c r="Q48" s="67">
        <f t="shared" si="27"/>
        <v>0</v>
      </c>
      <c r="R48" s="21">
        <f t="shared" si="28"/>
        <v>0</v>
      </c>
    </row>
    <row r="49" spans="1:18" ht="12.75" hidden="1" outlineLevel="3">
      <c r="A49" s="19" t="s">
        <v>43</v>
      </c>
      <c r="B49" s="20"/>
      <c r="C49" s="20"/>
      <c r="D49" s="20"/>
      <c r="E49" s="67">
        <f t="shared" si="24"/>
        <v>0</v>
      </c>
      <c r="F49" s="20"/>
      <c r="G49" s="20"/>
      <c r="H49" s="20"/>
      <c r="I49" s="67">
        <f t="shared" si="25"/>
        <v>0</v>
      </c>
      <c r="J49" s="20"/>
      <c r="K49" s="20"/>
      <c r="L49" s="20"/>
      <c r="M49" s="67">
        <f t="shared" si="26"/>
        <v>0</v>
      </c>
      <c r="N49" s="20"/>
      <c r="O49" s="20"/>
      <c r="P49" s="20"/>
      <c r="Q49" s="67">
        <f t="shared" si="27"/>
        <v>0</v>
      </c>
      <c r="R49" s="21">
        <f t="shared" si="28"/>
        <v>0</v>
      </c>
    </row>
    <row r="50" spans="1:18" ht="12.75" hidden="1" outlineLevel="3">
      <c r="A50" s="19" t="s">
        <v>44</v>
      </c>
      <c r="B50" s="20"/>
      <c r="C50" s="20"/>
      <c r="D50" s="20"/>
      <c r="E50" s="67">
        <f t="shared" si="24"/>
        <v>0</v>
      </c>
      <c r="F50" s="20"/>
      <c r="G50" s="20"/>
      <c r="H50" s="20"/>
      <c r="I50" s="67">
        <f t="shared" si="25"/>
        <v>0</v>
      </c>
      <c r="J50" s="20"/>
      <c r="K50" s="20"/>
      <c r="L50" s="20"/>
      <c r="M50" s="67">
        <f t="shared" si="26"/>
        <v>0</v>
      </c>
      <c r="N50" s="20"/>
      <c r="O50" s="20"/>
      <c r="P50" s="20"/>
      <c r="Q50" s="67">
        <f t="shared" si="27"/>
        <v>0</v>
      </c>
      <c r="R50" s="21">
        <f t="shared" si="28"/>
        <v>0</v>
      </c>
    </row>
    <row r="51" spans="1:18" ht="12.75" hidden="1" outlineLevel="3">
      <c r="A51" s="19" t="s">
        <v>45</v>
      </c>
      <c r="B51" s="62">
        <v>2266.42</v>
      </c>
      <c r="C51" s="62"/>
      <c r="D51" s="62"/>
      <c r="E51" s="35">
        <f t="shared" si="24"/>
        <v>2266.42</v>
      </c>
      <c r="F51" s="62"/>
      <c r="G51" s="62"/>
      <c r="H51" s="62"/>
      <c r="I51" s="35">
        <f t="shared" si="25"/>
        <v>0</v>
      </c>
      <c r="J51" s="62"/>
      <c r="K51" s="62"/>
      <c r="L51" s="62"/>
      <c r="M51" s="35">
        <f t="shared" si="26"/>
        <v>0</v>
      </c>
      <c r="N51" s="62"/>
      <c r="O51" s="62"/>
      <c r="P51" s="62"/>
      <c r="Q51" s="35">
        <f t="shared" si="27"/>
        <v>0</v>
      </c>
      <c r="R51" s="34">
        <f t="shared" si="28"/>
        <v>2266.42</v>
      </c>
    </row>
    <row r="52" spans="1:18" ht="12.75" hidden="1" outlineLevel="3">
      <c r="A52" s="19" t="s">
        <v>46</v>
      </c>
      <c r="B52" s="20"/>
      <c r="C52" s="20"/>
      <c r="D52" s="20"/>
      <c r="E52" s="67">
        <f t="shared" si="24"/>
        <v>0</v>
      </c>
      <c r="F52" s="20"/>
      <c r="G52" s="20"/>
      <c r="H52" s="20"/>
      <c r="I52" s="67">
        <f t="shared" si="25"/>
        <v>0</v>
      </c>
      <c r="J52" s="20"/>
      <c r="K52" s="20"/>
      <c r="L52" s="20"/>
      <c r="M52" s="67">
        <f t="shared" si="26"/>
        <v>0</v>
      </c>
      <c r="N52" s="20"/>
      <c r="O52" s="20"/>
      <c r="P52" s="20"/>
      <c r="Q52" s="67">
        <f t="shared" si="27"/>
        <v>0</v>
      </c>
      <c r="R52" s="21">
        <f t="shared" si="28"/>
        <v>0</v>
      </c>
    </row>
    <row r="53" spans="1:18" ht="12.75" hidden="1" outlineLevel="3">
      <c r="A53" s="19" t="s">
        <v>58</v>
      </c>
      <c r="B53" s="62">
        <v>262.13</v>
      </c>
      <c r="C53" s="62"/>
      <c r="D53" s="62"/>
      <c r="E53" s="59">
        <f t="shared" si="24"/>
        <v>262.13</v>
      </c>
      <c r="F53" s="52"/>
      <c r="G53" s="52"/>
      <c r="H53" s="52"/>
      <c r="I53" s="59">
        <f t="shared" si="25"/>
        <v>0</v>
      </c>
      <c r="J53" s="52">
        <v>98.12</v>
      </c>
      <c r="K53" s="52"/>
      <c r="L53" s="52"/>
      <c r="M53" s="59">
        <f t="shared" si="26"/>
        <v>98.12</v>
      </c>
      <c r="N53" s="52"/>
      <c r="O53" s="52">
        <v>491.01</v>
      </c>
      <c r="P53" s="52">
        <v>66.54</v>
      </c>
      <c r="Q53" s="59">
        <f t="shared" si="27"/>
        <v>557.55</v>
      </c>
      <c r="R53" s="60">
        <f t="shared" si="28"/>
        <v>917.8</v>
      </c>
    </row>
    <row r="54" spans="1:18" ht="12.75" hidden="1" outlineLevel="2">
      <c r="A54" s="22" t="s">
        <v>47</v>
      </c>
      <c r="B54" s="63">
        <f aca="true" t="shared" si="29" ref="B54:Q54">SUM(B46:B53)</f>
        <v>2528.55</v>
      </c>
      <c r="C54" s="63">
        <f t="shared" si="29"/>
        <v>0</v>
      </c>
      <c r="D54" s="63">
        <f t="shared" si="29"/>
        <v>0</v>
      </c>
      <c r="E54" s="33">
        <f t="shared" si="29"/>
        <v>2528.55</v>
      </c>
      <c r="F54" s="33">
        <f t="shared" si="29"/>
        <v>0</v>
      </c>
      <c r="G54" s="33">
        <f t="shared" si="29"/>
        <v>0</v>
      </c>
      <c r="H54" s="33">
        <f t="shared" si="29"/>
        <v>0</v>
      </c>
      <c r="I54" s="33">
        <f t="shared" si="29"/>
        <v>0</v>
      </c>
      <c r="J54" s="33">
        <f t="shared" si="29"/>
        <v>98.12</v>
      </c>
      <c r="K54" s="33">
        <f t="shared" si="29"/>
        <v>0</v>
      </c>
      <c r="L54" s="33">
        <f t="shared" si="29"/>
        <v>0</v>
      </c>
      <c r="M54" s="33">
        <f t="shared" si="29"/>
        <v>98.12</v>
      </c>
      <c r="N54" s="33">
        <f t="shared" si="29"/>
        <v>0</v>
      </c>
      <c r="O54" s="33">
        <f t="shared" si="29"/>
        <v>491.01</v>
      </c>
      <c r="P54" s="33">
        <f t="shared" si="29"/>
        <v>66.54</v>
      </c>
      <c r="Q54" s="33">
        <f t="shared" si="29"/>
        <v>557.55</v>
      </c>
      <c r="R54" s="34">
        <f t="shared" si="28"/>
        <v>3184.2200000000003</v>
      </c>
    </row>
    <row r="55" spans="1:20" ht="12.75" hidden="1" outlineLevel="3">
      <c r="A55" s="23" t="s">
        <v>15</v>
      </c>
      <c r="B55" s="63">
        <v>722.16</v>
      </c>
      <c r="C55" s="63">
        <v>721.92</v>
      </c>
      <c r="D55" s="63">
        <v>723.12</v>
      </c>
      <c r="E55" s="35">
        <f aca="true" t="shared" si="30" ref="E55:E63">SUM(B55:D55)</f>
        <v>2167.2</v>
      </c>
      <c r="F55" s="37">
        <v>721.44</v>
      </c>
      <c r="G55" s="37">
        <v>722.76</v>
      </c>
      <c r="H55" s="37">
        <v>722.88</v>
      </c>
      <c r="I55" s="35">
        <f aca="true" t="shared" si="31" ref="I55:I63">SUM(F55:H55)</f>
        <v>2167.08</v>
      </c>
      <c r="J55" s="37">
        <v>721.2</v>
      </c>
      <c r="K55" s="37">
        <v>723.84</v>
      </c>
      <c r="L55" s="37">
        <v>729.6</v>
      </c>
      <c r="M55" s="35">
        <f aca="true" t="shared" si="32" ref="M55:M63">SUM(J55:L55)</f>
        <v>2174.64</v>
      </c>
      <c r="N55" s="37">
        <v>740.52</v>
      </c>
      <c r="O55" s="37">
        <v>740.4</v>
      </c>
      <c r="P55" s="38">
        <v>738.96</v>
      </c>
      <c r="Q55" s="35">
        <f aca="true" t="shared" si="33" ref="Q55:Q63">SUM(N55:P55)</f>
        <v>2219.88</v>
      </c>
      <c r="R55" s="34">
        <f t="shared" si="28"/>
        <v>8728.8</v>
      </c>
      <c r="T55" s="54"/>
    </row>
    <row r="56" spans="1:18" ht="12.75" hidden="1" outlineLevel="3">
      <c r="A56" s="23" t="s">
        <v>51</v>
      </c>
      <c r="B56" s="63">
        <v>132</v>
      </c>
      <c r="C56" s="63">
        <v>132</v>
      </c>
      <c r="D56" s="63">
        <v>132</v>
      </c>
      <c r="E56" s="35">
        <f t="shared" si="30"/>
        <v>396</v>
      </c>
      <c r="F56" s="37">
        <v>132</v>
      </c>
      <c r="G56" s="37">
        <v>132</v>
      </c>
      <c r="H56" s="37">
        <v>132</v>
      </c>
      <c r="I56" s="35">
        <f t="shared" si="31"/>
        <v>396</v>
      </c>
      <c r="J56" s="37">
        <v>132</v>
      </c>
      <c r="K56" s="37">
        <v>132</v>
      </c>
      <c r="L56" s="37">
        <v>132</v>
      </c>
      <c r="M56" s="35">
        <f t="shared" si="32"/>
        <v>396</v>
      </c>
      <c r="N56" s="37">
        <v>132</v>
      </c>
      <c r="O56" s="37">
        <v>132</v>
      </c>
      <c r="P56" s="38">
        <v>132</v>
      </c>
      <c r="Q56" s="35">
        <f t="shared" si="33"/>
        <v>396</v>
      </c>
      <c r="R56" s="34">
        <f t="shared" si="28"/>
        <v>1584</v>
      </c>
    </row>
    <row r="57" spans="1:18" ht="12.75" hidden="1" outlineLevel="3">
      <c r="A57" s="23" t="s">
        <v>17</v>
      </c>
      <c r="B57" s="63">
        <v>187.58</v>
      </c>
      <c r="C57" s="63">
        <v>177.41</v>
      </c>
      <c r="D57" s="63">
        <v>136.73</v>
      </c>
      <c r="E57" s="35">
        <f t="shared" si="30"/>
        <v>501.72</v>
      </c>
      <c r="F57" s="37">
        <v>185.32</v>
      </c>
      <c r="G57" s="37">
        <v>152.55</v>
      </c>
      <c r="H57" s="37">
        <v>145.77</v>
      </c>
      <c r="I57" s="35">
        <f t="shared" si="31"/>
        <v>483.64</v>
      </c>
      <c r="J57" s="37">
        <v>102.83</v>
      </c>
      <c r="K57" s="37">
        <v>185.32</v>
      </c>
      <c r="L57" s="37">
        <v>209.05</v>
      </c>
      <c r="M57" s="35">
        <f t="shared" si="32"/>
        <v>497.2</v>
      </c>
      <c r="N57" s="37">
        <v>245.21</v>
      </c>
      <c r="O57" s="37">
        <v>200.01</v>
      </c>
      <c r="P57" s="38">
        <v>481.38</v>
      </c>
      <c r="Q57" s="35">
        <f t="shared" si="33"/>
        <v>926.6</v>
      </c>
      <c r="R57" s="34">
        <f t="shared" si="28"/>
        <v>2409.16</v>
      </c>
    </row>
    <row r="58" spans="1:18" ht="12.75" hidden="1" outlineLevel="3">
      <c r="A58" s="25" t="s">
        <v>18</v>
      </c>
      <c r="B58" s="62">
        <v>8.01</v>
      </c>
      <c r="C58" s="62"/>
      <c r="D58" s="62"/>
      <c r="E58" s="35">
        <f t="shared" si="30"/>
        <v>8.01</v>
      </c>
      <c r="F58" s="62"/>
      <c r="G58" s="62"/>
      <c r="H58" s="62"/>
      <c r="I58" s="35">
        <f t="shared" si="31"/>
        <v>0</v>
      </c>
      <c r="J58" s="62"/>
      <c r="K58" s="62"/>
      <c r="L58" s="62"/>
      <c r="M58" s="35">
        <f t="shared" si="32"/>
        <v>0</v>
      </c>
      <c r="N58" s="62">
        <f>22.02+26.01+104.7+198.93+41.63+40.67+22.93+24.32+25.71+58.06+26.17+29.02</f>
        <v>620.17</v>
      </c>
      <c r="O58" s="62"/>
      <c r="P58" s="62">
        <f>22.18+26.19</f>
        <v>48.370000000000005</v>
      </c>
      <c r="Q58" s="35">
        <f t="shared" si="33"/>
        <v>668.54</v>
      </c>
      <c r="R58" s="34">
        <f t="shared" si="28"/>
        <v>676.55</v>
      </c>
    </row>
    <row r="59" spans="1:18" ht="12.75" hidden="1" outlineLevel="3">
      <c r="A59" s="23" t="s">
        <v>19</v>
      </c>
      <c r="B59" s="63">
        <v>0.93</v>
      </c>
      <c r="C59" s="63">
        <v>1.86</v>
      </c>
      <c r="D59" s="63">
        <v>6.51</v>
      </c>
      <c r="E59" s="35">
        <f t="shared" si="30"/>
        <v>9.3</v>
      </c>
      <c r="F59" s="37">
        <v>1.86</v>
      </c>
      <c r="G59" s="37">
        <v>2.79</v>
      </c>
      <c r="H59" s="37">
        <v>0.93</v>
      </c>
      <c r="I59" s="35">
        <f t="shared" si="31"/>
        <v>5.58</v>
      </c>
      <c r="J59" s="37">
        <v>0.93</v>
      </c>
      <c r="K59" s="37">
        <v>0.93</v>
      </c>
      <c r="L59" s="37">
        <v>1.86</v>
      </c>
      <c r="M59" s="35">
        <f t="shared" si="32"/>
        <v>3.72</v>
      </c>
      <c r="N59" s="37">
        <v>0.93</v>
      </c>
      <c r="O59" s="37">
        <v>3.72</v>
      </c>
      <c r="P59" s="38">
        <v>2.79</v>
      </c>
      <c r="Q59" s="35">
        <f t="shared" si="33"/>
        <v>7.44</v>
      </c>
      <c r="R59" s="34">
        <f t="shared" si="28"/>
        <v>26.040000000000003</v>
      </c>
    </row>
    <row r="60" spans="1:18" ht="12.75" hidden="1" outlineLevel="3">
      <c r="A60" s="23" t="s">
        <v>20</v>
      </c>
      <c r="B60" s="63">
        <v>46.06</v>
      </c>
      <c r="C60" s="63">
        <f>65.5+0.24+29.38</f>
        <v>95.11999999999999</v>
      </c>
      <c r="D60" s="63">
        <f>69.5+0.42+64.41</f>
        <v>134.32999999999998</v>
      </c>
      <c r="E60" s="35">
        <f t="shared" si="30"/>
        <v>275.51</v>
      </c>
      <c r="F60" s="37">
        <v>111.68</v>
      </c>
      <c r="G60" s="37">
        <v>78.24</v>
      </c>
      <c r="H60" s="37">
        <v>37.12</v>
      </c>
      <c r="I60" s="35">
        <f t="shared" si="31"/>
        <v>227.04000000000002</v>
      </c>
      <c r="J60" s="37">
        <v>49.5</v>
      </c>
      <c r="K60" s="37">
        <v>93.18</v>
      </c>
      <c r="L60" s="37">
        <v>62.5</v>
      </c>
      <c r="M60" s="35">
        <f t="shared" si="32"/>
        <v>205.18</v>
      </c>
      <c r="N60" s="37">
        <v>82</v>
      </c>
      <c r="O60" s="37">
        <v>65.68</v>
      </c>
      <c r="P60" s="38">
        <v>227.5</v>
      </c>
      <c r="Q60" s="35">
        <f t="shared" si="33"/>
        <v>375.18</v>
      </c>
      <c r="R60" s="34">
        <f t="shared" si="28"/>
        <v>1082.91</v>
      </c>
    </row>
    <row r="61" spans="1:18" ht="12.75" hidden="1" outlineLevel="3">
      <c r="A61" s="23" t="s">
        <v>21</v>
      </c>
      <c r="B61" s="63"/>
      <c r="C61" s="63"/>
      <c r="D61" s="63"/>
      <c r="E61" s="35">
        <f t="shared" si="30"/>
        <v>0</v>
      </c>
      <c r="F61" s="37"/>
      <c r="G61" s="37"/>
      <c r="H61" s="37"/>
      <c r="I61" s="35">
        <f t="shared" si="31"/>
        <v>0</v>
      </c>
      <c r="J61" s="37"/>
      <c r="K61" s="37"/>
      <c r="L61" s="37"/>
      <c r="M61" s="35">
        <f t="shared" si="32"/>
        <v>0</v>
      </c>
      <c r="N61" s="37"/>
      <c r="O61" s="37"/>
      <c r="P61" s="38"/>
      <c r="Q61" s="35">
        <f t="shared" si="33"/>
        <v>0</v>
      </c>
      <c r="R61" s="34">
        <f t="shared" si="28"/>
        <v>0</v>
      </c>
    </row>
    <row r="62" spans="1:18" ht="12.75" hidden="1" outlineLevel="3">
      <c r="A62" s="23" t="s">
        <v>22</v>
      </c>
      <c r="B62" s="63">
        <v>34.08</v>
      </c>
      <c r="C62" s="62">
        <v>17.04</v>
      </c>
      <c r="D62" s="63">
        <v>21.3</v>
      </c>
      <c r="E62" s="35">
        <f t="shared" si="30"/>
        <v>72.42</v>
      </c>
      <c r="F62" s="37">
        <v>8.52</v>
      </c>
      <c r="G62" s="37">
        <v>29.82</v>
      </c>
      <c r="H62" s="37">
        <v>38.34</v>
      </c>
      <c r="I62" s="35">
        <f t="shared" si="31"/>
        <v>76.68</v>
      </c>
      <c r="J62" s="37">
        <v>51.12</v>
      </c>
      <c r="K62" s="37">
        <v>42.6</v>
      </c>
      <c r="L62" s="37">
        <v>17.04</v>
      </c>
      <c r="M62" s="35">
        <f t="shared" si="32"/>
        <v>110.75999999999999</v>
      </c>
      <c r="N62" s="37">
        <v>38.34</v>
      </c>
      <c r="O62" s="37">
        <v>106.5</v>
      </c>
      <c r="P62" s="38">
        <v>51.12</v>
      </c>
      <c r="Q62" s="35">
        <f t="shared" si="33"/>
        <v>195.96</v>
      </c>
      <c r="R62" s="34">
        <f t="shared" si="28"/>
        <v>455.82000000000005</v>
      </c>
    </row>
    <row r="63" spans="1:18" ht="12.75" hidden="1" outlineLevel="3">
      <c r="A63" s="23" t="s">
        <v>61</v>
      </c>
      <c r="B63" s="62"/>
      <c r="D63" s="62"/>
      <c r="E63" s="35">
        <f t="shared" si="30"/>
        <v>0</v>
      </c>
      <c r="F63" s="38"/>
      <c r="G63" s="38"/>
      <c r="H63" s="38"/>
      <c r="I63" s="35">
        <f t="shared" si="31"/>
        <v>0</v>
      </c>
      <c r="J63" s="38"/>
      <c r="K63" s="38"/>
      <c r="L63" s="38"/>
      <c r="M63" s="35">
        <f t="shared" si="32"/>
        <v>0</v>
      </c>
      <c r="N63" s="38"/>
      <c r="O63" s="38"/>
      <c r="P63" s="38"/>
      <c r="Q63" s="35">
        <f t="shared" si="33"/>
        <v>0</v>
      </c>
      <c r="R63" s="34">
        <f t="shared" si="28"/>
        <v>0</v>
      </c>
    </row>
    <row r="64" spans="1:18" ht="12.75" hidden="1" outlineLevel="2">
      <c r="A64" s="28" t="s">
        <v>50</v>
      </c>
      <c r="B64" s="68">
        <f aca="true" t="shared" si="34" ref="B64:Q64">SUM(B55:B62)</f>
        <v>1130.82</v>
      </c>
      <c r="C64" s="68">
        <f>SUM(C55:C62)</f>
        <v>1145.3499999999997</v>
      </c>
      <c r="D64" s="68">
        <f t="shared" si="34"/>
        <v>1153.99</v>
      </c>
      <c r="E64" s="42">
        <f t="shared" si="34"/>
        <v>3430.1600000000008</v>
      </c>
      <c r="F64" s="43">
        <f t="shared" si="34"/>
        <v>1160.82</v>
      </c>
      <c r="G64" s="43">
        <f t="shared" si="34"/>
        <v>1118.1599999999999</v>
      </c>
      <c r="H64" s="43">
        <f t="shared" si="34"/>
        <v>1077.0399999999997</v>
      </c>
      <c r="I64" s="42">
        <f t="shared" si="34"/>
        <v>3356.0199999999995</v>
      </c>
      <c r="J64" s="43">
        <f t="shared" si="34"/>
        <v>1057.58</v>
      </c>
      <c r="K64" s="43">
        <f t="shared" si="34"/>
        <v>1177.8700000000001</v>
      </c>
      <c r="L64" s="43">
        <f t="shared" si="34"/>
        <v>1152.05</v>
      </c>
      <c r="M64" s="42">
        <f t="shared" si="34"/>
        <v>3387.499999999999</v>
      </c>
      <c r="N64" s="43">
        <f t="shared" si="34"/>
        <v>1859.17</v>
      </c>
      <c r="O64" s="43">
        <f t="shared" si="34"/>
        <v>1248.31</v>
      </c>
      <c r="P64" s="43">
        <f t="shared" si="34"/>
        <v>1682.12</v>
      </c>
      <c r="Q64" s="42">
        <f t="shared" si="34"/>
        <v>4789.6</v>
      </c>
      <c r="R64" s="44">
        <f t="shared" si="28"/>
        <v>14963.279999999999</v>
      </c>
    </row>
    <row r="65" spans="1:21" ht="13.5" outlineLevel="1" collapsed="1" thickBot="1">
      <c r="A65" s="26" t="s">
        <v>48</v>
      </c>
      <c r="B65" s="46">
        <f aca="true" t="shared" si="35" ref="B65:R65">B64+B54</f>
        <v>3659.37</v>
      </c>
      <c r="C65" s="46">
        <f t="shared" si="35"/>
        <v>1145.3499999999997</v>
      </c>
      <c r="D65" s="46">
        <f t="shared" si="35"/>
        <v>1153.99</v>
      </c>
      <c r="E65" s="45">
        <f t="shared" si="35"/>
        <v>5958.710000000001</v>
      </c>
      <c r="F65" s="46">
        <f t="shared" si="35"/>
        <v>1160.82</v>
      </c>
      <c r="G65" s="46">
        <f t="shared" si="35"/>
        <v>1118.1599999999999</v>
      </c>
      <c r="H65" s="46">
        <f t="shared" si="35"/>
        <v>1077.0399999999997</v>
      </c>
      <c r="I65" s="45">
        <f t="shared" si="35"/>
        <v>3356.0199999999995</v>
      </c>
      <c r="J65" s="46">
        <f t="shared" si="35"/>
        <v>1155.6999999999998</v>
      </c>
      <c r="K65" s="46">
        <f t="shared" si="35"/>
        <v>1177.8700000000001</v>
      </c>
      <c r="L65" s="46">
        <f t="shared" si="35"/>
        <v>1152.05</v>
      </c>
      <c r="M65" s="45">
        <f t="shared" si="35"/>
        <v>3485.619999999999</v>
      </c>
      <c r="N65" s="46">
        <f t="shared" si="35"/>
        <v>1859.17</v>
      </c>
      <c r="O65" s="46">
        <f t="shared" si="35"/>
        <v>1739.32</v>
      </c>
      <c r="P65" s="46">
        <f t="shared" si="35"/>
        <v>1748.6599999999999</v>
      </c>
      <c r="Q65" s="45">
        <f t="shared" si="35"/>
        <v>5347.150000000001</v>
      </c>
      <c r="R65" s="47">
        <f t="shared" si="35"/>
        <v>18147.5</v>
      </c>
      <c r="S65" s="65">
        <f>((B55/0.12)+(C55/0.12)+(D55/0.12)+(F55/0.12)+(G55/0.12)+(H55/0.12)+(J55/0.12)+(K55/0.12)+(L55/0.12)+(N55/0.12)+(O55/0.12)+(P55/0.12))/12</f>
        <v>6061.666666666667</v>
      </c>
      <c r="T65" s="54">
        <f>IF(R65&gt;0,R65/S65,0)</f>
        <v>2.9938135826230408</v>
      </c>
      <c r="U65" s="66">
        <f>IF(R57&gt;0,R57/R65,0)</f>
        <v>0.1327543738806998</v>
      </c>
    </row>
    <row r="66" spans="1:18" ht="13.5" outlineLevel="1" thickTop="1">
      <c r="A66" s="16" t="s">
        <v>29</v>
      </c>
      <c r="B66" s="17"/>
      <c r="C66" s="17"/>
      <c r="D66" s="17"/>
      <c r="E66" s="14"/>
      <c r="F66" s="17"/>
      <c r="G66" s="17"/>
      <c r="H66" s="17"/>
      <c r="I66" s="14"/>
      <c r="J66" s="17"/>
      <c r="K66" s="17"/>
      <c r="L66" s="17"/>
      <c r="M66" s="14"/>
      <c r="N66" s="17"/>
      <c r="O66" s="17"/>
      <c r="P66" s="17"/>
      <c r="Q66" s="14"/>
      <c r="R66" s="27"/>
    </row>
    <row r="67" spans="1:18" ht="12.75" hidden="1" outlineLevel="3">
      <c r="A67" s="19" t="s">
        <v>40</v>
      </c>
      <c r="B67" s="20"/>
      <c r="C67" s="20"/>
      <c r="D67" s="20"/>
      <c r="E67" s="67">
        <f aca="true" t="shared" si="36" ref="E67:E74">SUM(B67:D67)</f>
        <v>0</v>
      </c>
      <c r="F67" s="20"/>
      <c r="G67" s="20"/>
      <c r="H67" s="20"/>
      <c r="I67" s="67">
        <f aca="true" t="shared" si="37" ref="I67:I74">SUM(F67:H67)</f>
        <v>0</v>
      </c>
      <c r="J67" s="20"/>
      <c r="K67" s="20"/>
      <c r="L67" s="20"/>
      <c r="M67" s="67">
        <f aca="true" t="shared" si="38" ref="M67:M74">SUM(J67:L67)</f>
        <v>0</v>
      </c>
      <c r="N67" s="20"/>
      <c r="O67" s="20"/>
      <c r="P67" s="20"/>
      <c r="Q67" s="67">
        <f aca="true" t="shared" si="39" ref="Q67:Q74">SUM(N67:P67)</f>
        <v>0</v>
      </c>
      <c r="R67" s="21">
        <f aca="true" t="shared" si="40" ref="R67:R85">Q67+M67+I67+E67</f>
        <v>0</v>
      </c>
    </row>
    <row r="68" spans="1:18" ht="12.75" hidden="1" outlineLevel="3">
      <c r="A68" s="19" t="s">
        <v>41</v>
      </c>
      <c r="B68" s="20"/>
      <c r="C68" s="20"/>
      <c r="D68" s="20"/>
      <c r="E68" s="67">
        <f t="shared" si="36"/>
        <v>0</v>
      </c>
      <c r="F68" s="20"/>
      <c r="G68" s="20"/>
      <c r="H68" s="20"/>
      <c r="I68" s="67">
        <f t="shared" si="37"/>
        <v>0</v>
      </c>
      <c r="J68" s="20"/>
      <c r="K68" s="20"/>
      <c r="L68" s="20"/>
      <c r="M68" s="67">
        <f t="shared" si="38"/>
        <v>0</v>
      </c>
      <c r="N68" s="20"/>
      <c r="O68" s="20"/>
      <c r="P68" s="20"/>
      <c r="Q68" s="67">
        <f t="shared" si="39"/>
        <v>0</v>
      </c>
      <c r="R68" s="21">
        <f t="shared" si="40"/>
        <v>0</v>
      </c>
    </row>
    <row r="69" spans="1:18" ht="12.75" hidden="1" outlineLevel="3">
      <c r="A69" s="19" t="s">
        <v>42</v>
      </c>
      <c r="B69" s="20"/>
      <c r="C69" s="20"/>
      <c r="D69" s="20"/>
      <c r="E69" s="67">
        <f t="shared" si="36"/>
        <v>0</v>
      </c>
      <c r="F69" s="20"/>
      <c r="G69" s="20"/>
      <c r="H69" s="20"/>
      <c r="I69" s="67">
        <f t="shared" si="37"/>
        <v>0</v>
      </c>
      <c r="J69" s="20"/>
      <c r="K69" s="20"/>
      <c r="L69" s="20"/>
      <c r="M69" s="67">
        <f t="shared" si="38"/>
        <v>0</v>
      </c>
      <c r="N69" s="20"/>
      <c r="O69" s="20"/>
      <c r="P69" s="20"/>
      <c r="Q69" s="67">
        <f t="shared" si="39"/>
        <v>0</v>
      </c>
      <c r="R69" s="21">
        <f t="shared" si="40"/>
        <v>0</v>
      </c>
    </row>
    <row r="70" spans="1:18" ht="12.75" hidden="1" outlineLevel="3">
      <c r="A70" s="19" t="s">
        <v>43</v>
      </c>
      <c r="B70" s="20"/>
      <c r="C70" s="20"/>
      <c r="D70" s="20"/>
      <c r="E70" s="67">
        <f t="shared" si="36"/>
        <v>0</v>
      </c>
      <c r="F70" s="20"/>
      <c r="G70" s="20"/>
      <c r="H70" s="20"/>
      <c r="I70" s="67">
        <f t="shared" si="37"/>
        <v>0</v>
      </c>
      <c r="J70" s="20"/>
      <c r="K70" s="20"/>
      <c r="L70" s="20"/>
      <c r="M70" s="67">
        <f t="shared" si="38"/>
        <v>0</v>
      </c>
      <c r="N70" s="20"/>
      <c r="O70" s="20"/>
      <c r="P70" s="20"/>
      <c r="Q70" s="67">
        <f t="shared" si="39"/>
        <v>0</v>
      </c>
      <c r="R70" s="21">
        <f t="shared" si="40"/>
        <v>0</v>
      </c>
    </row>
    <row r="71" spans="1:18" ht="12.75" hidden="1" outlineLevel="3">
      <c r="A71" s="19" t="s">
        <v>44</v>
      </c>
      <c r="B71" s="20"/>
      <c r="C71" s="20"/>
      <c r="D71" s="20"/>
      <c r="E71" s="67">
        <f t="shared" si="36"/>
        <v>0</v>
      </c>
      <c r="F71" s="20"/>
      <c r="G71" s="20"/>
      <c r="H71" s="20"/>
      <c r="I71" s="67">
        <f t="shared" si="37"/>
        <v>0</v>
      </c>
      <c r="J71" s="20"/>
      <c r="K71" s="20"/>
      <c r="L71" s="20"/>
      <c r="M71" s="67">
        <f t="shared" si="38"/>
        <v>0</v>
      </c>
      <c r="N71" s="20"/>
      <c r="O71" s="20"/>
      <c r="P71" s="20"/>
      <c r="Q71" s="67">
        <f t="shared" si="39"/>
        <v>0</v>
      </c>
      <c r="R71" s="21">
        <f t="shared" si="40"/>
        <v>0</v>
      </c>
    </row>
    <row r="72" spans="1:18" ht="12.75" hidden="1" outlineLevel="3">
      <c r="A72" s="19" t="s">
        <v>45</v>
      </c>
      <c r="B72" s="62">
        <v>341.93</v>
      </c>
      <c r="C72" s="62"/>
      <c r="D72" s="62"/>
      <c r="E72" s="35">
        <f t="shared" si="36"/>
        <v>341.93</v>
      </c>
      <c r="F72" s="62"/>
      <c r="G72" s="62"/>
      <c r="H72" s="62"/>
      <c r="I72" s="35">
        <f t="shared" si="37"/>
        <v>0</v>
      </c>
      <c r="J72" s="62"/>
      <c r="K72" s="62"/>
      <c r="L72" s="62"/>
      <c r="M72" s="35">
        <f t="shared" si="38"/>
        <v>0</v>
      </c>
      <c r="N72" s="62"/>
      <c r="O72" s="62"/>
      <c r="P72" s="62"/>
      <c r="Q72" s="35">
        <f t="shared" si="39"/>
        <v>0</v>
      </c>
      <c r="R72" s="34">
        <f t="shared" si="40"/>
        <v>341.93</v>
      </c>
    </row>
    <row r="73" spans="1:18" ht="12.75" hidden="1" outlineLevel="3">
      <c r="A73" s="19" t="s">
        <v>46</v>
      </c>
      <c r="B73" s="20"/>
      <c r="C73" s="20"/>
      <c r="D73" s="20"/>
      <c r="E73" s="67">
        <f t="shared" si="36"/>
        <v>0</v>
      </c>
      <c r="F73" s="20"/>
      <c r="G73" s="20"/>
      <c r="H73" s="20"/>
      <c r="I73" s="67">
        <f t="shared" si="37"/>
        <v>0</v>
      </c>
      <c r="J73" s="20"/>
      <c r="K73" s="20"/>
      <c r="L73" s="20"/>
      <c r="M73" s="67">
        <f t="shared" si="38"/>
        <v>0</v>
      </c>
      <c r="N73" s="20"/>
      <c r="O73" s="20"/>
      <c r="P73" s="20"/>
      <c r="Q73" s="67">
        <f t="shared" si="39"/>
        <v>0</v>
      </c>
      <c r="R73" s="21">
        <f t="shared" si="40"/>
        <v>0</v>
      </c>
    </row>
    <row r="74" spans="1:18" ht="12.75" hidden="1" outlineLevel="3">
      <c r="A74" s="19" t="s">
        <v>58</v>
      </c>
      <c r="B74" s="62">
        <v>39.55</v>
      </c>
      <c r="C74" s="62"/>
      <c r="D74" s="62"/>
      <c r="E74" s="59">
        <f t="shared" si="36"/>
        <v>39.55</v>
      </c>
      <c r="F74" s="52"/>
      <c r="G74" s="52"/>
      <c r="H74" s="52"/>
      <c r="I74" s="59">
        <f t="shared" si="37"/>
        <v>0</v>
      </c>
      <c r="J74" s="52">
        <v>14.82</v>
      </c>
      <c r="K74" s="52"/>
      <c r="L74" s="52"/>
      <c r="M74" s="59">
        <f t="shared" si="38"/>
        <v>14.82</v>
      </c>
      <c r="N74" s="52"/>
      <c r="O74" s="52">
        <v>75.92</v>
      </c>
      <c r="P74" s="52">
        <v>8.45</v>
      </c>
      <c r="Q74" s="59">
        <f t="shared" si="39"/>
        <v>84.37</v>
      </c>
      <c r="R74" s="60">
        <f t="shared" si="40"/>
        <v>138.74</v>
      </c>
    </row>
    <row r="75" spans="1:18" ht="12.75" hidden="1" outlineLevel="2">
      <c r="A75" s="22" t="s">
        <v>47</v>
      </c>
      <c r="B75" s="63">
        <f aca="true" t="shared" si="41" ref="B75:Q75">SUM(B67:B74)</f>
        <v>381.48</v>
      </c>
      <c r="C75" s="63">
        <f t="shared" si="41"/>
        <v>0</v>
      </c>
      <c r="D75" s="63">
        <f t="shared" si="41"/>
        <v>0</v>
      </c>
      <c r="E75" s="33">
        <f t="shared" si="41"/>
        <v>381.48</v>
      </c>
      <c r="F75" s="33">
        <f t="shared" si="41"/>
        <v>0</v>
      </c>
      <c r="G75" s="33">
        <f t="shared" si="41"/>
        <v>0</v>
      </c>
      <c r="H75" s="33">
        <f t="shared" si="41"/>
        <v>0</v>
      </c>
      <c r="I75" s="33">
        <f t="shared" si="41"/>
        <v>0</v>
      </c>
      <c r="J75" s="33">
        <f t="shared" si="41"/>
        <v>14.82</v>
      </c>
      <c r="K75" s="33">
        <f t="shared" si="41"/>
        <v>0</v>
      </c>
      <c r="L75" s="33">
        <f t="shared" si="41"/>
        <v>0</v>
      </c>
      <c r="M75" s="33">
        <f t="shared" si="41"/>
        <v>14.82</v>
      </c>
      <c r="N75" s="33">
        <f t="shared" si="41"/>
        <v>0</v>
      </c>
      <c r="O75" s="33">
        <f t="shared" si="41"/>
        <v>75.92</v>
      </c>
      <c r="P75" s="33">
        <f t="shared" si="41"/>
        <v>8.45</v>
      </c>
      <c r="Q75" s="33">
        <f t="shared" si="41"/>
        <v>84.37</v>
      </c>
      <c r="R75" s="34">
        <f t="shared" si="40"/>
        <v>480.67</v>
      </c>
    </row>
    <row r="76" spans="1:18" ht="12.75" hidden="1" outlineLevel="3">
      <c r="A76" s="23" t="s">
        <v>15</v>
      </c>
      <c r="B76" s="63">
        <v>108.24</v>
      </c>
      <c r="C76" s="63">
        <v>108.96</v>
      </c>
      <c r="D76" s="63">
        <v>111.6</v>
      </c>
      <c r="E76" s="35">
        <f aca="true" t="shared" si="42" ref="E76:E84">SUM(B76:D76)</f>
        <v>328.79999999999995</v>
      </c>
      <c r="F76" s="37">
        <v>114.48</v>
      </c>
      <c r="G76" s="37">
        <v>108.84</v>
      </c>
      <c r="H76" s="37">
        <v>109.2</v>
      </c>
      <c r="I76" s="35">
        <f aca="true" t="shared" si="43" ref="I76:I84">SUM(F76:H76)</f>
        <v>332.52</v>
      </c>
      <c r="J76" s="37">
        <v>110.28</v>
      </c>
      <c r="K76" s="37">
        <v>111.6</v>
      </c>
      <c r="L76" s="37">
        <v>114.12</v>
      </c>
      <c r="M76" s="35">
        <f aca="true" t="shared" si="44" ref="M76:M84">SUM(J76:L76)</f>
        <v>336</v>
      </c>
      <c r="N76" s="37">
        <v>115.56</v>
      </c>
      <c r="O76" s="37">
        <v>114.48</v>
      </c>
      <c r="P76" s="38">
        <v>114.36</v>
      </c>
      <c r="Q76" s="35">
        <f aca="true" t="shared" si="45" ref="Q76:Q84">SUM(N76:P76)</f>
        <v>344.40000000000003</v>
      </c>
      <c r="R76" s="34">
        <f t="shared" si="40"/>
        <v>1341.72</v>
      </c>
    </row>
    <row r="77" spans="1:18" ht="12.75" hidden="1" outlineLevel="3">
      <c r="A77" s="23" t="s">
        <v>16</v>
      </c>
      <c r="B77" s="62">
        <v>19</v>
      </c>
      <c r="C77" s="62">
        <v>19</v>
      </c>
      <c r="D77" s="62">
        <v>19</v>
      </c>
      <c r="E77" s="35">
        <f t="shared" si="42"/>
        <v>57</v>
      </c>
      <c r="F77" s="62">
        <v>19</v>
      </c>
      <c r="G77" s="62">
        <v>19</v>
      </c>
      <c r="H77" s="62">
        <v>19</v>
      </c>
      <c r="I77" s="35">
        <f t="shared" si="43"/>
        <v>57</v>
      </c>
      <c r="J77" s="62">
        <v>19</v>
      </c>
      <c r="K77" s="62">
        <v>19</v>
      </c>
      <c r="L77" s="62">
        <v>19</v>
      </c>
      <c r="M77" s="35">
        <f t="shared" si="44"/>
        <v>57</v>
      </c>
      <c r="N77" s="62">
        <v>19</v>
      </c>
      <c r="O77" s="62">
        <v>19</v>
      </c>
      <c r="P77" s="62">
        <v>19</v>
      </c>
      <c r="Q77" s="35">
        <f t="shared" si="45"/>
        <v>57</v>
      </c>
      <c r="R77" s="34">
        <f t="shared" si="40"/>
        <v>228</v>
      </c>
    </row>
    <row r="78" spans="1:18" ht="12.75" hidden="1" outlineLevel="3">
      <c r="A78" s="23" t="s">
        <v>17</v>
      </c>
      <c r="B78" s="63">
        <v>20.34</v>
      </c>
      <c r="C78" s="63">
        <v>47.46</v>
      </c>
      <c r="D78" s="63">
        <v>57.63</v>
      </c>
      <c r="E78" s="35">
        <f t="shared" si="42"/>
        <v>125.43</v>
      </c>
      <c r="F78" s="37">
        <v>39.55</v>
      </c>
      <c r="G78" s="37">
        <v>44.07</v>
      </c>
      <c r="H78" s="37">
        <v>30.51</v>
      </c>
      <c r="I78" s="35">
        <f t="shared" si="43"/>
        <v>114.13000000000001</v>
      </c>
      <c r="J78" s="37">
        <v>25.99</v>
      </c>
      <c r="K78" s="37">
        <v>48.59</v>
      </c>
      <c r="L78" s="37">
        <v>93.79</v>
      </c>
      <c r="M78" s="35">
        <f t="shared" si="44"/>
        <v>168.37</v>
      </c>
      <c r="N78" s="37">
        <v>65.54</v>
      </c>
      <c r="O78" s="37">
        <v>39.55</v>
      </c>
      <c r="P78" s="38">
        <v>27.12</v>
      </c>
      <c r="Q78" s="35">
        <f t="shared" si="45"/>
        <v>132.21</v>
      </c>
      <c r="R78" s="34">
        <f t="shared" si="40"/>
        <v>540.1400000000001</v>
      </c>
    </row>
    <row r="79" spans="1:18" ht="12.75" hidden="1" outlineLevel="3">
      <c r="A79" s="25" t="s">
        <v>18</v>
      </c>
      <c r="B79" s="63">
        <v>1.22</v>
      </c>
      <c r="C79" s="63"/>
      <c r="D79" s="63"/>
      <c r="E79" s="35">
        <f t="shared" si="42"/>
        <v>1.22</v>
      </c>
      <c r="F79" s="37"/>
      <c r="G79" s="37"/>
      <c r="H79" s="37"/>
      <c r="I79" s="35">
        <f t="shared" si="43"/>
        <v>0</v>
      </c>
      <c r="J79" s="37"/>
      <c r="K79" s="37"/>
      <c r="L79" s="37"/>
      <c r="M79" s="35">
        <f t="shared" si="44"/>
        <v>0</v>
      </c>
      <c r="N79" s="37">
        <f>3.32+3.92+15.8+30.02+6.28+6.14+3.46+3.67+3.88+8.76+3.95+4.38</f>
        <v>93.58</v>
      </c>
      <c r="O79" s="37"/>
      <c r="P79" s="38">
        <f>3.35+3.95</f>
        <v>7.300000000000001</v>
      </c>
      <c r="Q79" s="35">
        <f t="shared" si="45"/>
        <v>100.88</v>
      </c>
      <c r="R79" s="34">
        <f t="shared" si="40"/>
        <v>102.1</v>
      </c>
    </row>
    <row r="80" spans="1:18" ht="12.75" hidden="1" outlineLevel="3">
      <c r="A80" s="23" t="s">
        <v>19</v>
      </c>
      <c r="B80" s="63">
        <v>0.93</v>
      </c>
      <c r="C80" s="63"/>
      <c r="D80" s="63">
        <v>7.44</v>
      </c>
      <c r="E80" s="35">
        <f t="shared" si="42"/>
        <v>8.370000000000001</v>
      </c>
      <c r="F80" s="37"/>
      <c r="G80" s="37"/>
      <c r="H80" s="37"/>
      <c r="I80" s="35">
        <f t="shared" si="43"/>
        <v>0</v>
      </c>
      <c r="J80" s="37">
        <v>1.86</v>
      </c>
      <c r="K80" s="37">
        <v>1.86</v>
      </c>
      <c r="L80" s="37"/>
      <c r="M80" s="35">
        <f t="shared" si="44"/>
        <v>3.72</v>
      </c>
      <c r="N80" s="37"/>
      <c r="O80" s="37"/>
      <c r="P80" s="38">
        <v>4.65</v>
      </c>
      <c r="Q80" s="35">
        <f t="shared" si="45"/>
        <v>4.65</v>
      </c>
      <c r="R80" s="34">
        <f t="shared" si="40"/>
        <v>16.740000000000002</v>
      </c>
    </row>
    <row r="81" spans="1:18" ht="12.75" hidden="1" outlineLevel="3">
      <c r="A81" s="23" t="s">
        <v>20</v>
      </c>
      <c r="B81" s="63">
        <v>10.13</v>
      </c>
      <c r="C81" s="63">
        <f>32.5+0.06+10.17</f>
        <v>42.730000000000004</v>
      </c>
      <c r="D81" s="63">
        <f>43+0.3+39.55</f>
        <v>82.85</v>
      </c>
      <c r="E81" s="35">
        <f t="shared" si="42"/>
        <v>135.71</v>
      </c>
      <c r="F81" s="37">
        <v>17.25</v>
      </c>
      <c r="G81" s="37">
        <v>11.5</v>
      </c>
      <c r="H81" s="37">
        <v>6.06</v>
      </c>
      <c r="I81" s="35">
        <f t="shared" si="43"/>
        <v>34.81</v>
      </c>
      <c r="J81" s="37">
        <v>11.5</v>
      </c>
      <c r="K81" s="37">
        <v>27</v>
      </c>
      <c r="L81" s="37">
        <v>35</v>
      </c>
      <c r="M81" s="35">
        <f t="shared" si="44"/>
        <v>73.5</v>
      </c>
      <c r="N81" s="37">
        <v>32</v>
      </c>
      <c r="O81" s="37">
        <v>6</v>
      </c>
      <c r="P81" s="38">
        <v>7.5</v>
      </c>
      <c r="Q81" s="35">
        <f t="shared" si="45"/>
        <v>45.5</v>
      </c>
      <c r="R81" s="34">
        <f t="shared" si="40"/>
        <v>289.52</v>
      </c>
    </row>
    <row r="82" spans="1:18" ht="12.75" hidden="1" outlineLevel="3">
      <c r="A82" s="23" t="s">
        <v>21</v>
      </c>
      <c r="B82" s="63"/>
      <c r="C82" s="63"/>
      <c r="D82" s="63"/>
      <c r="E82" s="35">
        <f t="shared" si="42"/>
        <v>0</v>
      </c>
      <c r="F82" s="37"/>
      <c r="G82" s="37"/>
      <c r="H82" s="37"/>
      <c r="I82" s="35">
        <f t="shared" si="43"/>
        <v>0</v>
      </c>
      <c r="J82" s="37"/>
      <c r="K82" s="37"/>
      <c r="L82" s="37"/>
      <c r="M82" s="35">
        <f t="shared" si="44"/>
        <v>0</v>
      </c>
      <c r="N82" s="37"/>
      <c r="O82" s="37"/>
      <c r="P82" s="38"/>
      <c r="Q82" s="35">
        <f t="shared" si="45"/>
        <v>0</v>
      </c>
      <c r="R82" s="34">
        <f t="shared" si="40"/>
        <v>0</v>
      </c>
    </row>
    <row r="83" spans="1:18" ht="12.75" hidden="1" outlineLevel="3">
      <c r="A83" s="23" t="s">
        <v>22</v>
      </c>
      <c r="B83" s="63">
        <v>25.56</v>
      </c>
      <c r="C83" s="63">
        <v>8.52</v>
      </c>
      <c r="D83" s="63">
        <v>17.04</v>
      </c>
      <c r="E83" s="35">
        <f t="shared" si="42"/>
        <v>51.12</v>
      </c>
      <c r="F83" s="37">
        <v>21.3</v>
      </c>
      <c r="G83" s="37">
        <v>21.3</v>
      </c>
      <c r="H83" s="37">
        <v>17.04</v>
      </c>
      <c r="I83" s="35">
        <f t="shared" si="43"/>
        <v>59.64</v>
      </c>
      <c r="J83" s="37"/>
      <c r="K83" s="37">
        <v>29.82</v>
      </c>
      <c r="L83" s="37">
        <v>38.34</v>
      </c>
      <c r="M83" s="35">
        <f t="shared" si="44"/>
        <v>68.16</v>
      </c>
      <c r="N83" s="37">
        <v>4.26</v>
      </c>
      <c r="O83" s="37">
        <v>46.86</v>
      </c>
      <c r="P83" s="38">
        <v>4.26</v>
      </c>
      <c r="Q83" s="35">
        <f t="shared" si="45"/>
        <v>55.379999999999995</v>
      </c>
      <c r="R83" s="34">
        <f t="shared" si="40"/>
        <v>234.3</v>
      </c>
    </row>
    <row r="84" spans="1:18" ht="12.75" hidden="1" outlineLevel="3">
      <c r="A84" s="23" t="s">
        <v>61</v>
      </c>
      <c r="B84" s="62"/>
      <c r="C84" s="62"/>
      <c r="D84" s="62"/>
      <c r="E84" s="35">
        <f t="shared" si="42"/>
        <v>0</v>
      </c>
      <c r="F84" s="38"/>
      <c r="G84" s="38"/>
      <c r="H84" s="38"/>
      <c r="I84" s="35">
        <f t="shared" si="43"/>
        <v>0</v>
      </c>
      <c r="J84" s="38"/>
      <c r="K84" s="38"/>
      <c r="L84" s="38"/>
      <c r="M84" s="35">
        <f t="shared" si="44"/>
        <v>0</v>
      </c>
      <c r="N84" s="38"/>
      <c r="O84" s="38"/>
      <c r="P84" s="38"/>
      <c r="Q84" s="35">
        <f t="shared" si="45"/>
        <v>0</v>
      </c>
      <c r="R84" s="34">
        <f t="shared" si="40"/>
        <v>0</v>
      </c>
    </row>
    <row r="85" spans="1:18" ht="12.75" hidden="1" outlineLevel="2">
      <c r="A85" s="28" t="s">
        <v>50</v>
      </c>
      <c r="B85" s="68">
        <f aca="true" t="shared" si="46" ref="B85:Q85">SUM(B76:B83)</f>
        <v>185.42</v>
      </c>
      <c r="C85" s="68">
        <f t="shared" si="46"/>
        <v>226.67</v>
      </c>
      <c r="D85" s="68">
        <f t="shared" si="46"/>
        <v>295.56</v>
      </c>
      <c r="E85" s="42">
        <f t="shared" si="46"/>
        <v>707.65</v>
      </c>
      <c r="F85" s="43">
        <f t="shared" si="46"/>
        <v>211.58000000000004</v>
      </c>
      <c r="G85" s="43">
        <f t="shared" si="46"/>
        <v>204.71</v>
      </c>
      <c r="H85" s="43">
        <f t="shared" si="46"/>
        <v>181.80999999999997</v>
      </c>
      <c r="I85" s="42">
        <f t="shared" si="46"/>
        <v>598.1</v>
      </c>
      <c r="J85" s="43">
        <f t="shared" si="46"/>
        <v>168.63000000000002</v>
      </c>
      <c r="K85" s="43">
        <f t="shared" si="46"/>
        <v>237.87</v>
      </c>
      <c r="L85" s="43">
        <f t="shared" si="46"/>
        <v>300.25</v>
      </c>
      <c r="M85" s="42">
        <f t="shared" si="46"/>
        <v>706.75</v>
      </c>
      <c r="N85" s="43">
        <f t="shared" si="46"/>
        <v>329.94</v>
      </c>
      <c r="O85" s="43">
        <f t="shared" si="46"/>
        <v>225.89000000000004</v>
      </c>
      <c r="P85" s="43">
        <f t="shared" si="46"/>
        <v>184.19000000000003</v>
      </c>
      <c r="Q85" s="42">
        <f t="shared" si="46"/>
        <v>740.02</v>
      </c>
      <c r="R85" s="44">
        <f t="shared" si="40"/>
        <v>2752.52</v>
      </c>
    </row>
    <row r="86" spans="1:21" ht="13.5" outlineLevel="1" collapsed="1" thickBot="1">
      <c r="A86" s="26" t="s">
        <v>48</v>
      </c>
      <c r="B86" s="46">
        <f aca="true" t="shared" si="47" ref="B86:R86">B85+B75</f>
        <v>566.9</v>
      </c>
      <c r="C86" s="46">
        <f t="shared" si="47"/>
        <v>226.67</v>
      </c>
      <c r="D86" s="46">
        <f t="shared" si="47"/>
        <v>295.56</v>
      </c>
      <c r="E86" s="45">
        <f t="shared" si="47"/>
        <v>1089.13</v>
      </c>
      <c r="F86" s="46">
        <f t="shared" si="47"/>
        <v>211.58000000000004</v>
      </c>
      <c r="G86" s="46">
        <f t="shared" si="47"/>
        <v>204.71</v>
      </c>
      <c r="H86" s="46">
        <f t="shared" si="47"/>
        <v>181.80999999999997</v>
      </c>
      <c r="I86" s="45">
        <f t="shared" si="47"/>
        <v>598.1</v>
      </c>
      <c r="J86" s="46">
        <f t="shared" si="47"/>
        <v>183.45000000000002</v>
      </c>
      <c r="K86" s="46">
        <f t="shared" si="47"/>
        <v>237.87</v>
      </c>
      <c r="L86" s="46">
        <f t="shared" si="47"/>
        <v>300.25</v>
      </c>
      <c r="M86" s="45">
        <f t="shared" si="47"/>
        <v>721.57</v>
      </c>
      <c r="N86" s="46">
        <f t="shared" si="47"/>
        <v>329.94</v>
      </c>
      <c r="O86" s="46">
        <f t="shared" si="47"/>
        <v>301.81000000000006</v>
      </c>
      <c r="P86" s="46">
        <f t="shared" si="47"/>
        <v>192.64000000000001</v>
      </c>
      <c r="Q86" s="45">
        <f t="shared" si="47"/>
        <v>824.39</v>
      </c>
      <c r="R86" s="47">
        <f t="shared" si="47"/>
        <v>3233.19</v>
      </c>
      <c r="S86" s="65">
        <f>((B76/0.12)+(C76/0.12)+(D76/0.12)+(F76/0.12)+(G76/0.12)+(H76/0.12)+(J76/0.12)+(K76/0.12)+(L76/0.12)+(N76/0.12)+(O76/0.12)+(P76/0.12))/12</f>
        <v>931.75</v>
      </c>
      <c r="T86" s="54">
        <f>IF(R86&gt;0,R86/S86,0)</f>
        <v>3.4700187818620876</v>
      </c>
      <c r="U86" s="66">
        <f>IF(R78&gt;0,R78/R86,0)</f>
        <v>0.16706101404495255</v>
      </c>
    </row>
    <row r="87" spans="1:18" ht="13.5" outlineLevel="1" thickTop="1">
      <c r="A87" s="16" t="s">
        <v>30</v>
      </c>
      <c r="B87" s="17"/>
      <c r="C87" s="17"/>
      <c r="D87" s="17"/>
      <c r="E87" s="14"/>
      <c r="F87" s="17"/>
      <c r="G87" s="17"/>
      <c r="H87" s="17"/>
      <c r="I87" s="14"/>
      <c r="J87" s="17"/>
      <c r="K87" s="17"/>
      <c r="L87" s="17"/>
      <c r="M87" s="14"/>
      <c r="N87" s="17"/>
      <c r="O87" s="17"/>
      <c r="P87" s="17"/>
      <c r="Q87" s="14"/>
      <c r="R87" s="27"/>
    </row>
    <row r="88" spans="1:18" ht="12.75" hidden="1" outlineLevel="3">
      <c r="A88" s="19" t="s">
        <v>40</v>
      </c>
      <c r="B88" s="20"/>
      <c r="C88" s="20"/>
      <c r="D88" s="20"/>
      <c r="E88" s="67">
        <f aca="true" t="shared" si="48" ref="E88:E95">SUM(B88:D88)</f>
        <v>0</v>
      </c>
      <c r="F88" s="20"/>
      <c r="G88" s="20"/>
      <c r="H88" s="20"/>
      <c r="I88" s="67">
        <f aca="true" t="shared" si="49" ref="I88:I95">SUM(F88:H88)</f>
        <v>0</v>
      </c>
      <c r="J88" s="20"/>
      <c r="K88" s="20"/>
      <c r="L88" s="20"/>
      <c r="M88" s="67">
        <f aca="true" t="shared" si="50" ref="M88:M95">SUM(J88:L88)</f>
        <v>0</v>
      </c>
      <c r="N88" s="20"/>
      <c r="O88" s="20"/>
      <c r="P88" s="20"/>
      <c r="Q88" s="67">
        <f aca="true" t="shared" si="51" ref="Q88:Q95">SUM(N88:P88)</f>
        <v>0</v>
      </c>
      <c r="R88" s="21">
        <f aca="true" t="shared" si="52" ref="R88:R106">Q88+M88+I88+E88</f>
        <v>0</v>
      </c>
    </row>
    <row r="89" spans="1:18" ht="12.75" hidden="1" outlineLevel="3">
      <c r="A89" s="19" t="s">
        <v>41</v>
      </c>
      <c r="B89" s="20"/>
      <c r="C89" s="20"/>
      <c r="D89" s="20"/>
      <c r="E89" s="67">
        <f t="shared" si="48"/>
        <v>0</v>
      </c>
      <c r="F89" s="20"/>
      <c r="G89" s="20"/>
      <c r="H89" s="20"/>
      <c r="I89" s="67">
        <f t="shared" si="49"/>
        <v>0</v>
      </c>
      <c r="J89" s="20"/>
      <c r="K89" s="20"/>
      <c r="L89" s="20"/>
      <c r="M89" s="67">
        <f t="shared" si="50"/>
        <v>0</v>
      </c>
      <c r="N89" s="20"/>
      <c r="O89" s="20"/>
      <c r="P89" s="20"/>
      <c r="Q89" s="67">
        <f t="shared" si="51"/>
        <v>0</v>
      </c>
      <c r="R89" s="21">
        <f t="shared" si="52"/>
        <v>0</v>
      </c>
    </row>
    <row r="90" spans="1:18" ht="12.75" hidden="1" outlineLevel="3">
      <c r="A90" s="19" t="s">
        <v>42</v>
      </c>
      <c r="B90" s="20"/>
      <c r="C90" s="20"/>
      <c r="D90" s="20"/>
      <c r="E90" s="67">
        <f t="shared" si="48"/>
        <v>0</v>
      </c>
      <c r="F90" s="20"/>
      <c r="G90" s="20"/>
      <c r="H90" s="20"/>
      <c r="I90" s="67">
        <f t="shared" si="49"/>
        <v>0</v>
      </c>
      <c r="J90" s="20"/>
      <c r="K90" s="20"/>
      <c r="L90" s="20"/>
      <c r="M90" s="67">
        <f t="shared" si="50"/>
        <v>0</v>
      </c>
      <c r="N90" s="20"/>
      <c r="O90" s="20"/>
      <c r="P90" s="20"/>
      <c r="Q90" s="67">
        <f t="shared" si="51"/>
        <v>0</v>
      </c>
      <c r="R90" s="21">
        <f t="shared" si="52"/>
        <v>0</v>
      </c>
    </row>
    <row r="91" spans="1:18" ht="12.75" hidden="1" outlineLevel="3">
      <c r="A91" s="19" t="s">
        <v>43</v>
      </c>
      <c r="B91" s="20"/>
      <c r="C91" s="20"/>
      <c r="D91" s="20"/>
      <c r="E91" s="67">
        <f t="shared" si="48"/>
        <v>0</v>
      </c>
      <c r="F91" s="20"/>
      <c r="G91" s="20"/>
      <c r="H91" s="20"/>
      <c r="I91" s="67">
        <f t="shared" si="49"/>
        <v>0</v>
      </c>
      <c r="J91" s="20"/>
      <c r="K91" s="20"/>
      <c r="L91" s="20"/>
      <c r="M91" s="67">
        <f t="shared" si="50"/>
        <v>0</v>
      </c>
      <c r="N91" s="20"/>
      <c r="O91" s="20"/>
      <c r="P91" s="20"/>
      <c r="Q91" s="67">
        <f t="shared" si="51"/>
        <v>0</v>
      </c>
      <c r="R91" s="21">
        <f t="shared" si="52"/>
        <v>0</v>
      </c>
    </row>
    <row r="92" spans="1:18" ht="12.75" hidden="1" outlineLevel="3">
      <c r="A92" s="19" t="s">
        <v>44</v>
      </c>
      <c r="B92" s="20"/>
      <c r="C92" s="20"/>
      <c r="D92" s="20"/>
      <c r="E92" s="67">
        <f t="shared" si="48"/>
        <v>0</v>
      </c>
      <c r="F92" s="20"/>
      <c r="G92" s="20"/>
      <c r="H92" s="20"/>
      <c r="I92" s="67">
        <f t="shared" si="49"/>
        <v>0</v>
      </c>
      <c r="J92" s="20"/>
      <c r="K92" s="20"/>
      <c r="L92" s="20"/>
      <c r="M92" s="67">
        <f t="shared" si="50"/>
        <v>0</v>
      </c>
      <c r="N92" s="20"/>
      <c r="O92" s="20"/>
      <c r="P92" s="20"/>
      <c r="Q92" s="67">
        <f t="shared" si="51"/>
        <v>0</v>
      </c>
      <c r="R92" s="21">
        <f t="shared" si="52"/>
        <v>0</v>
      </c>
    </row>
    <row r="93" spans="1:18" ht="12.75" hidden="1" outlineLevel="3">
      <c r="A93" s="19" t="s">
        <v>45</v>
      </c>
      <c r="B93" s="62">
        <v>132.72</v>
      </c>
      <c r="C93" s="62"/>
      <c r="D93" s="62"/>
      <c r="E93" s="35">
        <f t="shared" si="48"/>
        <v>132.72</v>
      </c>
      <c r="F93" s="62"/>
      <c r="G93" s="62"/>
      <c r="H93" s="62"/>
      <c r="I93" s="35">
        <f t="shared" si="49"/>
        <v>0</v>
      </c>
      <c r="J93" s="62"/>
      <c r="K93" s="62"/>
      <c r="L93" s="62"/>
      <c r="M93" s="35">
        <f t="shared" si="50"/>
        <v>0</v>
      </c>
      <c r="N93" s="62"/>
      <c r="O93" s="62"/>
      <c r="P93" s="62"/>
      <c r="Q93" s="35">
        <f t="shared" si="51"/>
        <v>0</v>
      </c>
      <c r="R93" s="34">
        <f t="shared" si="52"/>
        <v>132.72</v>
      </c>
    </row>
    <row r="94" spans="1:18" ht="12.75" hidden="1" outlineLevel="3">
      <c r="A94" s="19" t="s">
        <v>46</v>
      </c>
      <c r="B94" s="20"/>
      <c r="C94" s="20"/>
      <c r="D94" s="20"/>
      <c r="E94" s="67">
        <f t="shared" si="48"/>
        <v>0</v>
      </c>
      <c r="F94" s="20"/>
      <c r="G94" s="20"/>
      <c r="H94" s="20"/>
      <c r="I94" s="67">
        <f t="shared" si="49"/>
        <v>0</v>
      </c>
      <c r="J94" s="20"/>
      <c r="K94" s="20"/>
      <c r="L94" s="20"/>
      <c r="M94" s="67">
        <f t="shared" si="50"/>
        <v>0</v>
      </c>
      <c r="N94" s="20"/>
      <c r="O94" s="20"/>
      <c r="P94" s="20"/>
      <c r="Q94" s="67">
        <f t="shared" si="51"/>
        <v>0</v>
      </c>
      <c r="R94" s="21">
        <f t="shared" si="52"/>
        <v>0</v>
      </c>
    </row>
    <row r="95" spans="1:18" ht="12.75" hidden="1" outlineLevel="3">
      <c r="A95" s="19" t="s">
        <v>58</v>
      </c>
      <c r="B95" s="62">
        <v>15.35</v>
      </c>
      <c r="C95" s="62"/>
      <c r="D95" s="62"/>
      <c r="E95" s="59">
        <f t="shared" si="48"/>
        <v>15.35</v>
      </c>
      <c r="F95" s="52"/>
      <c r="G95" s="52"/>
      <c r="H95" s="52"/>
      <c r="I95" s="59">
        <f t="shared" si="49"/>
        <v>0</v>
      </c>
      <c r="J95" s="52">
        <v>5.77</v>
      </c>
      <c r="K95" s="52"/>
      <c r="L95" s="52"/>
      <c r="M95" s="59">
        <f t="shared" si="50"/>
        <v>5.77</v>
      </c>
      <c r="N95" s="52"/>
      <c r="O95" s="52">
        <v>28.73</v>
      </c>
      <c r="P95" s="52">
        <v>9.85</v>
      </c>
      <c r="Q95" s="59">
        <f t="shared" si="51"/>
        <v>38.58</v>
      </c>
      <c r="R95" s="60">
        <f t="shared" si="52"/>
        <v>59.699999999999996</v>
      </c>
    </row>
    <row r="96" spans="1:18" ht="12.75" hidden="1" outlineLevel="2">
      <c r="A96" s="22" t="s">
        <v>47</v>
      </c>
      <c r="B96" s="63">
        <f aca="true" t="shared" si="53" ref="B96:Q96">SUM(B88:B95)</f>
        <v>148.07</v>
      </c>
      <c r="C96" s="63">
        <f t="shared" si="53"/>
        <v>0</v>
      </c>
      <c r="D96" s="63">
        <f t="shared" si="53"/>
        <v>0</v>
      </c>
      <c r="E96" s="33">
        <f t="shared" si="53"/>
        <v>148.07</v>
      </c>
      <c r="F96" s="33">
        <f t="shared" si="53"/>
        <v>0</v>
      </c>
      <c r="G96" s="33">
        <f t="shared" si="53"/>
        <v>0</v>
      </c>
      <c r="H96" s="33">
        <f t="shared" si="53"/>
        <v>0</v>
      </c>
      <c r="I96" s="33">
        <f t="shared" si="53"/>
        <v>0</v>
      </c>
      <c r="J96" s="33">
        <f t="shared" si="53"/>
        <v>5.77</v>
      </c>
      <c r="K96" s="33">
        <f t="shared" si="53"/>
        <v>0</v>
      </c>
      <c r="L96" s="33">
        <f t="shared" si="53"/>
        <v>0</v>
      </c>
      <c r="M96" s="33">
        <f t="shared" si="53"/>
        <v>5.77</v>
      </c>
      <c r="N96" s="33">
        <f t="shared" si="53"/>
        <v>0</v>
      </c>
      <c r="O96" s="33">
        <f t="shared" si="53"/>
        <v>28.73</v>
      </c>
      <c r="P96" s="33">
        <f t="shared" si="53"/>
        <v>9.85</v>
      </c>
      <c r="Q96" s="33">
        <f t="shared" si="53"/>
        <v>38.58</v>
      </c>
      <c r="R96" s="34">
        <f t="shared" si="52"/>
        <v>192.42</v>
      </c>
    </row>
    <row r="97" spans="1:18" ht="12.75" hidden="1" outlineLevel="3">
      <c r="A97" s="23" t="s">
        <v>15</v>
      </c>
      <c r="B97" s="63">
        <v>42.48</v>
      </c>
      <c r="C97" s="63">
        <v>42.24</v>
      </c>
      <c r="D97" s="63">
        <v>42.24</v>
      </c>
      <c r="E97" s="35">
        <f aca="true" t="shared" si="54" ref="E97:E105">SUM(B97:D97)</f>
        <v>126.96000000000001</v>
      </c>
      <c r="F97" s="37">
        <v>42.48</v>
      </c>
      <c r="G97" s="37">
        <v>42.6</v>
      </c>
      <c r="H97" s="37">
        <v>42.48</v>
      </c>
      <c r="I97" s="35">
        <f aca="true" t="shared" si="55" ref="I97:I105">SUM(F97:H97)</f>
        <v>127.56</v>
      </c>
      <c r="J97" s="37">
        <v>42.36</v>
      </c>
      <c r="K97" s="37">
        <v>42.12</v>
      </c>
      <c r="L97" s="37">
        <v>42.48</v>
      </c>
      <c r="M97" s="35">
        <f aca="true" t="shared" si="56" ref="M97:M105">SUM(J97:L97)</f>
        <v>126.95999999999998</v>
      </c>
      <c r="N97" s="37">
        <v>43.08</v>
      </c>
      <c r="O97" s="37">
        <v>43.32</v>
      </c>
      <c r="P97" s="38">
        <v>42.84</v>
      </c>
      <c r="Q97" s="35">
        <f aca="true" t="shared" si="57" ref="Q97:Q105">SUM(N97:P97)</f>
        <v>129.24</v>
      </c>
      <c r="R97" s="34">
        <f t="shared" si="52"/>
        <v>510.72</v>
      </c>
    </row>
    <row r="98" spans="1:18" ht="12.75" hidden="1" outlineLevel="3">
      <c r="A98" s="23" t="s">
        <v>16</v>
      </c>
      <c r="B98" s="62">
        <v>9</v>
      </c>
      <c r="C98" s="62">
        <v>9</v>
      </c>
      <c r="D98" s="62">
        <v>9</v>
      </c>
      <c r="E98" s="35">
        <f t="shared" si="54"/>
        <v>27</v>
      </c>
      <c r="F98" s="62">
        <v>9</v>
      </c>
      <c r="G98" s="62">
        <v>9</v>
      </c>
      <c r="H98" s="62">
        <v>9</v>
      </c>
      <c r="I98" s="35">
        <f t="shared" si="55"/>
        <v>27</v>
      </c>
      <c r="J98" s="62">
        <v>9</v>
      </c>
      <c r="K98" s="62">
        <v>9</v>
      </c>
      <c r="L98" s="62">
        <v>9</v>
      </c>
      <c r="M98" s="35">
        <f t="shared" si="56"/>
        <v>27</v>
      </c>
      <c r="N98" s="62">
        <v>9</v>
      </c>
      <c r="O98" s="62">
        <v>9</v>
      </c>
      <c r="P98" s="62">
        <v>9</v>
      </c>
      <c r="Q98" s="35">
        <f t="shared" si="57"/>
        <v>27</v>
      </c>
      <c r="R98" s="34">
        <f t="shared" si="52"/>
        <v>108</v>
      </c>
    </row>
    <row r="99" spans="1:18" ht="12.75" hidden="1" outlineLevel="3">
      <c r="A99" s="23" t="s">
        <v>17</v>
      </c>
      <c r="B99" s="63">
        <v>12.43</v>
      </c>
      <c r="C99" s="63">
        <v>5.65</v>
      </c>
      <c r="D99" s="63">
        <v>5.65</v>
      </c>
      <c r="E99" s="35">
        <f t="shared" si="54"/>
        <v>23.729999999999997</v>
      </c>
      <c r="F99" s="37">
        <v>9.04</v>
      </c>
      <c r="G99" s="37">
        <v>7.91</v>
      </c>
      <c r="H99" s="37">
        <v>4.52</v>
      </c>
      <c r="I99" s="35">
        <f t="shared" si="55"/>
        <v>21.47</v>
      </c>
      <c r="J99" s="37">
        <v>4.52</v>
      </c>
      <c r="K99" s="37">
        <v>7.91</v>
      </c>
      <c r="L99" s="37">
        <v>6.78</v>
      </c>
      <c r="M99" s="35">
        <f t="shared" si="56"/>
        <v>19.21</v>
      </c>
      <c r="N99" s="37">
        <v>9.04</v>
      </c>
      <c r="O99" s="37">
        <v>9.04</v>
      </c>
      <c r="P99" s="38">
        <v>3.39</v>
      </c>
      <c r="Q99" s="35">
        <f t="shared" si="57"/>
        <v>21.47</v>
      </c>
      <c r="R99" s="34">
        <f t="shared" si="52"/>
        <v>85.88</v>
      </c>
    </row>
    <row r="100" spans="1:18" ht="12.75" hidden="1" outlineLevel="3">
      <c r="A100" s="25" t="s">
        <v>18</v>
      </c>
      <c r="B100" s="63">
        <v>0.38</v>
      </c>
      <c r="C100" s="63"/>
      <c r="D100" s="63"/>
      <c r="E100" s="35">
        <f t="shared" si="54"/>
        <v>0.38</v>
      </c>
      <c r="F100" s="37"/>
      <c r="G100" s="37"/>
      <c r="H100" s="37"/>
      <c r="I100" s="35">
        <f t="shared" si="55"/>
        <v>0</v>
      </c>
      <c r="J100" s="37"/>
      <c r="K100" s="37"/>
      <c r="L100" s="37"/>
      <c r="M100" s="35">
        <f t="shared" si="56"/>
        <v>0</v>
      </c>
      <c r="N100" s="37">
        <f>1.01+1.19+4.78+9.09+1.9+1.86+1.05+1.11+1.17+2.65+1.2+1.33</f>
        <v>28.339999999999996</v>
      </c>
      <c r="O100" s="37"/>
      <c r="P100" s="38">
        <v>2.83</v>
      </c>
      <c r="Q100" s="35">
        <f t="shared" si="57"/>
        <v>31.169999999999995</v>
      </c>
      <c r="R100" s="34">
        <f t="shared" si="52"/>
        <v>31.549999999999994</v>
      </c>
    </row>
    <row r="101" spans="1:18" ht="12.75" hidden="1" outlineLevel="3">
      <c r="A101" s="23" t="s">
        <v>19</v>
      </c>
      <c r="B101" s="63"/>
      <c r="C101" s="63"/>
      <c r="D101" s="63">
        <v>0.93</v>
      </c>
      <c r="E101" s="35">
        <f t="shared" si="54"/>
        <v>0.93</v>
      </c>
      <c r="F101" s="37"/>
      <c r="G101" s="37"/>
      <c r="H101" s="37"/>
      <c r="I101" s="35">
        <f t="shared" si="55"/>
        <v>0</v>
      </c>
      <c r="J101" s="37"/>
      <c r="K101" s="37"/>
      <c r="L101" s="37"/>
      <c r="M101" s="35">
        <f t="shared" si="56"/>
        <v>0</v>
      </c>
      <c r="N101" s="37"/>
      <c r="O101" s="37"/>
      <c r="P101" s="38"/>
      <c r="Q101" s="35">
        <f t="shared" si="57"/>
        <v>0</v>
      </c>
      <c r="R101" s="34">
        <f t="shared" si="52"/>
        <v>0.93</v>
      </c>
    </row>
    <row r="102" spans="1:18" ht="12.75" hidden="1" outlineLevel="3">
      <c r="A102" s="23" t="s">
        <v>20</v>
      </c>
      <c r="B102" s="63">
        <v>1.06</v>
      </c>
      <c r="C102" s="63">
        <v>5.26</v>
      </c>
      <c r="D102" s="63">
        <v>8.65</v>
      </c>
      <c r="E102" s="35">
        <f t="shared" si="54"/>
        <v>14.97</v>
      </c>
      <c r="F102" s="37">
        <v>4.5</v>
      </c>
      <c r="G102" s="37">
        <v>1</v>
      </c>
      <c r="H102" s="37">
        <v>0.5</v>
      </c>
      <c r="I102" s="35">
        <f t="shared" si="55"/>
        <v>6</v>
      </c>
      <c r="J102" s="37">
        <v>3</v>
      </c>
      <c r="K102" s="37">
        <v>5.06</v>
      </c>
      <c r="L102" s="37">
        <v>1</v>
      </c>
      <c r="M102" s="35">
        <f t="shared" si="56"/>
        <v>9.059999999999999</v>
      </c>
      <c r="N102" s="37">
        <v>0.5</v>
      </c>
      <c r="O102" s="37">
        <v>0.5</v>
      </c>
      <c r="P102" s="38">
        <v>0.5</v>
      </c>
      <c r="Q102" s="35">
        <f t="shared" si="57"/>
        <v>1.5</v>
      </c>
      <c r="R102" s="34">
        <f t="shared" si="52"/>
        <v>31.53</v>
      </c>
    </row>
    <row r="103" spans="1:18" ht="12.75" hidden="1" outlineLevel="3">
      <c r="A103" s="23" t="s">
        <v>21</v>
      </c>
      <c r="B103" s="63"/>
      <c r="C103" s="63"/>
      <c r="D103" s="63"/>
      <c r="E103" s="35">
        <f t="shared" si="54"/>
        <v>0</v>
      </c>
      <c r="F103" s="37"/>
      <c r="G103" s="37"/>
      <c r="H103" s="37"/>
      <c r="I103" s="35">
        <f t="shared" si="55"/>
        <v>0</v>
      </c>
      <c r="J103" s="37"/>
      <c r="K103" s="37"/>
      <c r="L103" s="37"/>
      <c r="M103" s="35">
        <f t="shared" si="56"/>
        <v>0</v>
      </c>
      <c r="N103" s="37"/>
      <c r="O103" s="37"/>
      <c r="P103" s="38"/>
      <c r="Q103" s="35">
        <f t="shared" si="57"/>
        <v>0</v>
      </c>
      <c r="R103" s="34">
        <f t="shared" si="52"/>
        <v>0</v>
      </c>
    </row>
    <row r="104" spans="1:18" ht="12.75" hidden="1" outlineLevel="3">
      <c r="A104" s="23" t="s">
        <v>22</v>
      </c>
      <c r="B104" s="63"/>
      <c r="C104" s="63"/>
      <c r="D104" s="63"/>
      <c r="E104" s="35">
        <f t="shared" si="54"/>
        <v>0</v>
      </c>
      <c r="F104" s="37"/>
      <c r="G104" s="37"/>
      <c r="H104" s="37"/>
      <c r="I104" s="35">
        <f t="shared" si="55"/>
        <v>0</v>
      </c>
      <c r="J104" s="37"/>
      <c r="K104" s="37"/>
      <c r="L104" s="37"/>
      <c r="M104" s="35">
        <f t="shared" si="56"/>
        <v>0</v>
      </c>
      <c r="N104" s="37"/>
      <c r="O104" s="37"/>
      <c r="P104" s="38"/>
      <c r="Q104" s="35">
        <f t="shared" si="57"/>
        <v>0</v>
      </c>
      <c r="R104" s="34">
        <f t="shared" si="52"/>
        <v>0</v>
      </c>
    </row>
    <row r="105" spans="1:18" ht="12.75" hidden="1" outlineLevel="3">
      <c r="A105" s="23" t="s">
        <v>61</v>
      </c>
      <c r="B105" s="62"/>
      <c r="C105" s="62"/>
      <c r="D105" s="62"/>
      <c r="E105" s="35">
        <f t="shared" si="54"/>
        <v>0</v>
      </c>
      <c r="F105" s="38"/>
      <c r="G105" s="38"/>
      <c r="H105" s="38"/>
      <c r="I105" s="35">
        <f t="shared" si="55"/>
        <v>0</v>
      </c>
      <c r="J105" s="38"/>
      <c r="K105" s="38"/>
      <c r="L105" s="38"/>
      <c r="M105" s="35">
        <f t="shared" si="56"/>
        <v>0</v>
      </c>
      <c r="N105" s="38"/>
      <c r="O105" s="38"/>
      <c r="P105" s="38"/>
      <c r="Q105" s="35">
        <f t="shared" si="57"/>
        <v>0</v>
      </c>
      <c r="R105" s="34">
        <f t="shared" si="52"/>
        <v>0</v>
      </c>
    </row>
    <row r="106" spans="1:18" ht="12.75" hidden="1" outlineLevel="2">
      <c r="A106" s="28" t="s">
        <v>50</v>
      </c>
      <c r="B106" s="68">
        <f aca="true" t="shared" si="58" ref="B106:Q106">SUM(B97:B104)</f>
        <v>65.35</v>
      </c>
      <c r="C106" s="68">
        <f t="shared" si="58"/>
        <v>62.15</v>
      </c>
      <c r="D106" s="68">
        <f t="shared" si="58"/>
        <v>66.47</v>
      </c>
      <c r="E106" s="42">
        <f t="shared" si="58"/>
        <v>193.97</v>
      </c>
      <c r="F106" s="43">
        <f t="shared" si="58"/>
        <v>65.02</v>
      </c>
      <c r="G106" s="43">
        <f t="shared" si="58"/>
        <v>60.510000000000005</v>
      </c>
      <c r="H106" s="43">
        <f t="shared" si="58"/>
        <v>56.5</v>
      </c>
      <c r="I106" s="42">
        <f t="shared" si="58"/>
        <v>182.03</v>
      </c>
      <c r="J106" s="43">
        <f t="shared" si="58"/>
        <v>58.879999999999995</v>
      </c>
      <c r="K106" s="43">
        <f t="shared" si="58"/>
        <v>64.09</v>
      </c>
      <c r="L106" s="43">
        <f t="shared" si="58"/>
        <v>59.26</v>
      </c>
      <c r="M106" s="42">
        <f t="shared" si="58"/>
        <v>182.23</v>
      </c>
      <c r="N106" s="43">
        <f t="shared" si="58"/>
        <v>89.96</v>
      </c>
      <c r="O106" s="43">
        <f t="shared" si="58"/>
        <v>61.86</v>
      </c>
      <c r="P106" s="43">
        <f t="shared" si="58"/>
        <v>58.56</v>
      </c>
      <c r="Q106" s="42">
        <f t="shared" si="58"/>
        <v>210.38</v>
      </c>
      <c r="R106" s="44">
        <f t="shared" si="52"/>
        <v>768.61</v>
      </c>
    </row>
    <row r="107" spans="1:21" ht="13.5" outlineLevel="1" collapsed="1" thickBot="1">
      <c r="A107" s="26" t="s">
        <v>48</v>
      </c>
      <c r="B107" s="46">
        <f aca="true" t="shared" si="59" ref="B107:R107">B106+B96</f>
        <v>213.42</v>
      </c>
      <c r="C107" s="46">
        <f t="shared" si="59"/>
        <v>62.15</v>
      </c>
      <c r="D107" s="46">
        <f t="shared" si="59"/>
        <v>66.47</v>
      </c>
      <c r="E107" s="45">
        <f t="shared" si="59"/>
        <v>342.03999999999996</v>
      </c>
      <c r="F107" s="46">
        <f t="shared" si="59"/>
        <v>65.02</v>
      </c>
      <c r="G107" s="46">
        <f t="shared" si="59"/>
        <v>60.510000000000005</v>
      </c>
      <c r="H107" s="46">
        <f t="shared" si="59"/>
        <v>56.5</v>
      </c>
      <c r="I107" s="45">
        <f t="shared" si="59"/>
        <v>182.03</v>
      </c>
      <c r="J107" s="46">
        <f t="shared" si="59"/>
        <v>64.64999999999999</v>
      </c>
      <c r="K107" s="46">
        <f t="shared" si="59"/>
        <v>64.09</v>
      </c>
      <c r="L107" s="46">
        <f t="shared" si="59"/>
        <v>59.26</v>
      </c>
      <c r="M107" s="45">
        <f t="shared" si="59"/>
        <v>188</v>
      </c>
      <c r="N107" s="46">
        <f t="shared" si="59"/>
        <v>89.96</v>
      </c>
      <c r="O107" s="46">
        <f t="shared" si="59"/>
        <v>90.59</v>
      </c>
      <c r="P107" s="46">
        <f t="shared" si="59"/>
        <v>68.41</v>
      </c>
      <c r="Q107" s="45">
        <f t="shared" si="59"/>
        <v>248.95999999999998</v>
      </c>
      <c r="R107" s="47">
        <f t="shared" si="59"/>
        <v>961.03</v>
      </c>
      <c r="S107" s="65">
        <f>((B97/0.12)+(C97/0.12)+(D97/0.12)+(F97/0.12)+(G97/0.12)+(H97/0.12)+(J97/0.12)+(K97/0.12)+(L97/0.12)+(N97/0.12)+(O97/0.12)+(P97/0.12))/12</f>
        <v>354.6666666666667</v>
      </c>
      <c r="T107" s="54">
        <f>IF(R107&gt;0,R107/S107,0)</f>
        <v>2.709671052631579</v>
      </c>
      <c r="U107" s="66">
        <f>IF(R99&gt;0,R99/R107,0)</f>
        <v>0.08936245486613321</v>
      </c>
    </row>
    <row r="108" spans="1:18" ht="13.5" outlineLevel="1" thickTop="1">
      <c r="A108" s="16" t="s">
        <v>31</v>
      </c>
      <c r="B108" s="17"/>
      <c r="C108" s="17"/>
      <c r="D108" s="17"/>
      <c r="E108" s="14"/>
      <c r="F108" s="17"/>
      <c r="G108" s="17"/>
      <c r="H108" s="17"/>
      <c r="I108" s="14"/>
      <c r="J108" s="17"/>
      <c r="K108" s="17"/>
      <c r="L108" s="17"/>
      <c r="M108" s="14"/>
      <c r="N108" s="17"/>
      <c r="O108" s="17"/>
      <c r="P108" s="17"/>
      <c r="Q108" s="14"/>
      <c r="R108" s="27"/>
    </row>
    <row r="109" spans="1:18" ht="12.75" hidden="1" outlineLevel="3">
      <c r="A109" s="19" t="s">
        <v>40</v>
      </c>
      <c r="B109" s="20"/>
      <c r="C109" s="20"/>
      <c r="D109" s="20"/>
      <c r="E109" s="67">
        <f aca="true" t="shared" si="60" ref="E109:E116">SUM(B109:D109)</f>
        <v>0</v>
      </c>
      <c r="F109" s="20"/>
      <c r="G109" s="20"/>
      <c r="H109" s="20"/>
      <c r="I109" s="67">
        <f aca="true" t="shared" si="61" ref="I109:I116">SUM(F109:H109)</f>
        <v>0</v>
      </c>
      <c r="J109" s="20"/>
      <c r="K109" s="20"/>
      <c r="L109" s="20"/>
      <c r="M109" s="67">
        <f aca="true" t="shared" si="62" ref="M109:M116">SUM(J109:L109)</f>
        <v>0</v>
      </c>
      <c r="N109" s="20"/>
      <c r="O109" s="20"/>
      <c r="P109" s="20"/>
      <c r="Q109" s="67">
        <f aca="true" t="shared" si="63" ref="Q109:Q116">SUM(N109:P109)</f>
        <v>0</v>
      </c>
      <c r="R109" s="21">
        <f aca="true" t="shared" si="64" ref="R109:R127">Q109+M109+I109+E109</f>
        <v>0</v>
      </c>
    </row>
    <row r="110" spans="1:18" ht="12.75" hidden="1" outlineLevel="3">
      <c r="A110" s="19" t="s">
        <v>41</v>
      </c>
      <c r="B110" s="20"/>
      <c r="C110" s="20"/>
      <c r="D110" s="20"/>
      <c r="E110" s="67">
        <f t="shared" si="60"/>
        <v>0</v>
      </c>
      <c r="F110" s="20"/>
      <c r="G110" s="20"/>
      <c r="H110" s="20"/>
      <c r="I110" s="67">
        <f t="shared" si="61"/>
        <v>0</v>
      </c>
      <c r="J110" s="20"/>
      <c r="K110" s="20"/>
      <c r="L110" s="20"/>
      <c r="M110" s="67">
        <f t="shared" si="62"/>
        <v>0</v>
      </c>
      <c r="N110" s="20"/>
      <c r="O110" s="20"/>
      <c r="P110" s="20"/>
      <c r="Q110" s="67">
        <f t="shared" si="63"/>
        <v>0</v>
      </c>
      <c r="R110" s="21">
        <f t="shared" si="64"/>
        <v>0</v>
      </c>
    </row>
    <row r="111" spans="1:18" ht="12.75" hidden="1" outlineLevel="3">
      <c r="A111" s="19" t="s">
        <v>42</v>
      </c>
      <c r="B111" s="20"/>
      <c r="C111" s="20"/>
      <c r="D111" s="20"/>
      <c r="E111" s="67">
        <f t="shared" si="60"/>
        <v>0</v>
      </c>
      <c r="F111" s="20"/>
      <c r="G111" s="20"/>
      <c r="H111" s="20"/>
      <c r="I111" s="67">
        <f t="shared" si="61"/>
        <v>0</v>
      </c>
      <c r="J111" s="20"/>
      <c r="K111" s="20"/>
      <c r="L111" s="20"/>
      <c r="M111" s="67">
        <f t="shared" si="62"/>
        <v>0</v>
      </c>
      <c r="N111" s="20"/>
      <c r="O111" s="20"/>
      <c r="P111" s="20"/>
      <c r="Q111" s="67">
        <f t="shared" si="63"/>
        <v>0</v>
      </c>
      <c r="R111" s="21">
        <f t="shared" si="64"/>
        <v>0</v>
      </c>
    </row>
    <row r="112" spans="1:18" ht="12.75" hidden="1" outlineLevel="3">
      <c r="A112" s="19" t="s">
        <v>43</v>
      </c>
      <c r="B112" s="20"/>
      <c r="C112" s="20"/>
      <c r="D112" s="20"/>
      <c r="E112" s="67">
        <f t="shared" si="60"/>
        <v>0</v>
      </c>
      <c r="F112" s="20"/>
      <c r="G112" s="20"/>
      <c r="H112" s="20"/>
      <c r="I112" s="67">
        <f t="shared" si="61"/>
        <v>0</v>
      </c>
      <c r="J112" s="20"/>
      <c r="K112" s="20"/>
      <c r="L112" s="20"/>
      <c r="M112" s="67">
        <f t="shared" si="62"/>
        <v>0</v>
      </c>
      <c r="N112" s="20"/>
      <c r="O112" s="20"/>
      <c r="P112" s="20"/>
      <c r="Q112" s="67">
        <f t="shared" si="63"/>
        <v>0</v>
      </c>
      <c r="R112" s="21">
        <f t="shared" si="64"/>
        <v>0</v>
      </c>
    </row>
    <row r="113" spans="1:18" ht="12.75" hidden="1" outlineLevel="3">
      <c r="A113" s="19" t="s">
        <v>44</v>
      </c>
      <c r="B113" s="20"/>
      <c r="C113" s="20"/>
      <c r="D113" s="20"/>
      <c r="E113" s="67">
        <f t="shared" si="60"/>
        <v>0</v>
      </c>
      <c r="F113" s="20"/>
      <c r="G113" s="20"/>
      <c r="H113" s="20"/>
      <c r="I113" s="67">
        <f t="shared" si="61"/>
        <v>0</v>
      </c>
      <c r="J113" s="20"/>
      <c r="K113" s="20"/>
      <c r="L113" s="20"/>
      <c r="M113" s="67">
        <f t="shared" si="62"/>
        <v>0</v>
      </c>
      <c r="N113" s="20"/>
      <c r="O113" s="20"/>
      <c r="P113" s="20"/>
      <c r="Q113" s="67">
        <f t="shared" si="63"/>
        <v>0</v>
      </c>
      <c r="R113" s="21">
        <f t="shared" si="64"/>
        <v>0</v>
      </c>
    </row>
    <row r="114" spans="1:18" ht="12.75" hidden="1" outlineLevel="3">
      <c r="A114" s="19" t="s">
        <v>45</v>
      </c>
      <c r="B114" s="62">
        <v>214.83</v>
      </c>
      <c r="C114" s="62"/>
      <c r="D114" s="62"/>
      <c r="E114" s="35">
        <f t="shared" si="60"/>
        <v>214.83</v>
      </c>
      <c r="F114" s="62"/>
      <c r="G114" s="62"/>
      <c r="H114" s="62"/>
      <c r="I114" s="35">
        <f t="shared" si="61"/>
        <v>0</v>
      </c>
      <c r="J114" s="62"/>
      <c r="K114" s="62"/>
      <c r="L114" s="62"/>
      <c r="M114" s="35">
        <f t="shared" si="62"/>
        <v>0</v>
      </c>
      <c r="N114" s="62"/>
      <c r="O114" s="62"/>
      <c r="P114" s="62"/>
      <c r="Q114" s="35">
        <f t="shared" si="63"/>
        <v>0</v>
      </c>
      <c r="R114" s="34">
        <f t="shared" si="64"/>
        <v>214.83</v>
      </c>
    </row>
    <row r="115" spans="1:18" ht="12.75" hidden="1" outlineLevel="3">
      <c r="A115" s="19" t="s">
        <v>46</v>
      </c>
      <c r="B115" s="20"/>
      <c r="C115" s="20"/>
      <c r="D115" s="20"/>
      <c r="E115" s="67">
        <f t="shared" si="60"/>
        <v>0</v>
      </c>
      <c r="F115" s="20"/>
      <c r="G115" s="20"/>
      <c r="H115" s="20"/>
      <c r="I115" s="67">
        <f t="shared" si="61"/>
        <v>0</v>
      </c>
      <c r="J115" s="20"/>
      <c r="K115" s="20"/>
      <c r="L115" s="20"/>
      <c r="M115" s="67">
        <f t="shared" si="62"/>
        <v>0</v>
      </c>
      <c r="N115" s="20"/>
      <c r="O115" s="20"/>
      <c r="P115" s="20"/>
      <c r="Q115" s="67">
        <f t="shared" si="63"/>
        <v>0</v>
      </c>
      <c r="R115" s="21">
        <f t="shared" si="64"/>
        <v>0</v>
      </c>
    </row>
    <row r="116" spans="1:18" ht="12.75" hidden="1" outlineLevel="3">
      <c r="A116" s="19" t="s">
        <v>58</v>
      </c>
      <c r="B116" s="62">
        <v>24.85</v>
      </c>
      <c r="C116" s="62"/>
      <c r="D116" s="62"/>
      <c r="E116" s="59">
        <f t="shared" si="60"/>
        <v>24.85</v>
      </c>
      <c r="F116" s="52"/>
      <c r="G116" s="52"/>
      <c r="H116" s="52"/>
      <c r="I116" s="59">
        <f t="shared" si="61"/>
        <v>0</v>
      </c>
      <c r="J116" s="52">
        <v>9.33</v>
      </c>
      <c r="K116" s="52"/>
      <c r="L116" s="52"/>
      <c r="M116" s="59">
        <f t="shared" si="62"/>
        <v>9.33</v>
      </c>
      <c r="N116" s="52"/>
      <c r="O116" s="52">
        <v>48.23</v>
      </c>
      <c r="P116" s="52">
        <v>9.37</v>
      </c>
      <c r="Q116" s="59">
        <f t="shared" si="63"/>
        <v>57.599999999999994</v>
      </c>
      <c r="R116" s="60">
        <f t="shared" si="64"/>
        <v>91.78</v>
      </c>
    </row>
    <row r="117" spans="1:18" ht="12.75" hidden="1" outlineLevel="2">
      <c r="A117" s="22" t="s">
        <v>47</v>
      </c>
      <c r="B117" s="63">
        <f aca="true" t="shared" si="65" ref="B117:Q117">SUM(B109:B116)</f>
        <v>239.68</v>
      </c>
      <c r="C117" s="63">
        <f t="shared" si="65"/>
        <v>0</v>
      </c>
      <c r="D117" s="63">
        <f t="shared" si="65"/>
        <v>0</v>
      </c>
      <c r="E117" s="33">
        <f t="shared" si="65"/>
        <v>239.68</v>
      </c>
      <c r="F117" s="33">
        <f t="shared" si="65"/>
        <v>0</v>
      </c>
      <c r="G117" s="33">
        <f t="shared" si="65"/>
        <v>0</v>
      </c>
      <c r="H117" s="33">
        <f t="shared" si="65"/>
        <v>0</v>
      </c>
      <c r="I117" s="33">
        <f t="shared" si="65"/>
        <v>0</v>
      </c>
      <c r="J117" s="33">
        <f t="shared" si="65"/>
        <v>9.33</v>
      </c>
      <c r="K117" s="33">
        <f t="shared" si="65"/>
        <v>0</v>
      </c>
      <c r="L117" s="33">
        <f t="shared" si="65"/>
        <v>0</v>
      </c>
      <c r="M117" s="33">
        <f t="shared" si="65"/>
        <v>9.33</v>
      </c>
      <c r="N117" s="33">
        <f t="shared" si="65"/>
        <v>0</v>
      </c>
      <c r="O117" s="33">
        <f t="shared" si="65"/>
        <v>48.23</v>
      </c>
      <c r="P117" s="33">
        <f t="shared" si="65"/>
        <v>9.37</v>
      </c>
      <c r="Q117" s="33">
        <f t="shared" si="65"/>
        <v>57.599999999999994</v>
      </c>
      <c r="R117" s="34">
        <f t="shared" si="64"/>
        <v>306.61</v>
      </c>
    </row>
    <row r="118" spans="1:18" ht="12.75" hidden="1" outlineLevel="3">
      <c r="A118" s="23" t="s">
        <v>15</v>
      </c>
      <c r="B118" s="63">
        <v>68.04</v>
      </c>
      <c r="C118" s="63">
        <v>67.92</v>
      </c>
      <c r="D118" s="63">
        <v>67.92</v>
      </c>
      <c r="E118" s="35">
        <f aca="true" t="shared" si="66" ref="E118:E126">SUM(B118:D118)</f>
        <v>203.88</v>
      </c>
      <c r="F118" s="37">
        <v>68.04</v>
      </c>
      <c r="G118" s="37">
        <v>68.64</v>
      </c>
      <c r="H118" s="37">
        <v>68.76</v>
      </c>
      <c r="I118" s="35">
        <f aca="true" t="shared" si="67" ref="I118:I126">SUM(F118:H118)</f>
        <v>205.44</v>
      </c>
      <c r="J118" s="37">
        <v>69.24</v>
      </c>
      <c r="K118" s="37">
        <v>69.96</v>
      </c>
      <c r="L118" s="37">
        <v>72.12</v>
      </c>
      <c r="M118" s="35">
        <f aca="true" t="shared" si="68" ref="M118:M126">SUM(J118:L118)</f>
        <v>211.32</v>
      </c>
      <c r="N118" s="37">
        <v>73.32</v>
      </c>
      <c r="O118" s="37">
        <v>72.72</v>
      </c>
      <c r="P118" s="38">
        <v>72.84</v>
      </c>
      <c r="Q118" s="35">
        <f aca="true" t="shared" si="69" ref="Q118:Q126">SUM(N118:P118)</f>
        <v>218.88</v>
      </c>
      <c r="R118" s="34">
        <f t="shared" si="64"/>
        <v>839.52</v>
      </c>
    </row>
    <row r="119" spans="1:18" ht="12.75" hidden="1" outlineLevel="3">
      <c r="A119" s="23" t="s">
        <v>16</v>
      </c>
      <c r="B119" s="62">
        <v>10</v>
      </c>
      <c r="C119" s="62">
        <v>10</v>
      </c>
      <c r="D119" s="62">
        <v>10</v>
      </c>
      <c r="E119" s="35">
        <f t="shared" si="66"/>
        <v>30</v>
      </c>
      <c r="F119" s="62">
        <v>10</v>
      </c>
      <c r="G119" s="62">
        <v>10</v>
      </c>
      <c r="H119" s="62">
        <v>10</v>
      </c>
      <c r="I119" s="35">
        <f t="shared" si="67"/>
        <v>30</v>
      </c>
      <c r="J119" s="62">
        <v>10</v>
      </c>
      <c r="K119" s="62">
        <v>10</v>
      </c>
      <c r="L119" s="62">
        <v>10</v>
      </c>
      <c r="M119" s="35">
        <f t="shared" si="68"/>
        <v>30</v>
      </c>
      <c r="N119" s="62">
        <v>10</v>
      </c>
      <c r="O119" s="62">
        <v>10</v>
      </c>
      <c r="P119" s="62">
        <v>10</v>
      </c>
      <c r="Q119" s="35">
        <f t="shared" si="69"/>
        <v>30</v>
      </c>
      <c r="R119" s="34">
        <f t="shared" si="64"/>
        <v>120</v>
      </c>
    </row>
    <row r="120" spans="1:18" ht="12.75" hidden="1" outlineLevel="3">
      <c r="A120" s="23" t="s">
        <v>17</v>
      </c>
      <c r="B120" s="63">
        <v>6.78</v>
      </c>
      <c r="C120" s="63">
        <v>10.17</v>
      </c>
      <c r="D120" s="63">
        <v>6.78</v>
      </c>
      <c r="E120" s="35">
        <f t="shared" si="66"/>
        <v>23.73</v>
      </c>
      <c r="F120" s="37">
        <v>7.91</v>
      </c>
      <c r="G120" s="37">
        <v>13.56</v>
      </c>
      <c r="H120" s="37">
        <v>10.17</v>
      </c>
      <c r="I120" s="35">
        <f t="shared" si="67"/>
        <v>31.64</v>
      </c>
      <c r="J120" s="37">
        <v>9.04</v>
      </c>
      <c r="K120" s="37">
        <v>20.34</v>
      </c>
      <c r="L120" s="37">
        <v>32.77</v>
      </c>
      <c r="M120" s="35">
        <f t="shared" si="68"/>
        <v>62.150000000000006</v>
      </c>
      <c r="N120" s="37">
        <v>16.95</v>
      </c>
      <c r="O120" s="37">
        <v>12.43</v>
      </c>
      <c r="P120" s="38">
        <v>13.56</v>
      </c>
      <c r="Q120" s="35">
        <f t="shared" si="69"/>
        <v>42.94</v>
      </c>
      <c r="R120" s="34">
        <f t="shared" si="64"/>
        <v>160.46</v>
      </c>
    </row>
    <row r="121" spans="1:18" ht="12.75" hidden="1" outlineLevel="3">
      <c r="A121" s="25" t="s">
        <v>18</v>
      </c>
      <c r="B121" s="62">
        <v>0.74</v>
      </c>
      <c r="C121" s="62"/>
      <c r="D121" s="62"/>
      <c r="E121" s="35">
        <f t="shared" si="66"/>
        <v>0.74</v>
      </c>
      <c r="F121" s="62"/>
      <c r="G121" s="62"/>
      <c r="H121" s="62"/>
      <c r="I121" s="35">
        <f t="shared" si="67"/>
        <v>0</v>
      </c>
      <c r="J121" s="62"/>
      <c r="K121" s="62"/>
      <c r="L121" s="62"/>
      <c r="M121" s="35">
        <f t="shared" si="68"/>
        <v>0</v>
      </c>
      <c r="N121" s="62">
        <f>2.01+2.38+9.57+18.18+3.8+3.72+2.1+2.22+2.35+5.31+2.39+2.65</f>
        <v>56.68</v>
      </c>
      <c r="O121" s="62"/>
      <c r="P121" s="62">
        <f>2.1+2.48</f>
        <v>4.58</v>
      </c>
      <c r="Q121" s="35">
        <f t="shared" si="69"/>
        <v>61.26</v>
      </c>
      <c r="R121" s="34">
        <f t="shared" si="64"/>
        <v>62</v>
      </c>
    </row>
    <row r="122" spans="1:18" ht="12.75" hidden="1" outlineLevel="3">
      <c r="A122" s="23" t="s">
        <v>19</v>
      </c>
      <c r="B122" s="63"/>
      <c r="C122" s="63"/>
      <c r="D122" s="63"/>
      <c r="E122" s="35">
        <f t="shared" si="66"/>
        <v>0</v>
      </c>
      <c r="F122" s="37"/>
      <c r="G122" s="37"/>
      <c r="H122" s="37"/>
      <c r="I122" s="35">
        <f t="shared" si="67"/>
        <v>0</v>
      </c>
      <c r="J122" s="37"/>
      <c r="K122" s="37"/>
      <c r="L122" s="37"/>
      <c r="M122" s="35">
        <f t="shared" si="68"/>
        <v>0</v>
      </c>
      <c r="N122" s="37"/>
      <c r="O122" s="37"/>
      <c r="P122" s="38"/>
      <c r="Q122" s="35">
        <f t="shared" si="69"/>
        <v>0</v>
      </c>
      <c r="R122" s="34">
        <f t="shared" si="64"/>
        <v>0</v>
      </c>
    </row>
    <row r="123" spans="1:18" ht="12.75" hidden="1" outlineLevel="3">
      <c r="A123" s="23" t="s">
        <v>20</v>
      </c>
      <c r="B123" s="63"/>
      <c r="C123" s="63"/>
      <c r="D123" s="63"/>
      <c r="E123" s="35">
        <f t="shared" si="66"/>
        <v>0</v>
      </c>
      <c r="F123" s="37"/>
      <c r="G123" s="37"/>
      <c r="H123" s="37"/>
      <c r="I123" s="35">
        <f t="shared" si="67"/>
        <v>0</v>
      </c>
      <c r="J123" s="37"/>
      <c r="K123" s="37"/>
      <c r="L123" s="37"/>
      <c r="M123" s="35">
        <f t="shared" si="68"/>
        <v>0</v>
      </c>
      <c r="N123" s="37"/>
      <c r="O123" s="37"/>
      <c r="P123" s="38"/>
      <c r="Q123" s="35">
        <f t="shared" si="69"/>
        <v>0</v>
      </c>
      <c r="R123" s="34">
        <f t="shared" si="64"/>
        <v>0</v>
      </c>
    </row>
    <row r="124" spans="1:18" ht="12.75" hidden="1" outlineLevel="3">
      <c r="A124" s="23" t="s">
        <v>21</v>
      </c>
      <c r="B124" s="63"/>
      <c r="C124" s="63"/>
      <c r="D124" s="63"/>
      <c r="E124" s="35">
        <f t="shared" si="66"/>
        <v>0</v>
      </c>
      <c r="F124" s="37"/>
      <c r="G124" s="37"/>
      <c r="H124" s="37"/>
      <c r="I124" s="35">
        <f t="shared" si="67"/>
        <v>0</v>
      </c>
      <c r="J124" s="37"/>
      <c r="K124" s="37"/>
      <c r="L124" s="37"/>
      <c r="M124" s="35">
        <f t="shared" si="68"/>
        <v>0</v>
      </c>
      <c r="N124" s="37"/>
      <c r="O124" s="37"/>
      <c r="P124" s="38"/>
      <c r="Q124" s="35">
        <f t="shared" si="69"/>
        <v>0</v>
      </c>
      <c r="R124" s="34">
        <f t="shared" si="64"/>
        <v>0</v>
      </c>
    </row>
    <row r="125" spans="1:18" ht="12.75" hidden="1" outlineLevel="3">
      <c r="A125" s="23" t="s">
        <v>22</v>
      </c>
      <c r="B125" s="63"/>
      <c r="C125" s="63"/>
      <c r="D125" s="63"/>
      <c r="E125" s="35">
        <f t="shared" si="66"/>
        <v>0</v>
      </c>
      <c r="F125" s="37"/>
      <c r="G125" s="37"/>
      <c r="H125" s="37"/>
      <c r="I125" s="35">
        <f t="shared" si="67"/>
        <v>0</v>
      </c>
      <c r="J125" s="37"/>
      <c r="K125" s="37"/>
      <c r="L125" s="37"/>
      <c r="M125" s="35">
        <f t="shared" si="68"/>
        <v>0</v>
      </c>
      <c r="N125" s="37">
        <v>4.26</v>
      </c>
      <c r="O125" s="37"/>
      <c r="P125" s="38"/>
      <c r="Q125" s="35">
        <f t="shared" si="69"/>
        <v>4.26</v>
      </c>
      <c r="R125" s="34">
        <f t="shared" si="64"/>
        <v>4.26</v>
      </c>
    </row>
    <row r="126" spans="1:18" ht="12.75" hidden="1" outlineLevel="3">
      <c r="A126" s="23" t="s">
        <v>61</v>
      </c>
      <c r="B126" s="62"/>
      <c r="C126" s="62"/>
      <c r="D126" s="62"/>
      <c r="E126" s="35">
        <f t="shared" si="66"/>
        <v>0</v>
      </c>
      <c r="F126" s="38"/>
      <c r="G126" s="38"/>
      <c r="H126" s="38"/>
      <c r="I126" s="35">
        <f t="shared" si="67"/>
        <v>0</v>
      </c>
      <c r="J126" s="38"/>
      <c r="K126" s="38"/>
      <c r="L126" s="38"/>
      <c r="M126" s="35">
        <f t="shared" si="68"/>
        <v>0</v>
      </c>
      <c r="N126" s="38"/>
      <c r="O126" s="38"/>
      <c r="P126" s="38"/>
      <c r="Q126" s="35">
        <f t="shared" si="69"/>
        <v>0</v>
      </c>
      <c r="R126" s="34">
        <f t="shared" si="64"/>
        <v>0</v>
      </c>
    </row>
    <row r="127" spans="1:18" ht="12.75" hidden="1" outlineLevel="2">
      <c r="A127" s="28" t="s">
        <v>50</v>
      </c>
      <c r="B127" s="43">
        <f aca="true" t="shared" si="70" ref="B127:Q127">SUM(B118:B125)</f>
        <v>85.56</v>
      </c>
      <c r="C127" s="43">
        <f t="shared" si="70"/>
        <v>88.09</v>
      </c>
      <c r="D127" s="43">
        <f t="shared" si="70"/>
        <v>84.7</v>
      </c>
      <c r="E127" s="42">
        <f t="shared" si="70"/>
        <v>258.35</v>
      </c>
      <c r="F127" s="43">
        <f t="shared" si="70"/>
        <v>85.95</v>
      </c>
      <c r="G127" s="43">
        <f t="shared" si="70"/>
        <v>92.2</v>
      </c>
      <c r="H127" s="43">
        <f t="shared" si="70"/>
        <v>88.93</v>
      </c>
      <c r="I127" s="42">
        <f t="shared" si="70"/>
        <v>267.08</v>
      </c>
      <c r="J127" s="43">
        <f t="shared" si="70"/>
        <v>88.28</v>
      </c>
      <c r="K127" s="43">
        <f t="shared" si="70"/>
        <v>100.3</v>
      </c>
      <c r="L127" s="43">
        <f t="shared" si="70"/>
        <v>114.89000000000001</v>
      </c>
      <c r="M127" s="42">
        <f t="shared" si="70"/>
        <v>303.47</v>
      </c>
      <c r="N127" s="43">
        <f t="shared" si="70"/>
        <v>161.20999999999998</v>
      </c>
      <c r="O127" s="43">
        <f t="shared" si="70"/>
        <v>95.15</v>
      </c>
      <c r="P127" s="43">
        <f t="shared" si="70"/>
        <v>100.98</v>
      </c>
      <c r="Q127" s="42">
        <f t="shared" si="70"/>
        <v>357.34</v>
      </c>
      <c r="R127" s="44">
        <f t="shared" si="64"/>
        <v>1186.2399999999998</v>
      </c>
    </row>
    <row r="128" spans="1:21" ht="13.5" outlineLevel="1" collapsed="1" thickBot="1">
      <c r="A128" s="22" t="s">
        <v>48</v>
      </c>
      <c r="B128" s="46">
        <f aca="true" t="shared" si="71" ref="B128:R128">B127+B117</f>
        <v>325.24</v>
      </c>
      <c r="C128" s="46">
        <f t="shared" si="71"/>
        <v>88.09</v>
      </c>
      <c r="D128" s="46">
        <f t="shared" si="71"/>
        <v>84.7</v>
      </c>
      <c r="E128" s="45">
        <f t="shared" si="71"/>
        <v>498.03000000000003</v>
      </c>
      <c r="F128" s="46">
        <f t="shared" si="71"/>
        <v>85.95</v>
      </c>
      <c r="G128" s="46">
        <f t="shared" si="71"/>
        <v>92.2</v>
      </c>
      <c r="H128" s="46">
        <f t="shared" si="71"/>
        <v>88.93</v>
      </c>
      <c r="I128" s="45">
        <f t="shared" si="71"/>
        <v>267.08</v>
      </c>
      <c r="J128" s="46">
        <f t="shared" si="71"/>
        <v>97.61</v>
      </c>
      <c r="K128" s="46">
        <f t="shared" si="71"/>
        <v>100.3</v>
      </c>
      <c r="L128" s="46">
        <f t="shared" si="71"/>
        <v>114.89000000000001</v>
      </c>
      <c r="M128" s="45">
        <f t="shared" si="71"/>
        <v>312.8</v>
      </c>
      <c r="N128" s="46">
        <f t="shared" si="71"/>
        <v>161.20999999999998</v>
      </c>
      <c r="O128" s="46">
        <f t="shared" si="71"/>
        <v>143.38</v>
      </c>
      <c r="P128" s="46">
        <f t="shared" si="71"/>
        <v>110.35000000000001</v>
      </c>
      <c r="Q128" s="45">
        <f t="shared" si="71"/>
        <v>414.93999999999994</v>
      </c>
      <c r="R128" s="47">
        <f t="shared" si="71"/>
        <v>1492.85</v>
      </c>
      <c r="S128" s="65">
        <f>((B118/0.12)+(C118/0.12)+(D118/0.12)+(F118/0.12)+(G118/0.12)+(H118/0.12)+(J118/0.12)+(K118/0.12)+(L118/0.12)+(N118/0.12)+(O118/0.12)+(P118/0.12))/12</f>
        <v>583</v>
      </c>
      <c r="T128" s="54">
        <f>IF(R128&gt;0,R128/S128,0)</f>
        <v>2.560634648370497</v>
      </c>
      <c r="U128" s="66">
        <f>IF(R120&gt;0,R120/R128,0)</f>
        <v>0.10748568174967346</v>
      </c>
    </row>
    <row r="129" spans="1:18" ht="13.5" outlineLevel="1" thickTop="1">
      <c r="A129" s="16" t="s">
        <v>32</v>
      </c>
      <c r="B129" s="17"/>
      <c r="C129" s="17"/>
      <c r="D129" s="17"/>
      <c r="E129" s="14"/>
      <c r="F129" s="17"/>
      <c r="G129" s="17"/>
      <c r="H129" s="17"/>
      <c r="I129" s="14"/>
      <c r="J129" s="17"/>
      <c r="K129" s="17"/>
      <c r="L129" s="17"/>
      <c r="M129" s="14"/>
      <c r="N129" s="17"/>
      <c r="O129" s="17"/>
      <c r="P129" s="17"/>
      <c r="Q129" s="14"/>
      <c r="R129" s="27"/>
    </row>
    <row r="130" spans="1:18" ht="12.75" hidden="1" outlineLevel="3">
      <c r="A130" s="19" t="s">
        <v>40</v>
      </c>
      <c r="B130" s="20"/>
      <c r="C130" s="20"/>
      <c r="D130" s="20"/>
      <c r="E130" s="67">
        <f aca="true" t="shared" si="72" ref="E130:E137">SUM(B130:D130)</f>
        <v>0</v>
      </c>
      <c r="F130" s="20"/>
      <c r="G130" s="20"/>
      <c r="H130" s="20"/>
      <c r="I130" s="67">
        <f aca="true" t="shared" si="73" ref="I130:I137">SUM(F130:H130)</f>
        <v>0</v>
      </c>
      <c r="J130" s="20"/>
      <c r="K130" s="20"/>
      <c r="L130" s="20"/>
      <c r="M130" s="67">
        <f aca="true" t="shared" si="74" ref="M130:M137">SUM(J130:L130)</f>
        <v>0</v>
      </c>
      <c r="N130" s="20"/>
      <c r="O130" s="20"/>
      <c r="P130" s="20"/>
      <c r="Q130" s="67">
        <f aca="true" t="shared" si="75" ref="Q130:Q137">SUM(N130:P130)</f>
        <v>0</v>
      </c>
      <c r="R130" s="21">
        <f aca="true" t="shared" si="76" ref="R130:R148">Q130+M130+I130+E130</f>
        <v>0</v>
      </c>
    </row>
    <row r="131" spans="1:18" ht="12.75" hidden="1" outlineLevel="3">
      <c r="A131" s="19" t="s">
        <v>41</v>
      </c>
      <c r="B131" s="20"/>
      <c r="C131" s="20"/>
      <c r="D131" s="20"/>
      <c r="E131" s="67">
        <f t="shared" si="72"/>
        <v>0</v>
      </c>
      <c r="F131" s="20"/>
      <c r="G131" s="20"/>
      <c r="H131" s="20"/>
      <c r="I131" s="67">
        <f t="shared" si="73"/>
        <v>0</v>
      </c>
      <c r="J131" s="20"/>
      <c r="K131" s="20"/>
      <c r="L131" s="20"/>
      <c r="M131" s="67">
        <f t="shared" si="74"/>
        <v>0</v>
      </c>
      <c r="N131" s="20"/>
      <c r="O131" s="20"/>
      <c r="P131" s="20"/>
      <c r="Q131" s="67">
        <f t="shared" si="75"/>
        <v>0</v>
      </c>
      <c r="R131" s="21">
        <f t="shared" si="76"/>
        <v>0</v>
      </c>
    </row>
    <row r="132" spans="1:18" ht="12.75" hidden="1" outlineLevel="3">
      <c r="A132" s="19" t="s">
        <v>42</v>
      </c>
      <c r="B132" s="20"/>
      <c r="C132" s="20"/>
      <c r="D132" s="20"/>
      <c r="E132" s="67">
        <f t="shared" si="72"/>
        <v>0</v>
      </c>
      <c r="F132" s="20"/>
      <c r="G132" s="20"/>
      <c r="H132" s="20"/>
      <c r="I132" s="67">
        <f t="shared" si="73"/>
        <v>0</v>
      </c>
      <c r="J132" s="20"/>
      <c r="K132" s="20"/>
      <c r="L132" s="20"/>
      <c r="M132" s="67">
        <f t="shared" si="74"/>
        <v>0</v>
      </c>
      <c r="N132" s="20"/>
      <c r="O132" s="20"/>
      <c r="P132" s="20"/>
      <c r="Q132" s="67">
        <f t="shared" si="75"/>
        <v>0</v>
      </c>
      <c r="R132" s="21">
        <f t="shared" si="76"/>
        <v>0</v>
      </c>
    </row>
    <row r="133" spans="1:18" ht="12.75" hidden="1" outlineLevel="3">
      <c r="A133" s="19" t="s">
        <v>43</v>
      </c>
      <c r="B133" s="20"/>
      <c r="C133" s="20"/>
      <c r="D133" s="20"/>
      <c r="E133" s="67">
        <f t="shared" si="72"/>
        <v>0</v>
      </c>
      <c r="F133" s="20"/>
      <c r="G133" s="20"/>
      <c r="H133" s="20"/>
      <c r="I133" s="67">
        <f t="shared" si="73"/>
        <v>0</v>
      </c>
      <c r="J133" s="20"/>
      <c r="K133" s="20"/>
      <c r="L133" s="20"/>
      <c r="M133" s="67">
        <f t="shared" si="74"/>
        <v>0</v>
      </c>
      <c r="N133" s="20"/>
      <c r="O133" s="20"/>
      <c r="P133" s="20"/>
      <c r="Q133" s="67">
        <f t="shared" si="75"/>
        <v>0</v>
      </c>
      <c r="R133" s="21">
        <f t="shared" si="76"/>
        <v>0</v>
      </c>
    </row>
    <row r="134" spans="1:18" ht="12.75" hidden="1" outlineLevel="3">
      <c r="A134" s="19" t="s">
        <v>44</v>
      </c>
      <c r="B134" s="20"/>
      <c r="C134" s="20"/>
      <c r="D134" s="20"/>
      <c r="E134" s="67">
        <f t="shared" si="72"/>
        <v>0</v>
      </c>
      <c r="F134" s="20"/>
      <c r="G134" s="20"/>
      <c r="H134" s="20"/>
      <c r="I134" s="67">
        <f t="shared" si="73"/>
        <v>0</v>
      </c>
      <c r="J134" s="20"/>
      <c r="K134" s="20"/>
      <c r="L134" s="20"/>
      <c r="M134" s="67">
        <f t="shared" si="74"/>
        <v>0</v>
      </c>
      <c r="N134" s="20"/>
      <c r="O134" s="20"/>
      <c r="P134" s="20"/>
      <c r="Q134" s="67">
        <f t="shared" si="75"/>
        <v>0</v>
      </c>
      <c r="R134" s="21">
        <f t="shared" si="76"/>
        <v>0</v>
      </c>
    </row>
    <row r="135" spans="1:18" ht="12.75" hidden="1" outlineLevel="3">
      <c r="A135" s="19" t="s">
        <v>45</v>
      </c>
      <c r="B135" s="62">
        <v>331.43</v>
      </c>
      <c r="C135" s="62"/>
      <c r="D135" s="62"/>
      <c r="E135" s="35">
        <f t="shared" si="72"/>
        <v>331.43</v>
      </c>
      <c r="F135" s="62"/>
      <c r="G135" s="62"/>
      <c r="H135" s="62"/>
      <c r="I135" s="35">
        <f t="shared" si="73"/>
        <v>0</v>
      </c>
      <c r="J135" s="62"/>
      <c r="K135" s="62"/>
      <c r="L135" s="62"/>
      <c r="M135" s="35">
        <f t="shared" si="74"/>
        <v>0</v>
      </c>
      <c r="N135" s="62"/>
      <c r="O135" s="62"/>
      <c r="P135" s="62"/>
      <c r="Q135" s="35">
        <f t="shared" si="75"/>
        <v>0</v>
      </c>
      <c r="R135" s="34">
        <f t="shared" si="76"/>
        <v>331.43</v>
      </c>
    </row>
    <row r="136" spans="1:18" ht="12.75" hidden="1" outlineLevel="3">
      <c r="A136" s="19" t="s">
        <v>46</v>
      </c>
      <c r="B136" s="20"/>
      <c r="C136" s="20"/>
      <c r="D136" s="20"/>
      <c r="E136" s="67">
        <f t="shared" si="72"/>
        <v>0</v>
      </c>
      <c r="F136" s="20"/>
      <c r="G136" s="20"/>
      <c r="H136" s="20"/>
      <c r="I136" s="67">
        <f t="shared" si="73"/>
        <v>0</v>
      </c>
      <c r="J136" s="20"/>
      <c r="K136" s="20"/>
      <c r="L136" s="20"/>
      <c r="M136" s="67">
        <f t="shared" si="74"/>
        <v>0</v>
      </c>
      <c r="N136" s="20"/>
      <c r="O136" s="20"/>
      <c r="P136" s="20"/>
      <c r="Q136" s="67">
        <f t="shared" si="75"/>
        <v>0</v>
      </c>
      <c r="R136" s="21">
        <f t="shared" si="76"/>
        <v>0</v>
      </c>
    </row>
    <row r="137" spans="1:18" ht="12.75" hidden="1" outlineLevel="3">
      <c r="A137" s="19" t="s">
        <v>58</v>
      </c>
      <c r="B137" s="62">
        <v>38.33</v>
      </c>
      <c r="C137" s="62"/>
      <c r="D137" s="62"/>
      <c r="E137" s="59">
        <f t="shared" si="72"/>
        <v>38.33</v>
      </c>
      <c r="F137" s="52"/>
      <c r="G137" s="52"/>
      <c r="H137" s="52"/>
      <c r="I137" s="59">
        <f t="shared" si="73"/>
        <v>0</v>
      </c>
      <c r="J137" s="52">
        <v>13.94</v>
      </c>
      <c r="K137" s="52"/>
      <c r="L137" s="52"/>
      <c r="M137" s="59">
        <f t="shared" si="74"/>
        <v>13.94</v>
      </c>
      <c r="N137" s="52"/>
      <c r="O137" s="52">
        <v>69.15</v>
      </c>
      <c r="P137" s="52">
        <v>3.86</v>
      </c>
      <c r="Q137" s="59">
        <f t="shared" si="75"/>
        <v>73.01</v>
      </c>
      <c r="R137" s="60">
        <f t="shared" si="76"/>
        <v>125.28</v>
      </c>
    </row>
    <row r="138" spans="1:18" ht="12.75" hidden="1" outlineLevel="2">
      <c r="A138" s="22" t="s">
        <v>47</v>
      </c>
      <c r="B138" s="63">
        <f aca="true" t="shared" si="77" ref="B138:Q138">SUM(B130:B137)</f>
        <v>369.76</v>
      </c>
      <c r="C138" s="63">
        <f t="shared" si="77"/>
        <v>0</v>
      </c>
      <c r="D138" s="63">
        <f t="shared" si="77"/>
        <v>0</v>
      </c>
      <c r="E138" s="33">
        <f t="shared" si="77"/>
        <v>369.76</v>
      </c>
      <c r="F138" s="33">
        <f t="shared" si="77"/>
        <v>0</v>
      </c>
      <c r="G138" s="33">
        <f t="shared" si="77"/>
        <v>0</v>
      </c>
      <c r="H138" s="33">
        <f t="shared" si="77"/>
        <v>0</v>
      </c>
      <c r="I138" s="33">
        <f t="shared" si="77"/>
        <v>0</v>
      </c>
      <c r="J138" s="33">
        <f t="shared" si="77"/>
        <v>13.94</v>
      </c>
      <c r="K138" s="33">
        <f t="shared" si="77"/>
        <v>0</v>
      </c>
      <c r="L138" s="33">
        <f t="shared" si="77"/>
        <v>0</v>
      </c>
      <c r="M138" s="33">
        <f t="shared" si="77"/>
        <v>13.94</v>
      </c>
      <c r="N138" s="33">
        <f t="shared" si="77"/>
        <v>0</v>
      </c>
      <c r="O138" s="33">
        <f t="shared" si="77"/>
        <v>69.15</v>
      </c>
      <c r="P138" s="33">
        <f t="shared" si="77"/>
        <v>3.86</v>
      </c>
      <c r="Q138" s="33">
        <f t="shared" si="77"/>
        <v>73.01</v>
      </c>
      <c r="R138" s="34">
        <f t="shared" si="76"/>
        <v>456.71</v>
      </c>
    </row>
    <row r="139" spans="1:18" ht="12.75" hidden="1" outlineLevel="3">
      <c r="A139" s="23" t="s">
        <v>15</v>
      </c>
      <c r="B139" s="63">
        <v>105.6</v>
      </c>
      <c r="C139" s="63">
        <v>105.12</v>
      </c>
      <c r="D139" s="63">
        <v>104.76</v>
      </c>
      <c r="E139" s="35">
        <f aca="true" t="shared" si="78" ref="E139:E147">SUM(B139:D139)</f>
        <v>315.48</v>
      </c>
      <c r="F139" s="37">
        <v>103.8</v>
      </c>
      <c r="G139" s="37">
        <v>104.04</v>
      </c>
      <c r="H139" s="37">
        <v>102.72</v>
      </c>
      <c r="I139" s="35">
        <f aca="true" t="shared" si="79" ref="I139:I147">SUM(F139:H139)</f>
        <v>310.56</v>
      </c>
      <c r="J139" s="37">
        <v>102.6</v>
      </c>
      <c r="K139" s="37">
        <v>103.2</v>
      </c>
      <c r="L139" s="37">
        <v>103.68</v>
      </c>
      <c r="M139" s="35">
        <f aca="true" t="shared" si="80" ref="M139:M147">SUM(J139:L139)</f>
        <v>309.48</v>
      </c>
      <c r="N139" s="37">
        <v>104.04</v>
      </c>
      <c r="O139" s="37">
        <v>104.28</v>
      </c>
      <c r="P139" s="38">
        <v>104.04</v>
      </c>
      <c r="Q139" s="35">
        <f aca="true" t="shared" si="81" ref="Q139:Q147">SUM(N139:P139)</f>
        <v>312.36</v>
      </c>
      <c r="R139" s="34">
        <f t="shared" si="76"/>
        <v>1247.88</v>
      </c>
    </row>
    <row r="140" spans="1:18" ht="12.75" hidden="1" outlineLevel="3">
      <c r="A140" s="23" t="s">
        <v>16</v>
      </c>
      <c r="B140" s="62">
        <v>21</v>
      </c>
      <c r="C140" s="62">
        <v>21</v>
      </c>
      <c r="D140" s="62">
        <v>21</v>
      </c>
      <c r="E140" s="35">
        <f t="shared" si="78"/>
        <v>63</v>
      </c>
      <c r="F140" s="62">
        <v>21</v>
      </c>
      <c r="G140" s="62">
        <v>21</v>
      </c>
      <c r="H140" s="62">
        <v>21</v>
      </c>
      <c r="I140" s="35">
        <f t="shared" si="79"/>
        <v>63</v>
      </c>
      <c r="J140" s="62">
        <v>21</v>
      </c>
      <c r="K140" s="62">
        <v>21</v>
      </c>
      <c r="L140" s="62">
        <v>21</v>
      </c>
      <c r="M140" s="35">
        <f t="shared" si="80"/>
        <v>63</v>
      </c>
      <c r="N140" s="62">
        <v>21</v>
      </c>
      <c r="O140" s="62">
        <v>21</v>
      </c>
      <c r="P140" s="62">
        <v>21</v>
      </c>
      <c r="Q140" s="35">
        <f t="shared" si="81"/>
        <v>63</v>
      </c>
      <c r="R140" s="34">
        <f t="shared" si="76"/>
        <v>252</v>
      </c>
    </row>
    <row r="141" spans="1:18" ht="12.75" hidden="1" outlineLevel="3">
      <c r="A141" s="23" t="s">
        <v>17</v>
      </c>
      <c r="B141" s="63">
        <v>7.91</v>
      </c>
      <c r="C141" s="63">
        <v>9.04</v>
      </c>
      <c r="D141" s="63">
        <v>7.91</v>
      </c>
      <c r="E141" s="35">
        <f t="shared" si="78"/>
        <v>24.86</v>
      </c>
      <c r="F141" s="37">
        <v>15.82</v>
      </c>
      <c r="G141" s="37">
        <v>15.82</v>
      </c>
      <c r="H141" s="37">
        <v>12.43</v>
      </c>
      <c r="I141" s="35">
        <f t="shared" si="79"/>
        <v>44.07</v>
      </c>
      <c r="J141" s="37">
        <v>6.78</v>
      </c>
      <c r="K141" s="37">
        <v>18.08</v>
      </c>
      <c r="L141" s="37">
        <v>13.56</v>
      </c>
      <c r="M141" s="35">
        <f t="shared" si="80"/>
        <v>38.42</v>
      </c>
      <c r="N141" s="37">
        <v>13.56</v>
      </c>
      <c r="O141" s="37">
        <v>12.43</v>
      </c>
      <c r="P141" s="38">
        <v>10.17</v>
      </c>
      <c r="Q141" s="35">
        <f t="shared" si="81"/>
        <v>36.160000000000004</v>
      </c>
      <c r="R141" s="34">
        <f t="shared" si="76"/>
        <v>143.51</v>
      </c>
    </row>
    <row r="142" spans="1:18" ht="12.75" hidden="1" outlineLevel="3">
      <c r="A142" s="25" t="s">
        <v>18</v>
      </c>
      <c r="B142" s="62">
        <v>1.26</v>
      </c>
      <c r="C142" s="62"/>
      <c r="D142" s="62"/>
      <c r="E142" s="35">
        <f t="shared" si="78"/>
        <v>1.26</v>
      </c>
      <c r="F142" s="62"/>
      <c r="G142" s="62"/>
      <c r="H142" s="62"/>
      <c r="I142" s="35">
        <f t="shared" si="79"/>
        <v>0</v>
      </c>
      <c r="J142" s="62"/>
      <c r="K142" s="62"/>
      <c r="L142" s="62"/>
      <c r="M142" s="35">
        <f t="shared" si="80"/>
        <v>0</v>
      </c>
      <c r="N142" s="62">
        <f>3.44+4.06+16.36+31.08+6.5+6.35+3.58+3.8+4.02+9.07+4.09+4.53</f>
        <v>96.88</v>
      </c>
      <c r="O142" s="62"/>
      <c r="P142" s="62">
        <f>3.24+3.83</f>
        <v>7.07</v>
      </c>
      <c r="Q142" s="35">
        <f t="shared" si="81"/>
        <v>103.94999999999999</v>
      </c>
      <c r="R142" s="34">
        <f t="shared" si="76"/>
        <v>105.21</v>
      </c>
    </row>
    <row r="143" spans="1:18" ht="12.75" hidden="1" outlineLevel="3">
      <c r="A143" s="23" t="s">
        <v>19</v>
      </c>
      <c r="B143" s="63"/>
      <c r="C143" s="63"/>
      <c r="D143" s="63">
        <v>2.79</v>
      </c>
      <c r="E143" s="35">
        <f t="shared" si="78"/>
        <v>2.79</v>
      </c>
      <c r="F143" s="37"/>
      <c r="G143" s="37"/>
      <c r="H143" s="37"/>
      <c r="I143" s="35">
        <f t="shared" si="79"/>
        <v>0</v>
      </c>
      <c r="J143" s="37"/>
      <c r="K143" s="37"/>
      <c r="L143" s="37"/>
      <c r="M143" s="35">
        <f t="shared" si="80"/>
        <v>0</v>
      </c>
      <c r="N143" s="37"/>
      <c r="O143" s="37"/>
      <c r="P143" s="38"/>
      <c r="Q143" s="35">
        <f t="shared" si="81"/>
        <v>0</v>
      </c>
      <c r="R143" s="34">
        <f t="shared" si="76"/>
        <v>2.79</v>
      </c>
    </row>
    <row r="144" spans="1:18" ht="12.75" hidden="1" outlineLevel="3">
      <c r="A144" s="23" t="s">
        <v>20</v>
      </c>
      <c r="B144" s="63">
        <v>18.5</v>
      </c>
      <c r="C144" s="63">
        <f>11.5+27.12</f>
        <v>38.620000000000005</v>
      </c>
      <c r="D144" s="63">
        <f>14.5+0.24+32.77</f>
        <v>47.510000000000005</v>
      </c>
      <c r="E144" s="35">
        <f t="shared" si="78"/>
        <v>104.63000000000001</v>
      </c>
      <c r="F144" s="37">
        <v>12.63</v>
      </c>
      <c r="G144" s="37">
        <v>8</v>
      </c>
      <c r="H144" s="37">
        <v>11.5</v>
      </c>
      <c r="I144" s="35">
        <f t="shared" si="79"/>
        <v>32.13</v>
      </c>
      <c r="J144" s="37">
        <v>18</v>
      </c>
      <c r="K144" s="37">
        <v>47</v>
      </c>
      <c r="L144" s="37">
        <v>15.5</v>
      </c>
      <c r="M144" s="35">
        <f t="shared" si="80"/>
        <v>80.5</v>
      </c>
      <c r="N144" s="37">
        <v>18.5</v>
      </c>
      <c r="O144" s="37">
        <v>10.62</v>
      </c>
      <c r="P144" s="38">
        <v>10.5</v>
      </c>
      <c r="Q144" s="35">
        <f t="shared" si="81"/>
        <v>39.62</v>
      </c>
      <c r="R144" s="34">
        <f t="shared" si="76"/>
        <v>256.88</v>
      </c>
    </row>
    <row r="145" spans="1:18" ht="12.75" hidden="1" outlineLevel="3">
      <c r="A145" s="23" t="s">
        <v>21</v>
      </c>
      <c r="B145" s="63"/>
      <c r="C145" s="63"/>
      <c r="D145" s="63"/>
      <c r="E145" s="35">
        <f t="shared" si="78"/>
        <v>0</v>
      </c>
      <c r="F145" s="37"/>
      <c r="G145" s="37"/>
      <c r="H145" s="37"/>
      <c r="I145" s="35">
        <f t="shared" si="79"/>
        <v>0</v>
      </c>
      <c r="J145" s="37"/>
      <c r="K145" s="37"/>
      <c r="L145" s="37"/>
      <c r="M145" s="35">
        <f t="shared" si="80"/>
        <v>0</v>
      </c>
      <c r="N145" s="37"/>
      <c r="O145" s="37"/>
      <c r="P145" s="38"/>
      <c r="Q145" s="35">
        <f t="shared" si="81"/>
        <v>0</v>
      </c>
      <c r="R145" s="34">
        <f t="shared" si="76"/>
        <v>0</v>
      </c>
    </row>
    <row r="146" spans="1:18" ht="12.75" hidden="1" outlineLevel="3">
      <c r="A146" s="23" t="s">
        <v>22</v>
      </c>
      <c r="B146" s="63"/>
      <c r="C146" s="63"/>
      <c r="D146" s="63"/>
      <c r="E146" s="35">
        <f t="shared" si="78"/>
        <v>0</v>
      </c>
      <c r="F146" s="37"/>
      <c r="G146" s="37">
        <v>4.26</v>
      </c>
      <c r="H146" s="37">
        <v>8.52</v>
      </c>
      <c r="I146" s="35">
        <f t="shared" si="79"/>
        <v>12.78</v>
      </c>
      <c r="J146" s="37"/>
      <c r="K146" s="37"/>
      <c r="L146" s="37"/>
      <c r="M146" s="35">
        <f t="shared" si="80"/>
        <v>0</v>
      </c>
      <c r="N146" s="37">
        <v>4.26</v>
      </c>
      <c r="O146" s="37">
        <v>4.26</v>
      </c>
      <c r="P146" s="38"/>
      <c r="Q146" s="35">
        <f t="shared" si="81"/>
        <v>8.52</v>
      </c>
      <c r="R146" s="34">
        <f t="shared" si="76"/>
        <v>21.299999999999997</v>
      </c>
    </row>
    <row r="147" spans="1:18" ht="12.75" hidden="1" outlineLevel="3">
      <c r="A147" s="23" t="s">
        <v>61</v>
      </c>
      <c r="B147" s="62"/>
      <c r="C147" s="62"/>
      <c r="D147" s="62"/>
      <c r="E147" s="35">
        <f t="shared" si="78"/>
        <v>0</v>
      </c>
      <c r="F147" s="38"/>
      <c r="G147" s="38"/>
      <c r="H147" s="38"/>
      <c r="I147" s="35">
        <f t="shared" si="79"/>
        <v>0</v>
      </c>
      <c r="J147" s="38"/>
      <c r="K147" s="38"/>
      <c r="L147" s="38"/>
      <c r="M147" s="35">
        <f t="shared" si="80"/>
        <v>0</v>
      </c>
      <c r="N147" s="38"/>
      <c r="O147" s="38"/>
      <c r="P147" s="38"/>
      <c r="Q147" s="35">
        <f t="shared" si="81"/>
        <v>0</v>
      </c>
      <c r="R147" s="34">
        <f t="shared" si="76"/>
        <v>0</v>
      </c>
    </row>
    <row r="148" spans="1:18" ht="12.75" hidden="1" outlineLevel="2">
      <c r="A148" s="28" t="s">
        <v>50</v>
      </c>
      <c r="B148" s="43">
        <f aca="true" t="shared" si="82" ref="B148:Q148">SUM(B139:B146)</f>
        <v>154.26999999999998</v>
      </c>
      <c r="C148" s="43">
        <f t="shared" si="82"/>
        <v>173.78</v>
      </c>
      <c r="D148" s="43">
        <f t="shared" si="82"/>
        <v>183.97000000000003</v>
      </c>
      <c r="E148" s="42">
        <f t="shared" si="82"/>
        <v>512.0200000000001</v>
      </c>
      <c r="F148" s="43">
        <f t="shared" si="82"/>
        <v>153.25</v>
      </c>
      <c r="G148" s="43">
        <f t="shared" si="82"/>
        <v>153.12</v>
      </c>
      <c r="H148" s="43">
        <f t="shared" si="82"/>
        <v>156.17000000000002</v>
      </c>
      <c r="I148" s="42">
        <f t="shared" si="82"/>
        <v>462.53999999999996</v>
      </c>
      <c r="J148" s="43">
        <f t="shared" si="82"/>
        <v>148.38</v>
      </c>
      <c r="K148" s="43">
        <f t="shared" si="82"/>
        <v>189.28</v>
      </c>
      <c r="L148" s="43">
        <f t="shared" si="82"/>
        <v>153.74</v>
      </c>
      <c r="M148" s="42">
        <f t="shared" si="82"/>
        <v>491.40000000000003</v>
      </c>
      <c r="N148" s="43">
        <f t="shared" si="82"/>
        <v>258.24</v>
      </c>
      <c r="O148" s="43">
        <f t="shared" si="82"/>
        <v>152.59</v>
      </c>
      <c r="P148" s="43">
        <f t="shared" si="82"/>
        <v>152.78</v>
      </c>
      <c r="Q148" s="42">
        <f t="shared" si="82"/>
        <v>563.61</v>
      </c>
      <c r="R148" s="44">
        <f t="shared" si="76"/>
        <v>2029.5700000000002</v>
      </c>
    </row>
    <row r="149" spans="1:21" ht="13.5" outlineLevel="1" collapsed="1" thickBot="1">
      <c r="A149" s="26" t="s">
        <v>48</v>
      </c>
      <c r="B149" s="46">
        <f aca="true" t="shared" si="83" ref="B149:R149">B148+B138</f>
        <v>524.03</v>
      </c>
      <c r="C149" s="46">
        <f t="shared" si="83"/>
        <v>173.78</v>
      </c>
      <c r="D149" s="46">
        <f t="shared" si="83"/>
        <v>183.97000000000003</v>
      </c>
      <c r="E149" s="45">
        <f t="shared" si="83"/>
        <v>881.7800000000001</v>
      </c>
      <c r="F149" s="46">
        <f t="shared" si="83"/>
        <v>153.25</v>
      </c>
      <c r="G149" s="46">
        <f t="shared" si="83"/>
        <v>153.12</v>
      </c>
      <c r="H149" s="46">
        <f t="shared" si="83"/>
        <v>156.17000000000002</v>
      </c>
      <c r="I149" s="45">
        <f t="shared" si="83"/>
        <v>462.53999999999996</v>
      </c>
      <c r="J149" s="46">
        <f t="shared" si="83"/>
        <v>162.32</v>
      </c>
      <c r="K149" s="46">
        <f t="shared" si="83"/>
        <v>189.28</v>
      </c>
      <c r="L149" s="46">
        <f t="shared" si="83"/>
        <v>153.74</v>
      </c>
      <c r="M149" s="45">
        <f t="shared" si="83"/>
        <v>505.34000000000003</v>
      </c>
      <c r="N149" s="46">
        <f t="shared" si="83"/>
        <v>258.24</v>
      </c>
      <c r="O149" s="46">
        <f t="shared" si="83"/>
        <v>221.74</v>
      </c>
      <c r="P149" s="46">
        <f t="shared" si="83"/>
        <v>156.64000000000001</v>
      </c>
      <c r="Q149" s="45">
        <f t="shared" si="83"/>
        <v>636.62</v>
      </c>
      <c r="R149" s="47">
        <f t="shared" si="83"/>
        <v>2486.28</v>
      </c>
      <c r="S149" s="65">
        <f>((B139/0.12)+(C139/0.12)+(D139/0.12)+(F139/0.12)+(G139/0.12)+(H139/0.12)+(J139/0.12)+(K139/0.12)+(L139/0.12)+(N139/0.12)+(O139/0.12)+(P139/0.12))/12</f>
        <v>866.5833333333334</v>
      </c>
      <c r="T149" s="54">
        <f>IF(R149&gt;0,R149/S149,0)</f>
        <v>2.8690604865852487</v>
      </c>
      <c r="U149" s="66">
        <f>IF(R141&gt;0,R141/R149,0)</f>
        <v>0.05772077159451067</v>
      </c>
    </row>
    <row r="150" spans="1:18" ht="13.5" outlineLevel="1" thickTop="1">
      <c r="A150" s="16" t="s">
        <v>33</v>
      </c>
      <c r="B150" s="17"/>
      <c r="C150" s="17"/>
      <c r="D150" s="17"/>
      <c r="E150" s="14"/>
      <c r="F150" s="17"/>
      <c r="G150" s="17"/>
      <c r="H150" s="17"/>
      <c r="I150" s="14"/>
      <c r="J150" s="17"/>
      <c r="K150" s="17"/>
      <c r="L150" s="17"/>
      <c r="M150" s="14"/>
      <c r="N150" s="17"/>
      <c r="O150" s="17"/>
      <c r="P150" s="17"/>
      <c r="Q150" s="14"/>
      <c r="R150" s="27"/>
    </row>
    <row r="151" spans="1:18" ht="12.75" hidden="1" outlineLevel="3">
      <c r="A151" s="19" t="s">
        <v>40</v>
      </c>
      <c r="B151" s="20"/>
      <c r="C151" s="20"/>
      <c r="D151" s="20"/>
      <c r="E151" s="67">
        <f aca="true" t="shared" si="84" ref="E151:E158">SUM(B151:D151)</f>
        <v>0</v>
      </c>
      <c r="F151" s="20"/>
      <c r="G151" s="20"/>
      <c r="H151" s="20"/>
      <c r="I151" s="67">
        <f aca="true" t="shared" si="85" ref="I151:I158">SUM(F151:H151)</f>
        <v>0</v>
      </c>
      <c r="J151" s="20"/>
      <c r="K151" s="20"/>
      <c r="L151" s="20"/>
      <c r="M151" s="67">
        <f aca="true" t="shared" si="86" ref="M151:M158">SUM(J151:L151)</f>
        <v>0</v>
      </c>
      <c r="N151" s="20"/>
      <c r="O151" s="20"/>
      <c r="P151" s="20"/>
      <c r="Q151" s="67">
        <f aca="true" t="shared" si="87" ref="Q151:Q158">SUM(N151:P151)</f>
        <v>0</v>
      </c>
      <c r="R151" s="21">
        <f aca="true" t="shared" si="88" ref="R151:R169">Q151+M151+I151+E151</f>
        <v>0</v>
      </c>
    </row>
    <row r="152" spans="1:18" ht="12.75" hidden="1" outlineLevel="3">
      <c r="A152" s="19" t="s">
        <v>41</v>
      </c>
      <c r="B152" s="20"/>
      <c r="C152" s="20"/>
      <c r="D152" s="20"/>
      <c r="E152" s="67">
        <f t="shared" si="84"/>
        <v>0</v>
      </c>
      <c r="F152" s="20"/>
      <c r="G152" s="20"/>
      <c r="H152" s="20"/>
      <c r="I152" s="67">
        <f t="shared" si="85"/>
        <v>0</v>
      </c>
      <c r="J152" s="20"/>
      <c r="K152" s="20"/>
      <c r="L152" s="20"/>
      <c r="M152" s="67">
        <f t="shared" si="86"/>
        <v>0</v>
      </c>
      <c r="N152" s="20"/>
      <c r="O152" s="20"/>
      <c r="P152" s="20"/>
      <c r="Q152" s="67">
        <f t="shared" si="87"/>
        <v>0</v>
      </c>
      <c r="R152" s="21">
        <f t="shared" si="88"/>
        <v>0</v>
      </c>
    </row>
    <row r="153" spans="1:18" ht="12.75" hidden="1" outlineLevel="3">
      <c r="A153" s="19" t="s">
        <v>42</v>
      </c>
      <c r="B153" s="20"/>
      <c r="C153" s="20"/>
      <c r="D153" s="20"/>
      <c r="E153" s="67">
        <f t="shared" si="84"/>
        <v>0</v>
      </c>
      <c r="F153" s="20"/>
      <c r="G153" s="20"/>
      <c r="H153" s="20"/>
      <c r="I153" s="67">
        <f t="shared" si="85"/>
        <v>0</v>
      </c>
      <c r="J153" s="20"/>
      <c r="K153" s="20"/>
      <c r="L153" s="20"/>
      <c r="M153" s="67">
        <f t="shared" si="86"/>
        <v>0</v>
      </c>
      <c r="N153" s="20"/>
      <c r="O153" s="20"/>
      <c r="P153" s="20"/>
      <c r="Q153" s="67">
        <f t="shared" si="87"/>
        <v>0</v>
      </c>
      <c r="R153" s="21">
        <f t="shared" si="88"/>
        <v>0</v>
      </c>
    </row>
    <row r="154" spans="1:18" ht="12.75" hidden="1" outlineLevel="3">
      <c r="A154" s="19" t="s">
        <v>43</v>
      </c>
      <c r="B154" s="20"/>
      <c r="C154" s="20"/>
      <c r="D154" s="20"/>
      <c r="E154" s="67">
        <f t="shared" si="84"/>
        <v>0</v>
      </c>
      <c r="F154" s="20"/>
      <c r="G154" s="20"/>
      <c r="H154" s="20"/>
      <c r="I154" s="67">
        <f t="shared" si="85"/>
        <v>0</v>
      </c>
      <c r="J154" s="20"/>
      <c r="K154" s="20"/>
      <c r="L154" s="20"/>
      <c r="M154" s="67">
        <f t="shared" si="86"/>
        <v>0</v>
      </c>
      <c r="N154" s="20"/>
      <c r="O154" s="20"/>
      <c r="P154" s="20"/>
      <c r="Q154" s="67">
        <f t="shared" si="87"/>
        <v>0</v>
      </c>
      <c r="R154" s="21">
        <f t="shared" si="88"/>
        <v>0</v>
      </c>
    </row>
    <row r="155" spans="1:18" ht="12.75" hidden="1" outlineLevel="3">
      <c r="A155" s="19" t="s">
        <v>44</v>
      </c>
      <c r="B155" s="20"/>
      <c r="C155" s="20"/>
      <c r="D155" s="20"/>
      <c r="E155" s="67">
        <f t="shared" si="84"/>
        <v>0</v>
      </c>
      <c r="F155" s="20"/>
      <c r="G155" s="20"/>
      <c r="H155" s="20"/>
      <c r="I155" s="67">
        <f t="shared" si="85"/>
        <v>0</v>
      </c>
      <c r="J155" s="20"/>
      <c r="K155" s="20"/>
      <c r="L155" s="20"/>
      <c r="M155" s="67">
        <f t="shared" si="86"/>
        <v>0</v>
      </c>
      <c r="N155" s="20"/>
      <c r="O155" s="20"/>
      <c r="P155" s="20"/>
      <c r="Q155" s="67">
        <f t="shared" si="87"/>
        <v>0</v>
      </c>
      <c r="R155" s="21">
        <f t="shared" si="88"/>
        <v>0</v>
      </c>
    </row>
    <row r="156" spans="1:18" ht="12.75" hidden="1" outlineLevel="3">
      <c r="A156" s="19" t="s">
        <v>45</v>
      </c>
      <c r="B156" s="62">
        <v>164.97</v>
      </c>
      <c r="C156" s="62"/>
      <c r="D156" s="62"/>
      <c r="E156" s="35">
        <f t="shared" si="84"/>
        <v>164.97</v>
      </c>
      <c r="F156" s="62"/>
      <c r="G156" s="62"/>
      <c r="H156" s="62"/>
      <c r="I156" s="35">
        <f t="shared" si="85"/>
        <v>0</v>
      </c>
      <c r="J156" s="62"/>
      <c r="K156" s="62"/>
      <c r="L156" s="62"/>
      <c r="M156" s="35">
        <f t="shared" si="86"/>
        <v>0</v>
      </c>
      <c r="N156" s="62"/>
      <c r="O156" s="62"/>
      <c r="P156" s="62"/>
      <c r="Q156" s="35">
        <f t="shared" si="87"/>
        <v>0</v>
      </c>
      <c r="R156" s="34">
        <f t="shared" si="88"/>
        <v>164.97</v>
      </c>
    </row>
    <row r="157" spans="1:18" ht="12.75" hidden="1" outlineLevel="3">
      <c r="A157" s="19" t="s">
        <v>46</v>
      </c>
      <c r="B157" s="20"/>
      <c r="C157" s="20"/>
      <c r="D157" s="20"/>
      <c r="E157" s="67">
        <f t="shared" si="84"/>
        <v>0</v>
      </c>
      <c r="F157" s="20"/>
      <c r="G157" s="20"/>
      <c r="H157" s="20"/>
      <c r="I157" s="67">
        <f t="shared" si="85"/>
        <v>0</v>
      </c>
      <c r="J157" s="20"/>
      <c r="K157" s="20"/>
      <c r="L157" s="20"/>
      <c r="M157" s="67">
        <f t="shared" si="86"/>
        <v>0</v>
      </c>
      <c r="N157" s="20"/>
      <c r="O157" s="20"/>
      <c r="P157" s="20"/>
      <c r="Q157" s="67">
        <f t="shared" si="87"/>
        <v>0</v>
      </c>
      <c r="R157" s="21">
        <f t="shared" si="88"/>
        <v>0</v>
      </c>
    </row>
    <row r="158" spans="1:18" ht="12.75" hidden="1" outlineLevel="3">
      <c r="A158" s="19" t="s">
        <v>58</v>
      </c>
      <c r="B158" s="62">
        <v>19.08</v>
      </c>
      <c r="C158" s="62"/>
      <c r="D158" s="62"/>
      <c r="E158" s="59">
        <f t="shared" si="84"/>
        <v>19.08</v>
      </c>
      <c r="F158" s="52"/>
      <c r="G158" s="52"/>
      <c r="H158" s="52"/>
      <c r="I158" s="59">
        <f t="shared" si="85"/>
        <v>0</v>
      </c>
      <c r="J158" s="52">
        <v>7.53</v>
      </c>
      <c r="K158" s="52"/>
      <c r="L158" s="52"/>
      <c r="M158" s="59">
        <f t="shared" si="86"/>
        <v>7.53</v>
      </c>
      <c r="N158" s="52"/>
      <c r="O158" s="52">
        <v>36.29</v>
      </c>
      <c r="P158" s="52">
        <v>4.91</v>
      </c>
      <c r="Q158" s="59">
        <f t="shared" si="87"/>
        <v>41.2</v>
      </c>
      <c r="R158" s="60">
        <f t="shared" si="88"/>
        <v>67.81</v>
      </c>
    </row>
    <row r="159" spans="1:18" ht="12.75" hidden="1" outlineLevel="2">
      <c r="A159" s="22" t="s">
        <v>47</v>
      </c>
      <c r="B159" s="63">
        <f aca="true" t="shared" si="89" ref="B159:Q159">SUM(B151:B158)</f>
        <v>184.05</v>
      </c>
      <c r="C159" s="63">
        <f t="shared" si="89"/>
        <v>0</v>
      </c>
      <c r="D159" s="63">
        <f t="shared" si="89"/>
        <v>0</v>
      </c>
      <c r="E159" s="33">
        <f t="shared" si="89"/>
        <v>184.05</v>
      </c>
      <c r="F159" s="33">
        <f t="shared" si="89"/>
        <v>0</v>
      </c>
      <c r="G159" s="33">
        <f t="shared" si="89"/>
        <v>0</v>
      </c>
      <c r="H159" s="33">
        <f t="shared" si="89"/>
        <v>0</v>
      </c>
      <c r="I159" s="33">
        <f t="shared" si="89"/>
        <v>0</v>
      </c>
      <c r="J159" s="33">
        <f t="shared" si="89"/>
        <v>7.53</v>
      </c>
      <c r="K159" s="33">
        <f t="shared" si="89"/>
        <v>0</v>
      </c>
      <c r="L159" s="33">
        <f t="shared" si="89"/>
        <v>0</v>
      </c>
      <c r="M159" s="33">
        <f t="shared" si="89"/>
        <v>7.53</v>
      </c>
      <c r="N159" s="33">
        <f t="shared" si="89"/>
        <v>0</v>
      </c>
      <c r="O159" s="33">
        <f t="shared" si="89"/>
        <v>36.29</v>
      </c>
      <c r="P159" s="33">
        <f t="shared" si="89"/>
        <v>4.91</v>
      </c>
      <c r="Q159" s="33">
        <f t="shared" si="89"/>
        <v>41.2</v>
      </c>
      <c r="R159" s="34">
        <f t="shared" si="88"/>
        <v>232.78000000000003</v>
      </c>
    </row>
    <row r="160" spans="1:18" ht="12.75" hidden="1" outlineLevel="3">
      <c r="A160" s="23" t="s">
        <v>15</v>
      </c>
      <c r="B160" s="63">
        <v>53.04</v>
      </c>
      <c r="C160" s="63">
        <v>54.36</v>
      </c>
      <c r="D160" s="63">
        <v>54.24</v>
      </c>
      <c r="E160" s="35">
        <f aca="true" t="shared" si="90" ref="E160:E168">SUM(B160:D160)</f>
        <v>161.64000000000001</v>
      </c>
      <c r="F160" s="37">
        <v>54.72</v>
      </c>
      <c r="G160" s="37">
        <v>54.6</v>
      </c>
      <c r="H160" s="37">
        <v>55.44</v>
      </c>
      <c r="I160" s="35">
        <f aca="true" t="shared" si="91" ref="I160:I168">SUM(F160:H160)</f>
        <v>164.76</v>
      </c>
      <c r="J160" s="37">
        <v>55.56</v>
      </c>
      <c r="K160" s="37">
        <v>55.92</v>
      </c>
      <c r="L160" s="37">
        <v>55.8</v>
      </c>
      <c r="M160" s="35">
        <f aca="true" t="shared" si="92" ref="M160:M168">SUM(J160:L160)</f>
        <v>167.28</v>
      </c>
      <c r="N160" s="37">
        <v>55.44</v>
      </c>
      <c r="O160" s="37">
        <v>54.72</v>
      </c>
      <c r="P160" s="38">
        <v>54.48</v>
      </c>
      <c r="Q160" s="35">
        <f aca="true" t="shared" si="93" ref="Q160:Q168">SUM(N160:P160)</f>
        <v>164.64</v>
      </c>
      <c r="R160" s="34">
        <f t="shared" si="88"/>
        <v>658.3199999999999</v>
      </c>
    </row>
    <row r="161" spans="1:18" ht="12.75" hidden="1" outlineLevel="3">
      <c r="A161" s="23" t="s">
        <v>16</v>
      </c>
      <c r="B161" s="62">
        <v>10</v>
      </c>
      <c r="C161" s="62">
        <v>10</v>
      </c>
      <c r="D161" s="63">
        <v>10</v>
      </c>
      <c r="E161" s="35">
        <f t="shared" si="90"/>
        <v>30</v>
      </c>
      <c r="F161" s="62">
        <v>10</v>
      </c>
      <c r="G161" s="62">
        <v>10</v>
      </c>
      <c r="H161" s="62">
        <v>10</v>
      </c>
      <c r="I161" s="35">
        <f t="shared" si="91"/>
        <v>30</v>
      </c>
      <c r="J161" s="62">
        <v>10</v>
      </c>
      <c r="K161" s="62">
        <v>10</v>
      </c>
      <c r="L161" s="62">
        <v>10</v>
      </c>
      <c r="M161" s="35">
        <f t="shared" si="92"/>
        <v>30</v>
      </c>
      <c r="N161" s="62">
        <v>10</v>
      </c>
      <c r="O161" s="62">
        <v>10</v>
      </c>
      <c r="P161" s="62">
        <v>10</v>
      </c>
      <c r="Q161" s="35">
        <f t="shared" si="93"/>
        <v>30</v>
      </c>
      <c r="R161" s="34">
        <f t="shared" si="88"/>
        <v>120</v>
      </c>
    </row>
    <row r="162" spans="1:18" ht="12.75" hidden="1" outlineLevel="3">
      <c r="A162" s="23" t="s">
        <v>17</v>
      </c>
      <c r="B162" s="63">
        <v>25.99</v>
      </c>
      <c r="C162" s="63">
        <v>20.34</v>
      </c>
      <c r="D162" s="63">
        <v>10.17</v>
      </c>
      <c r="E162" s="35">
        <f t="shared" si="90"/>
        <v>56.5</v>
      </c>
      <c r="F162" s="37">
        <v>15.82</v>
      </c>
      <c r="G162" s="37">
        <v>10.17</v>
      </c>
      <c r="H162" s="37">
        <v>25.99</v>
      </c>
      <c r="I162" s="35">
        <f t="shared" si="91"/>
        <v>51.980000000000004</v>
      </c>
      <c r="J162" s="37">
        <v>19.21</v>
      </c>
      <c r="K162" s="37">
        <v>36.16</v>
      </c>
      <c r="L162" s="37">
        <v>18.08</v>
      </c>
      <c r="M162" s="35">
        <f t="shared" si="92"/>
        <v>73.44999999999999</v>
      </c>
      <c r="N162" s="37">
        <v>16.95</v>
      </c>
      <c r="O162" s="37">
        <v>7.91</v>
      </c>
      <c r="P162" s="38">
        <v>7.91</v>
      </c>
      <c r="Q162" s="35">
        <f t="shared" si="93"/>
        <v>32.769999999999996</v>
      </c>
      <c r="R162" s="34">
        <f t="shared" si="88"/>
        <v>214.7</v>
      </c>
    </row>
    <row r="163" spans="1:18" ht="12.75" hidden="1" outlineLevel="3">
      <c r="A163" s="25" t="s">
        <v>18</v>
      </c>
      <c r="B163" s="63">
        <v>0.6</v>
      </c>
      <c r="C163" s="63"/>
      <c r="D163" s="63"/>
      <c r="E163" s="35">
        <f t="shared" si="90"/>
        <v>0.6</v>
      </c>
      <c r="F163" s="37"/>
      <c r="G163" s="37"/>
      <c r="H163" s="37"/>
      <c r="I163" s="35">
        <f t="shared" si="91"/>
        <v>0</v>
      </c>
      <c r="J163" s="37"/>
      <c r="K163" s="37"/>
      <c r="L163" s="37"/>
      <c r="M163" s="35">
        <f t="shared" si="92"/>
        <v>0</v>
      </c>
      <c r="N163" s="37">
        <f>1.61+1.91+7.68+14.59+3.05+2.98+1.68+1.78+1.89+4.26+1.92+2.13</f>
        <v>45.480000000000004</v>
      </c>
      <c r="O163" s="37"/>
      <c r="P163" s="38">
        <f>1.61+1.91</f>
        <v>3.52</v>
      </c>
      <c r="Q163" s="35">
        <f t="shared" si="93"/>
        <v>49.00000000000001</v>
      </c>
      <c r="R163" s="34">
        <f t="shared" si="88"/>
        <v>49.60000000000001</v>
      </c>
    </row>
    <row r="164" spans="1:18" ht="12.75" hidden="1" outlineLevel="3">
      <c r="A164" s="23" t="s">
        <v>19</v>
      </c>
      <c r="B164" s="63">
        <v>0.93</v>
      </c>
      <c r="C164" s="63"/>
      <c r="D164" s="63">
        <v>0.93</v>
      </c>
      <c r="E164" s="35">
        <f t="shared" si="90"/>
        <v>1.86</v>
      </c>
      <c r="F164" s="37"/>
      <c r="G164" s="37"/>
      <c r="H164" s="37">
        <v>0.93</v>
      </c>
      <c r="I164" s="35">
        <f t="shared" si="91"/>
        <v>0.93</v>
      </c>
      <c r="J164" s="37"/>
      <c r="K164" s="37">
        <v>0.93</v>
      </c>
      <c r="L164" s="37"/>
      <c r="M164" s="35">
        <f t="shared" si="92"/>
        <v>0.93</v>
      </c>
      <c r="N164" s="37"/>
      <c r="O164" s="37"/>
      <c r="P164" s="38">
        <v>1.86</v>
      </c>
      <c r="Q164" s="35">
        <f t="shared" si="93"/>
        <v>1.86</v>
      </c>
      <c r="R164" s="34">
        <f t="shared" si="88"/>
        <v>5.58</v>
      </c>
    </row>
    <row r="165" spans="1:18" ht="12.75" hidden="1" outlineLevel="3">
      <c r="A165" s="23" t="s">
        <v>20</v>
      </c>
      <c r="B165" s="63"/>
      <c r="C165" s="63"/>
      <c r="D165" s="63"/>
      <c r="E165" s="35">
        <f t="shared" si="90"/>
        <v>0</v>
      </c>
      <c r="F165" s="37"/>
      <c r="G165" s="37"/>
      <c r="H165" s="37"/>
      <c r="I165" s="35">
        <f t="shared" si="91"/>
        <v>0</v>
      </c>
      <c r="J165" s="37"/>
      <c r="K165" s="37"/>
      <c r="L165" s="37"/>
      <c r="M165" s="35">
        <f t="shared" si="92"/>
        <v>0</v>
      </c>
      <c r="N165" s="37"/>
      <c r="O165" s="37"/>
      <c r="P165" s="38"/>
      <c r="Q165" s="35">
        <f t="shared" si="93"/>
        <v>0</v>
      </c>
      <c r="R165" s="34">
        <f t="shared" si="88"/>
        <v>0</v>
      </c>
    </row>
    <row r="166" spans="1:18" ht="12.75" hidden="1" outlineLevel="3">
      <c r="A166" s="23" t="s">
        <v>21</v>
      </c>
      <c r="B166" s="63"/>
      <c r="C166" s="63"/>
      <c r="D166" s="63"/>
      <c r="E166" s="35">
        <f t="shared" si="90"/>
        <v>0</v>
      </c>
      <c r="F166" s="37"/>
      <c r="G166" s="37"/>
      <c r="H166" s="37"/>
      <c r="I166" s="35">
        <f t="shared" si="91"/>
        <v>0</v>
      </c>
      <c r="J166" s="37"/>
      <c r="K166" s="37"/>
      <c r="L166" s="37"/>
      <c r="M166" s="35">
        <f t="shared" si="92"/>
        <v>0</v>
      </c>
      <c r="N166" s="37"/>
      <c r="O166" s="37"/>
      <c r="P166" s="38"/>
      <c r="Q166" s="35">
        <f t="shared" si="93"/>
        <v>0</v>
      </c>
      <c r="R166" s="34">
        <f t="shared" si="88"/>
        <v>0</v>
      </c>
    </row>
    <row r="167" spans="1:18" ht="12.75" hidden="1" outlineLevel="3">
      <c r="A167" s="23" t="s">
        <v>22</v>
      </c>
      <c r="B167" s="63">
        <v>21.3</v>
      </c>
      <c r="C167" s="63"/>
      <c r="D167" s="63">
        <v>4.26</v>
      </c>
      <c r="E167" s="35">
        <f t="shared" si="90"/>
        <v>25.560000000000002</v>
      </c>
      <c r="F167" s="37">
        <v>17.04</v>
      </c>
      <c r="G167" s="37">
        <v>34.08</v>
      </c>
      <c r="H167" s="37">
        <v>17.04</v>
      </c>
      <c r="I167" s="35">
        <f t="shared" si="91"/>
        <v>68.16</v>
      </c>
      <c r="J167" s="37">
        <v>8.52</v>
      </c>
      <c r="K167" s="37">
        <v>4.26</v>
      </c>
      <c r="L167" s="37">
        <v>4.26</v>
      </c>
      <c r="M167" s="35">
        <f t="shared" si="92"/>
        <v>17.04</v>
      </c>
      <c r="N167" s="37">
        <v>12.78</v>
      </c>
      <c r="O167" s="37">
        <v>29.82</v>
      </c>
      <c r="P167" s="38"/>
      <c r="Q167" s="35">
        <f t="shared" si="93"/>
        <v>42.6</v>
      </c>
      <c r="R167" s="34">
        <f t="shared" si="88"/>
        <v>153.36</v>
      </c>
    </row>
    <row r="168" spans="1:18" ht="12.75" hidden="1" outlineLevel="3">
      <c r="A168" s="23" t="s">
        <v>61</v>
      </c>
      <c r="B168" s="62"/>
      <c r="C168" s="62"/>
      <c r="D168" s="62"/>
      <c r="E168" s="35">
        <f t="shared" si="90"/>
        <v>0</v>
      </c>
      <c r="F168" s="38"/>
      <c r="G168" s="38"/>
      <c r="H168" s="38"/>
      <c r="I168" s="35">
        <f t="shared" si="91"/>
        <v>0</v>
      </c>
      <c r="J168" s="38"/>
      <c r="K168" s="38"/>
      <c r="L168" s="38"/>
      <c r="M168" s="35">
        <f t="shared" si="92"/>
        <v>0</v>
      </c>
      <c r="N168" s="38"/>
      <c r="O168" s="38"/>
      <c r="P168" s="38"/>
      <c r="Q168" s="35">
        <f t="shared" si="93"/>
        <v>0</v>
      </c>
      <c r="R168" s="34">
        <f t="shared" si="88"/>
        <v>0</v>
      </c>
    </row>
    <row r="169" spans="1:18" ht="12.75" hidden="1" outlineLevel="2">
      <c r="A169" s="28" t="s">
        <v>50</v>
      </c>
      <c r="B169" s="43">
        <f aca="true" t="shared" si="94" ref="B169:Q169">SUM(B160:B167)</f>
        <v>111.86</v>
      </c>
      <c r="C169" s="43">
        <f t="shared" si="94"/>
        <v>84.7</v>
      </c>
      <c r="D169" s="43">
        <f t="shared" si="94"/>
        <v>79.60000000000002</v>
      </c>
      <c r="E169" s="42">
        <f t="shared" si="94"/>
        <v>276.16</v>
      </c>
      <c r="F169" s="43">
        <f t="shared" si="94"/>
        <v>97.57999999999998</v>
      </c>
      <c r="G169" s="43">
        <f t="shared" si="94"/>
        <v>108.85</v>
      </c>
      <c r="H169" s="43">
        <f t="shared" si="94"/>
        <v>109.4</v>
      </c>
      <c r="I169" s="42">
        <f t="shared" si="94"/>
        <v>315.83000000000004</v>
      </c>
      <c r="J169" s="43">
        <f t="shared" si="94"/>
        <v>93.29</v>
      </c>
      <c r="K169" s="43">
        <f t="shared" si="94"/>
        <v>107.27000000000001</v>
      </c>
      <c r="L169" s="43">
        <f t="shared" si="94"/>
        <v>88.14</v>
      </c>
      <c r="M169" s="42">
        <f t="shared" si="94"/>
        <v>288.70000000000005</v>
      </c>
      <c r="N169" s="43">
        <f t="shared" si="94"/>
        <v>140.65</v>
      </c>
      <c r="O169" s="43">
        <f t="shared" si="94"/>
        <v>102.44999999999999</v>
      </c>
      <c r="P169" s="43">
        <f t="shared" si="94"/>
        <v>77.76999999999998</v>
      </c>
      <c r="Q169" s="42">
        <f t="shared" si="94"/>
        <v>320.87</v>
      </c>
      <c r="R169" s="44">
        <f t="shared" si="88"/>
        <v>1201.5600000000002</v>
      </c>
    </row>
    <row r="170" spans="1:21" ht="13.5" outlineLevel="1" collapsed="1" thickBot="1">
      <c r="A170" s="26" t="s">
        <v>48</v>
      </c>
      <c r="B170" s="46">
        <f aca="true" t="shared" si="95" ref="B170:R170">B169+B159</f>
        <v>295.91</v>
      </c>
      <c r="C170" s="46">
        <f t="shared" si="95"/>
        <v>84.7</v>
      </c>
      <c r="D170" s="46">
        <f t="shared" si="95"/>
        <v>79.60000000000002</v>
      </c>
      <c r="E170" s="45">
        <f t="shared" si="95"/>
        <v>460.21000000000004</v>
      </c>
      <c r="F170" s="46">
        <f t="shared" si="95"/>
        <v>97.57999999999998</v>
      </c>
      <c r="G170" s="46">
        <f t="shared" si="95"/>
        <v>108.85</v>
      </c>
      <c r="H170" s="46">
        <f t="shared" si="95"/>
        <v>109.4</v>
      </c>
      <c r="I170" s="45">
        <f t="shared" si="95"/>
        <v>315.83000000000004</v>
      </c>
      <c r="J170" s="46">
        <f t="shared" si="95"/>
        <v>100.82000000000001</v>
      </c>
      <c r="K170" s="46">
        <f t="shared" si="95"/>
        <v>107.27000000000001</v>
      </c>
      <c r="L170" s="46">
        <f t="shared" si="95"/>
        <v>88.14</v>
      </c>
      <c r="M170" s="45">
        <f t="shared" si="95"/>
        <v>296.23</v>
      </c>
      <c r="N170" s="46">
        <f t="shared" si="95"/>
        <v>140.65</v>
      </c>
      <c r="O170" s="46">
        <f t="shared" si="95"/>
        <v>138.73999999999998</v>
      </c>
      <c r="P170" s="46">
        <f t="shared" si="95"/>
        <v>82.67999999999998</v>
      </c>
      <c r="Q170" s="45">
        <f t="shared" si="95"/>
        <v>362.07</v>
      </c>
      <c r="R170" s="47">
        <f t="shared" si="95"/>
        <v>1434.3400000000001</v>
      </c>
      <c r="S170" s="65">
        <f>((B160/0.12)+(C160/0.12)+(D160/0.12)+(F160/0.12)+(G160/0.12)+(H160/0.12)+(J160/0.12)+(K160/0.12)+(L160/0.12)+(N160/0.12)+(O160/0.12)+(P160/0.12))/12</f>
        <v>457.1666666666667</v>
      </c>
      <c r="T170" s="54">
        <f>IF(R170&gt;0,R170/S170,0)</f>
        <v>3.1374553408676635</v>
      </c>
      <c r="U170" s="66">
        <f>IF(R162&gt;0,R162/R170,0)</f>
        <v>0.14968556966967383</v>
      </c>
    </row>
    <row r="171" spans="1:18" ht="13.5" outlineLevel="1" thickTop="1">
      <c r="A171" s="16" t="s">
        <v>34</v>
      </c>
      <c r="B171" s="17"/>
      <c r="C171" s="17"/>
      <c r="D171" s="17"/>
      <c r="E171" s="14"/>
      <c r="F171" s="17"/>
      <c r="G171" s="17"/>
      <c r="H171" s="17"/>
      <c r="I171" s="14"/>
      <c r="J171" s="17"/>
      <c r="K171" s="17"/>
      <c r="L171" s="17"/>
      <c r="M171" s="14"/>
      <c r="N171" s="17"/>
      <c r="O171" s="17"/>
      <c r="P171" s="17"/>
      <c r="Q171" s="14"/>
      <c r="R171" s="27"/>
    </row>
    <row r="172" spans="1:18" ht="12.75" hidden="1" outlineLevel="3">
      <c r="A172" s="19" t="s">
        <v>40</v>
      </c>
      <c r="B172" s="20"/>
      <c r="C172" s="20"/>
      <c r="D172" s="20"/>
      <c r="E172" s="67">
        <f aca="true" t="shared" si="96" ref="E172:E179">SUM(B172:D172)</f>
        <v>0</v>
      </c>
      <c r="F172" s="20"/>
      <c r="G172" s="20"/>
      <c r="H172" s="20"/>
      <c r="I172" s="67">
        <f aca="true" t="shared" si="97" ref="I172:I179">SUM(F172:H172)</f>
        <v>0</v>
      </c>
      <c r="J172" s="20"/>
      <c r="K172" s="20"/>
      <c r="L172" s="20"/>
      <c r="M172" s="67">
        <f aca="true" t="shared" si="98" ref="M172:M179">SUM(J172:L172)</f>
        <v>0</v>
      </c>
      <c r="N172" s="20"/>
      <c r="O172" s="20"/>
      <c r="P172" s="20"/>
      <c r="Q172" s="67">
        <f aca="true" t="shared" si="99" ref="Q172:Q179">SUM(N172:P172)</f>
        <v>0</v>
      </c>
      <c r="R172" s="21">
        <f aca="true" t="shared" si="100" ref="R172:R190">Q172+M172+I172+E172</f>
        <v>0</v>
      </c>
    </row>
    <row r="173" spans="1:18" ht="12.75" hidden="1" outlineLevel="3">
      <c r="A173" s="19" t="s">
        <v>41</v>
      </c>
      <c r="B173" s="20"/>
      <c r="C173" s="20"/>
      <c r="D173" s="20"/>
      <c r="E173" s="67">
        <f t="shared" si="96"/>
        <v>0</v>
      </c>
      <c r="F173" s="20"/>
      <c r="G173" s="20"/>
      <c r="H173" s="20"/>
      <c r="I173" s="67">
        <f t="shared" si="97"/>
        <v>0</v>
      </c>
      <c r="J173" s="20"/>
      <c r="K173" s="20"/>
      <c r="L173" s="20"/>
      <c r="M173" s="67">
        <f t="shared" si="98"/>
        <v>0</v>
      </c>
      <c r="N173" s="20"/>
      <c r="O173" s="20"/>
      <c r="P173" s="20"/>
      <c r="Q173" s="67">
        <f t="shared" si="99"/>
        <v>0</v>
      </c>
      <c r="R173" s="21">
        <f t="shared" si="100"/>
        <v>0</v>
      </c>
    </row>
    <row r="174" spans="1:18" ht="12.75" hidden="1" outlineLevel="3">
      <c r="A174" s="19" t="s">
        <v>42</v>
      </c>
      <c r="B174" s="20"/>
      <c r="C174" s="20"/>
      <c r="D174" s="20"/>
      <c r="E174" s="67">
        <f t="shared" si="96"/>
        <v>0</v>
      </c>
      <c r="F174" s="20"/>
      <c r="G174" s="20"/>
      <c r="H174" s="20"/>
      <c r="I174" s="67">
        <f t="shared" si="97"/>
        <v>0</v>
      </c>
      <c r="J174" s="20"/>
      <c r="K174" s="20"/>
      <c r="L174" s="20"/>
      <c r="M174" s="67">
        <f t="shared" si="98"/>
        <v>0</v>
      </c>
      <c r="N174" s="20"/>
      <c r="O174" s="20"/>
      <c r="P174" s="20"/>
      <c r="Q174" s="67">
        <f t="shared" si="99"/>
        <v>0</v>
      </c>
      <c r="R174" s="21">
        <f t="shared" si="100"/>
        <v>0</v>
      </c>
    </row>
    <row r="175" spans="1:18" ht="12.75" hidden="1" outlineLevel="3">
      <c r="A175" s="19" t="s">
        <v>43</v>
      </c>
      <c r="B175" s="20"/>
      <c r="C175" s="20"/>
      <c r="D175" s="20"/>
      <c r="E175" s="67">
        <f t="shared" si="96"/>
        <v>0</v>
      </c>
      <c r="F175" s="20"/>
      <c r="G175" s="20"/>
      <c r="H175" s="20"/>
      <c r="I175" s="67">
        <f t="shared" si="97"/>
        <v>0</v>
      </c>
      <c r="J175" s="20"/>
      <c r="K175" s="20"/>
      <c r="L175" s="20"/>
      <c r="M175" s="67">
        <f t="shared" si="98"/>
        <v>0</v>
      </c>
      <c r="N175" s="20"/>
      <c r="O175" s="20"/>
      <c r="P175" s="20"/>
      <c r="Q175" s="67">
        <f t="shared" si="99"/>
        <v>0</v>
      </c>
      <c r="R175" s="21">
        <f t="shared" si="100"/>
        <v>0</v>
      </c>
    </row>
    <row r="176" spans="1:18" ht="12.75" hidden="1" outlineLevel="3">
      <c r="A176" s="19" t="s">
        <v>44</v>
      </c>
      <c r="B176" s="20"/>
      <c r="C176" s="20"/>
      <c r="D176" s="20"/>
      <c r="E176" s="67">
        <f t="shared" si="96"/>
        <v>0</v>
      </c>
      <c r="F176" s="20"/>
      <c r="G176" s="20"/>
      <c r="H176" s="20"/>
      <c r="I176" s="67">
        <f t="shared" si="97"/>
        <v>0</v>
      </c>
      <c r="J176" s="20"/>
      <c r="K176" s="20"/>
      <c r="L176" s="20"/>
      <c r="M176" s="67">
        <f t="shared" si="98"/>
        <v>0</v>
      </c>
      <c r="N176" s="20"/>
      <c r="O176" s="20"/>
      <c r="P176" s="20"/>
      <c r="Q176" s="67">
        <f t="shared" si="99"/>
        <v>0</v>
      </c>
      <c r="R176" s="21">
        <f t="shared" si="100"/>
        <v>0</v>
      </c>
    </row>
    <row r="177" spans="1:18" ht="12.75" hidden="1" outlineLevel="3">
      <c r="A177" s="19" t="s">
        <v>45</v>
      </c>
      <c r="B177" s="62">
        <v>276.69</v>
      </c>
      <c r="C177" s="62"/>
      <c r="D177" s="62"/>
      <c r="E177" s="35">
        <f t="shared" si="96"/>
        <v>276.69</v>
      </c>
      <c r="F177" s="62"/>
      <c r="G177" s="62"/>
      <c r="H177" s="62"/>
      <c r="I177" s="35">
        <f t="shared" si="97"/>
        <v>0</v>
      </c>
      <c r="J177" s="62"/>
      <c r="K177" s="62"/>
      <c r="L177" s="62"/>
      <c r="M177" s="35">
        <f t="shared" si="98"/>
        <v>0</v>
      </c>
      <c r="N177" s="62"/>
      <c r="O177" s="62"/>
      <c r="P177" s="62"/>
      <c r="Q177" s="35">
        <f t="shared" si="99"/>
        <v>0</v>
      </c>
      <c r="R177" s="34">
        <f t="shared" si="100"/>
        <v>276.69</v>
      </c>
    </row>
    <row r="178" spans="1:18" ht="12.75" hidden="1" outlineLevel="3">
      <c r="A178" s="19" t="s">
        <v>46</v>
      </c>
      <c r="B178" s="20"/>
      <c r="C178" s="20"/>
      <c r="D178" s="20"/>
      <c r="E178" s="67">
        <f t="shared" si="96"/>
        <v>0</v>
      </c>
      <c r="F178" s="20"/>
      <c r="G178" s="20"/>
      <c r="H178" s="20"/>
      <c r="I178" s="67">
        <f t="shared" si="97"/>
        <v>0</v>
      </c>
      <c r="J178" s="20"/>
      <c r="K178" s="20"/>
      <c r="L178" s="20"/>
      <c r="M178" s="67">
        <f t="shared" si="98"/>
        <v>0</v>
      </c>
      <c r="N178" s="20"/>
      <c r="O178" s="20"/>
      <c r="P178" s="20"/>
      <c r="Q178" s="67">
        <f t="shared" si="99"/>
        <v>0</v>
      </c>
      <c r="R178" s="21">
        <f t="shared" si="100"/>
        <v>0</v>
      </c>
    </row>
    <row r="179" spans="1:18" ht="12.75" hidden="1" outlineLevel="3">
      <c r="A179" s="19" t="s">
        <v>58</v>
      </c>
      <c r="B179" s="62">
        <v>32</v>
      </c>
      <c r="C179" s="62"/>
      <c r="D179" s="62"/>
      <c r="E179" s="59">
        <f t="shared" si="96"/>
        <v>32</v>
      </c>
      <c r="F179" s="52"/>
      <c r="G179" s="52"/>
      <c r="H179" s="52"/>
      <c r="I179" s="59">
        <f t="shared" si="97"/>
        <v>0</v>
      </c>
      <c r="J179" s="52">
        <v>12.18</v>
      </c>
      <c r="K179" s="52"/>
      <c r="L179" s="52"/>
      <c r="M179" s="59">
        <f t="shared" si="98"/>
        <v>12.18</v>
      </c>
      <c r="N179" s="52"/>
      <c r="O179" s="52">
        <v>62.07</v>
      </c>
      <c r="P179" s="52">
        <v>6.56</v>
      </c>
      <c r="Q179" s="59">
        <f t="shared" si="99"/>
        <v>68.63</v>
      </c>
      <c r="R179" s="60">
        <f t="shared" si="100"/>
        <v>112.81</v>
      </c>
    </row>
    <row r="180" spans="1:18" ht="12.75" hidden="1" outlineLevel="2">
      <c r="A180" s="22" t="s">
        <v>47</v>
      </c>
      <c r="B180" s="63">
        <f aca="true" t="shared" si="101" ref="B180:Q180">SUM(B172:B179)</f>
        <v>308.69</v>
      </c>
      <c r="C180" s="63">
        <f t="shared" si="101"/>
        <v>0</v>
      </c>
      <c r="D180" s="63">
        <f t="shared" si="101"/>
        <v>0</v>
      </c>
      <c r="E180" s="33">
        <f t="shared" si="101"/>
        <v>308.69</v>
      </c>
      <c r="F180" s="33">
        <f t="shared" si="101"/>
        <v>0</v>
      </c>
      <c r="G180" s="33">
        <f t="shared" si="101"/>
        <v>0</v>
      </c>
      <c r="H180" s="33">
        <f t="shared" si="101"/>
        <v>0</v>
      </c>
      <c r="I180" s="33">
        <f t="shared" si="101"/>
        <v>0</v>
      </c>
      <c r="J180" s="33">
        <f t="shared" si="101"/>
        <v>12.18</v>
      </c>
      <c r="K180" s="33">
        <f t="shared" si="101"/>
        <v>0</v>
      </c>
      <c r="L180" s="33">
        <f t="shared" si="101"/>
        <v>0</v>
      </c>
      <c r="M180" s="33">
        <f t="shared" si="101"/>
        <v>12.18</v>
      </c>
      <c r="N180" s="33">
        <f t="shared" si="101"/>
        <v>0</v>
      </c>
      <c r="O180" s="33">
        <f t="shared" si="101"/>
        <v>62.07</v>
      </c>
      <c r="P180" s="33">
        <f t="shared" si="101"/>
        <v>6.56</v>
      </c>
      <c r="Q180" s="33">
        <f t="shared" si="101"/>
        <v>68.63</v>
      </c>
      <c r="R180" s="34">
        <f t="shared" si="100"/>
        <v>389.5</v>
      </c>
    </row>
    <row r="181" spans="1:18" ht="12.75" hidden="1" outlineLevel="3">
      <c r="A181" s="23" t="s">
        <v>15</v>
      </c>
      <c r="B181" s="63">
        <v>88.44</v>
      </c>
      <c r="C181" s="63">
        <v>88.44</v>
      </c>
      <c r="D181" s="63">
        <v>89.4</v>
      </c>
      <c r="E181" s="35">
        <f aca="true" t="shared" si="102" ref="E181:E189">SUM(B181:D181)</f>
        <v>266.28</v>
      </c>
      <c r="F181" s="37">
        <v>88.56</v>
      </c>
      <c r="G181" s="37">
        <v>89.28</v>
      </c>
      <c r="H181" s="37">
        <v>89.76</v>
      </c>
      <c r="I181" s="35">
        <f aca="true" t="shared" si="103" ref="I181:I189">SUM(F181:H181)</f>
        <v>267.6</v>
      </c>
      <c r="J181" s="37">
        <v>90.12</v>
      </c>
      <c r="K181" s="37">
        <v>90.6</v>
      </c>
      <c r="L181" s="37">
        <v>92.16</v>
      </c>
      <c r="M181" s="35">
        <f aca="true" t="shared" si="104" ref="M181:M189">SUM(J181:L181)</f>
        <v>272.88</v>
      </c>
      <c r="N181" s="37">
        <v>92.64</v>
      </c>
      <c r="O181" s="37">
        <v>93.6</v>
      </c>
      <c r="P181" s="38">
        <v>93.84</v>
      </c>
      <c r="Q181" s="35">
        <f aca="true" t="shared" si="105" ref="Q181:Q189">SUM(N181:P181)</f>
        <v>280.08000000000004</v>
      </c>
      <c r="R181" s="34">
        <f t="shared" si="100"/>
        <v>1086.8400000000001</v>
      </c>
    </row>
    <row r="182" spans="1:18" ht="12.75" hidden="1" outlineLevel="3">
      <c r="A182" s="23" t="s">
        <v>16</v>
      </c>
      <c r="B182" s="62">
        <v>15</v>
      </c>
      <c r="C182" s="62">
        <v>15</v>
      </c>
      <c r="D182" s="62">
        <v>15</v>
      </c>
      <c r="E182" s="35">
        <f t="shared" si="102"/>
        <v>45</v>
      </c>
      <c r="F182" s="62">
        <v>15</v>
      </c>
      <c r="G182" s="62">
        <v>15</v>
      </c>
      <c r="H182" s="62">
        <v>15</v>
      </c>
      <c r="I182" s="35">
        <f t="shared" si="103"/>
        <v>45</v>
      </c>
      <c r="J182" s="62">
        <v>15</v>
      </c>
      <c r="K182" s="62">
        <v>15</v>
      </c>
      <c r="L182" s="62">
        <v>15</v>
      </c>
      <c r="M182" s="35">
        <f t="shared" si="104"/>
        <v>45</v>
      </c>
      <c r="N182" s="62">
        <v>15</v>
      </c>
      <c r="O182" s="62">
        <v>15</v>
      </c>
      <c r="P182" s="62">
        <v>15</v>
      </c>
      <c r="Q182" s="35">
        <f t="shared" si="105"/>
        <v>45</v>
      </c>
      <c r="R182" s="34">
        <f t="shared" si="100"/>
        <v>180</v>
      </c>
    </row>
    <row r="183" spans="1:18" ht="12.75" hidden="1" outlineLevel="3">
      <c r="A183" s="23" t="s">
        <v>17</v>
      </c>
      <c r="B183" s="63">
        <v>13.56</v>
      </c>
      <c r="C183" s="63">
        <v>14.69</v>
      </c>
      <c r="D183" s="63">
        <v>18.08</v>
      </c>
      <c r="E183" s="35">
        <f t="shared" si="102"/>
        <v>46.33</v>
      </c>
      <c r="F183" s="37">
        <v>20.34</v>
      </c>
      <c r="G183" s="37">
        <v>15.82</v>
      </c>
      <c r="H183" s="37">
        <v>22.6</v>
      </c>
      <c r="I183" s="35">
        <f t="shared" si="103"/>
        <v>58.76</v>
      </c>
      <c r="J183" s="37">
        <v>7.91</v>
      </c>
      <c r="K183" s="37">
        <v>24.86</v>
      </c>
      <c r="L183" s="37">
        <v>29.38</v>
      </c>
      <c r="M183" s="35">
        <f t="shared" si="104"/>
        <v>62.14999999999999</v>
      </c>
      <c r="N183" s="37">
        <v>18.08</v>
      </c>
      <c r="O183" s="37">
        <v>22.6</v>
      </c>
      <c r="P183" s="38">
        <v>4.52</v>
      </c>
      <c r="Q183" s="35">
        <f t="shared" si="105"/>
        <v>45.2</v>
      </c>
      <c r="R183" s="34">
        <f t="shared" si="100"/>
        <v>212.44</v>
      </c>
    </row>
    <row r="184" spans="1:18" ht="12.75" hidden="1" outlineLevel="3">
      <c r="A184" s="25" t="s">
        <v>18</v>
      </c>
      <c r="B184" s="63">
        <v>1</v>
      </c>
      <c r="C184" s="63"/>
      <c r="D184" s="63"/>
      <c r="E184" s="35">
        <f t="shared" si="102"/>
        <v>1</v>
      </c>
      <c r="F184" s="37"/>
      <c r="G184" s="37"/>
      <c r="H184" s="37"/>
      <c r="I184" s="35">
        <f t="shared" si="103"/>
        <v>0</v>
      </c>
      <c r="J184" s="37"/>
      <c r="K184" s="37"/>
      <c r="L184" s="37"/>
      <c r="M184" s="35">
        <f t="shared" si="104"/>
        <v>0</v>
      </c>
      <c r="N184" s="37">
        <f>2.71+3.21+12.91+24.52+5.13+5.01+2.83+3+3.17+7.16+3.23+3.58</f>
        <v>76.46</v>
      </c>
      <c r="O184" s="37"/>
      <c r="P184" s="38">
        <f>2.71+3.2</f>
        <v>5.91</v>
      </c>
      <c r="Q184" s="35">
        <f t="shared" si="105"/>
        <v>82.36999999999999</v>
      </c>
      <c r="R184" s="34">
        <f t="shared" si="100"/>
        <v>83.36999999999999</v>
      </c>
    </row>
    <row r="185" spans="1:18" ht="12.75" hidden="1" outlineLevel="3">
      <c r="A185" s="23" t="s">
        <v>19</v>
      </c>
      <c r="B185" s="63"/>
      <c r="C185" s="63">
        <v>1.86</v>
      </c>
      <c r="D185" s="63">
        <v>0.93</v>
      </c>
      <c r="E185" s="35">
        <f t="shared" si="102"/>
        <v>2.79</v>
      </c>
      <c r="F185" s="37"/>
      <c r="G185" s="37"/>
      <c r="H185" s="37"/>
      <c r="I185" s="35">
        <f t="shared" si="103"/>
        <v>0</v>
      </c>
      <c r="J185" s="37"/>
      <c r="K185" s="37"/>
      <c r="L185" s="37"/>
      <c r="M185" s="35">
        <f t="shared" si="104"/>
        <v>0</v>
      </c>
      <c r="N185" s="37"/>
      <c r="O185" s="37"/>
      <c r="P185" s="38"/>
      <c r="Q185" s="35">
        <f t="shared" si="105"/>
        <v>0</v>
      </c>
      <c r="R185" s="34">
        <f t="shared" si="100"/>
        <v>2.79</v>
      </c>
    </row>
    <row r="186" spans="1:18" ht="12.75" hidden="1" outlineLevel="3">
      <c r="A186" s="23" t="s">
        <v>20</v>
      </c>
      <c r="B186" s="63">
        <v>2.5</v>
      </c>
      <c r="C186" s="63">
        <f>5+0.06+13.56</f>
        <v>18.62</v>
      </c>
      <c r="D186" s="63">
        <v>19.43</v>
      </c>
      <c r="E186" s="35">
        <f t="shared" si="102"/>
        <v>40.55</v>
      </c>
      <c r="F186" s="37">
        <v>8.13</v>
      </c>
      <c r="G186" s="37">
        <v>6.5</v>
      </c>
      <c r="H186" s="37">
        <v>29.5</v>
      </c>
      <c r="I186" s="35">
        <f t="shared" si="103"/>
        <v>44.13</v>
      </c>
      <c r="J186" s="37">
        <v>1.5</v>
      </c>
      <c r="K186" s="37">
        <v>8.5</v>
      </c>
      <c r="L186" s="37">
        <v>8</v>
      </c>
      <c r="M186" s="35">
        <f t="shared" si="104"/>
        <v>18</v>
      </c>
      <c r="N186" s="37">
        <v>12.5</v>
      </c>
      <c r="O186" s="37">
        <v>2.5</v>
      </c>
      <c r="P186" s="38">
        <v>1.5</v>
      </c>
      <c r="Q186" s="35">
        <f t="shared" si="105"/>
        <v>16.5</v>
      </c>
      <c r="R186" s="34">
        <f t="shared" si="100"/>
        <v>119.17999999999999</v>
      </c>
    </row>
    <row r="187" spans="1:18" ht="12.75" hidden="1" outlineLevel="3">
      <c r="A187" s="23" t="s">
        <v>21</v>
      </c>
      <c r="B187" s="63"/>
      <c r="C187" s="63"/>
      <c r="D187" s="63"/>
      <c r="E187" s="35">
        <f t="shared" si="102"/>
        <v>0</v>
      </c>
      <c r="F187" s="37"/>
      <c r="G187" s="37"/>
      <c r="H187" s="37"/>
      <c r="I187" s="35">
        <f t="shared" si="103"/>
        <v>0</v>
      </c>
      <c r="J187" s="37"/>
      <c r="K187" s="37"/>
      <c r="L187" s="37"/>
      <c r="M187" s="35">
        <f t="shared" si="104"/>
        <v>0</v>
      </c>
      <c r="N187" s="37"/>
      <c r="O187" s="37"/>
      <c r="P187" s="38"/>
      <c r="Q187" s="35">
        <f t="shared" si="105"/>
        <v>0</v>
      </c>
      <c r="R187" s="34">
        <f t="shared" si="100"/>
        <v>0</v>
      </c>
    </row>
    <row r="188" spans="1:18" ht="12.75" hidden="1" outlineLevel="3">
      <c r="A188" s="23" t="s">
        <v>22</v>
      </c>
      <c r="B188" s="63"/>
      <c r="C188" s="63"/>
      <c r="D188" s="63"/>
      <c r="E188" s="35">
        <f t="shared" si="102"/>
        <v>0</v>
      </c>
      <c r="F188" s="37">
        <v>4.26</v>
      </c>
      <c r="G188" s="37"/>
      <c r="H188" s="37"/>
      <c r="I188" s="35">
        <f t="shared" si="103"/>
        <v>4.26</v>
      </c>
      <c r="J188" s="37"/>
      <c r="K188" s="37">
        <v>12.78</v>
      </c>
      <c r="L188" s="37"/>
      <c r="M188" s="35">
        <f t="shared" si="104"/>
        <v>12.78</v>
      </c>
      <c r="N188" s="37">
        <v>8.52</v>
      </c>
      <c r="O188" s="37">
        <v>8.52</v>
      </c>
      <c r="P188" s="38">
        <v>4.26</v>
      </c>
      <c r="Q188" s="35">
        <f t="shared" si="105"/>
        <v>21.299999999999997</v>
      </c>
      <c r="R188" s="34">
        <f t="shared" si="100"/>
        <v>38.339999999999996</v>
      </c>
    </row>
    <row r="189" spans="1:18" ht="12.75" hidden="1" outlineLevel="3">
      <c r="A189" s="23" t="s">
        <v>61</v>
      </c>
      <c r="B189" s="62"/>
      <c r="C189" s="62"/>
      <c r="D189" s="62"/>
      <c r="E189" s="35">
        <f t="shared" si="102"/>
        <v>0</v>
      </c>
      <c r="F189" s="38"/>
      <c r="G189" s="38"/>
      <c r="H189" s="38"/>
      <c r="I189" s="35">
        <f t="shared" si="103"/>
        <v>0</v>
      </c>
      <c r="J189" s="38"/>
      <c r="K189" s="38"/>
      <c r="L189" s="38"/>
      <c r="M189" s="35">
        <f t="shared" si="104"/>
        <v>0</v>
      </c>
      <c r="N189" s="38"/>
      <c r="O189" s="38"/>
      <c r="P189" s="38"/>
      <c r="Q189" s="35">
        <f t="shared" si="105"/>
        <v>0</v>
      </c>
      <c r="R189" s="34">
        <f t="shared" si="100"/>
        <v>0</v>
      </c>
    </row>
    <row r="190" spans="1:18" ht="12.75" hidden="1" outlineLevel="2">
      <c r="A190" s="28" t="s">
        <v>50</v>
      </c>
      <c r="B190" s="43">
        <f aca="true" t="shared" si="106" ref="B190:Q190">SUM(B181:B188)</f>
        <v>120.5</v>
      </c>
      <c r="C190" s="43">
        <f t="shared" si="106"/>
        <v>138.60999999999999</v>
      </c>
      <c r="D190" s="43">
        <f t="shared" si="106"/>
        <v>142.84</v>
      </c>
      <c r="E190" s="42">
        <f t="shared" si="106"/>
        <v>401.95</v>
      </c>
      <c r="F190" s="43">
        <f t="shared" si="106"/>
        <v>136.29</v>
      </c>
      <c r="G190" s="43">
        <f t="shared" si="106"/>
        <v>126.6</v>
      </c>
      <c r="H190" s="43">
        <f t="shared" si="106"/>
        <v>156.86</v>
      </c>
      <c r="I190" s="42">
        <f t="shared" si="106"/>
        <v>419.75</v>
      </c>
      <c r="J190" s="43">
        <f t="shared" si="106"/>
        <v>114.53</v>
      </c>
      <c r="K190" s="43">
        <f t="shared" si="106"/>
        <v>151.73999999999998</v>
      </c>
      <c r="L190" s="43">
        <f t="shared" si="106"/>
        <v>144.54</v>
      </c>
      <c r="M190" s="42">
        <f t="shared" si="106"/>
        <v>410.80999999999995</v>
      </c>
      <c r="N190" s="43">
        <f t="shared" si="106"/>
        <v>223.20000000000002</v>
      </c>
      <c r="O190" s="43">
        <f t="shared" si="106"/>
        <v>142.22</v>
      </c>
      <c r="P190" s="43">
        <f t="shared" si="106"/>
        <v>125.03</v>
      </c>
      <c r="Q190" s="42">
        <f t="shared" si="106"/>
        <v>490.45000000000005</v>
      </c>
      <c r="R190" s="44">
        <f t="shared" si="100"/>
        <v>1722.96</v>
      </c>
    </row>
    <row r="191" spans="1:21" ht="13.5" outlineLevel="1" collapsed="1" thickBot="1">
      <c r="A191" s="22" t="s">
        <v>48</v>
      </c>
      <c r="B191" s="46">
        <f aca="true" t="shared" si="107" ref="B191:R191">B190+B180</f>
        <v>429.19</v>
      </c>
      <c r="C191" s="46">
        <f t="shared" si="107"/>
        <v>138.60999999999999</v>
      </c>
      <c r="D191" s="46">
        <f t="shared" si="107"/>
        <v>142.84</v>
      </c>
      <c r="E191" s="45">
        <f t="shared" si="107"/>
        <v>710.64</v>
      </c>
      <c r="F191" s="46">
        <f t="shared" si="107"/>
        <v>136.29</v>
      </c>
      <c r="G191" s="46">
        <f t="shared" si="107"/>
        <v>126.6</v>
      </c>
      <c r="H191" s="46">
        <f t="shared" si="107"/>
        <v>156.86</v>
      </c>
      <c r="I191" s="45">
        <f t="shared" si="107"/>
        <v>419.75</v>
      </c>
      <c r="J191" s="46">
        <f t="shared" si="107"/>
        <v>126.71000000000001</v>
      </c>
      <c r="K191" s="46">
        <f t="shared" si="107"/>
        <v>151.73999999999998</v>
      </c>
      <c r="L191" s="46">
        <f t="shared" si="107"/>
        <v>144.54</v>
      </c>
      <c r="M191" s="45">
        <f t="shared" si="107"/>
        <v>422.98999999999995</v>
      </c>
      <c r="N191" s="46">
        <f t="shared" si="107"/>
        <v>223.20000000000002</v>
      </c>
      <c r="O191" s="46">
        <f t="shared" si="107"/>
        <v>204.29</v>
      </c>
      <c r="P191" s="46">
        <f t="shared" si="107"/>
        <v>131.59</v>
      </c>
      <c r="Q191" s="45">
        <f t="shared" si="107"/>
        <v>559.08</v>
      </c>
      <c r="R191" s="47">
        <f t="shared" si="107"/>
        <v>2112.46</v>
      </c>
      <c r="S191" s="65">
        <f>((B181/0.12)+(C181/0.12)+(D181/0.12)+(F181/0.12)+(G181/0.12)+(H181/0.12)+(J181/0.12)+(K181/0.12)+(L181/0.12)+(N181/0.12)+(O181/0.12)+(P181/0.12))/12</f>
        <v>754.75</v>
      </c>
      <c r="T191" s="54">
        <f>IF(R191&gt;0,R191/S191,0)</f>
        <v>2.7988870486916197</v>
      </c>
      <c r="U191" s="66">
        <f>IF(R183&gt;0,R183/R191,0)</f>
        <v>0.10056521780294064</v>
      </c>
    </row>
    <row r="192" spans="1:18" ht="13.5" outlineLevel="1" thickTop="1">
      <c r="A192" s="16" t="s">
        <v>35</v>
      </c>
      <c r="B192" s="17"/>
      <c r="C192" s="17"/>
      <c r="D192" s="17"/>
      <c r="E192" s="14"/>
      <c r="F192" s="17"/>
      <c r="G192" s="17"/>
      <c r="H192" s="17"/>
      <c r="I192" s="14"/>
      <c r="J192" s="17"/>
      <c r="K192" s="17"/>
      <c r="L192" s="17"/>
      <c r="M192" s="14"/>
      <c r="N192" s="17"/>
      <c r="O192" s="17"/>
      <c r="P192" s="17"/>
      <c r="Q192" s="14"/>
      <c r="R192" s="27"/>
    </row>
    <row r="193" spans="1:18" ht="12.75" hidden="1" outlineLevel="3">
      <c r="A193" s="19" t="s">
        <v>40</v>
      </c>
      <c r="B193" s="20"/>
      <c r="C193" s="20"/>
      <c r="D193" s="20"/>
      <c r="E193" s="67">
        <f aca="true" t="shared" si="108" ref="E193:E200">SUM(B193:D193)</f>
        <v>0</v>
      </c>
      <c r="F193" s="37"/>
      <c r="G193" s="37"/>
      <c r="H193" s="37"/>
      <c r="I193" s="67">
        <f aca="true" t="shared" si="109" ref="I193:I200">SUM(F193:H193)</f>
        <v>0</v>
      </c>
      <c r="J193" s="20"/>
      <c r="K193" s="20"/>
      <c r="L193" s="20"/>
      <c r="M193" s="67">
        <f aca="true" t="shared" si="110" ref="M193:M200">SUM(J193:L193)</f>
        <v>0</v>
      </c>
      <c r="N193" s="20"/>
      <c r="O193" s="20"/>
      <c r="P193" s="20"/>
      <c r="Q193" s="67">
        <f aca="true" t="shared" si="111" ref="Q193:Q200">SUM(N193:P193)</f>
        <v>0</v>
      </c>
      <c r="R193" s="21">
        <f aca="true" t="shared" si="112" ref="R193:R211">Q193+M193+I193+E193</f>
        <v>0</v>
      </c>
    </row>
    <row r="194" spans="1:18" ht="12.75" hidden="1" outlineLevel="3">
      <c r="A194" s="19" t="s">
        <v>41</v>
      </c>
      <c r="B194" s="20"/>
      <c r="C194" s="20"/>
      <c r="D194" s="20"/>
      <c r="E194" s="67">
        <f t="shared" si="108"/>
        <v>0</v>
      </c>
      <c r="F194" s="37"/>
      <c r="G194" s="37"/>
      <c r="H194" s="37"/>
      <c r="I194" s="67">
        <f t="shared" si="109"/>
        <v>0</v>
      </c>
      <c r="J194" s="20"/>
      <c r="K194" s="20"/>
      <c r="L194" s="20"/>
      <c r="M194" s="67">
        <f t="shared" si="110"/>
        <v>0</v>
      </c>
      <c r="N194" s="20"/>
      <c r="O194" s="20"/>
      <c r="P194" s="20"/>
      <c r="Q194" s="67">
        <f t="shared" si="111"/>
        <v>0</v>
      </c>
      <c r="R194" s="21">
        <f t="shared" si="112"/>
        <v>0</v>
      </c>
    </row>
    <row r="195" spans="1:18" ht="12.75" hidden="1" outlineLevel="3">
      <c r="A195" s="19" t="s">
        <v>42</v>
      </c>
      <c r="B195" s="20"/>
      <c r="C195" s="20"/>
      <c r="D195" s="20"/>
      <c r="E195" s="67">
        <f t="shared" si="108"/>
        <v>0</v>
      </c>
      <c r="F195" s="37"/>
      <c r="G195" s="37"/>
      <c r="H195" s="37"/>
      <c r="I195" s="67">
        <f t="shared" si="109"/>
        <v>0</v>
      </c>
      <c r="J195" s="20"/>
      <c r="K195" s="20"/>
      <c r="L195" s="20"/>
      <c r="M195" s="67">
        <f t="shared" si="110"/>
        <v>0</v>
      </c>
      <c r="N195" s="20"/>
      <c r="O195" s="20"/>
      <c r="P195" s="20"/>
      <c r="Q195" s="67">
        <f t="shared" si="111"/>
        <v>0</v>
      </c>
      <c r="R195" s="21">
        <f t="shared" si="112"/>
        <v>0</v>
      </c>
    </row>
    <row r="196" spans="1:18" ht="12.75" hidden="1" outlineLevel="3">
      <c r="A196" s="19" t="s">
        <v>43</v>
      </c>
      <c r="B196" s="20"/>
      <c r="C196" s="20"/>
      <c r="D196" s="20"/>
      <c r="E196" s="67">
        <f t="shared" si="108"/>
        <v>0</v>
      </c>
      <c r="F196" s="37"/>
      <c r="G196" s="37"/>
      <c r="H196" s="37"/>
      <c r="I196" s="67">
        <f t="shared" si="109"/>
        <v>0</v>
      </c>
      <c r="J196" s="20"/>
      <c r="K196" s="20"/>
      <c r="L196" s="20"/>
      <c r="M196" s="67">
        <f t="shared" si="110"/>
        <v>0</v>
      </c>
      <c r="N196" s="20"/>
      <c r="O196" s="20"/>
      <c r="P196" s="20"/>
      <c r="Q196" s="67">
        <f t="shared" si="111"/>
        <v>0</v>
      </c>
      <c r="R196" s="21">
        <f t="shared" si="112"/>
        <v>0</v>
      </c>
    </row>
    <row r="197" spans="1:18" ht="12.75" hidden="1" outlineLevel="3">
      <c r="A197" s="19" t="s">
        <v>44</v>
      </c>
      <c r="B197" s="20"/>
      <c r="C197" s="20"/>
      <c r="D197" s="20"/>
      <c r="E197" s="67">
        <f t="shared" si="108"/>
        <v>0</v>
      </c>
      <c r="F197" s="37"/>
      <c r="G197" s="37"/>
      <c r="H197" s="37"/>
      <c r="I197" s="67">
        <f t="shared" si="109"/>
        <v>0</v>
      </c>
      <c r="J197" s="20"/>
      <c r="K197" s="20"/>
      <c r="L197" s="20"/>
      <c r="M197" s="67">
        <f t="shared" si="110"/>
        <v>0</v>
      </c>
      <c r="N197" s="20"/>
      <c r="O197" s="20"/>
      <c r="P197" s="20"/>
      <c r="Q197" s="67">
        <f t="shared" si="111"/>
        <v>0</v>
      </c>
      <c r="R197" s="21">
        <f t="shared" si="112"/>
        <v>0</v>
      </c>
    </row>
    <row r="198" spans="1:18" ht="12.75" hidden="1" outlineLevel="3">
      <c r="A198" s="19" t="s">
        <v>45</v>
      </c>
      <c r="B198" s="62">
        <v>190.09</v>
      </c>
      <c r="C198" s="62"/>
      <c r="D198" s="62"/>
      <c r="E198" s="35">
        <f t="shared" si="108"/>
        <v>190.09</v>
      </c>
      <c r="F198" s="62"/>
      <c r="G198" s="62"/>
      <c r="H198" s="62"/>
      <c r="I198" s="35">
        <f t="shared" si="109"/>
        <v>0</v>
      </c>
      <c r="J198" s="62"/>
      <c r="K198" s="62"/>
      <c r="L198" s="62"/>
      <c r="M198" s="35">
        <f t="shared" si="110"/>
        <v>0</v>
      </c>
      <c r="N198" s="62"/>
      <c r="O198" s="62"/>
      <c r="P198" s="62"/>
      <c r="Q198" s="35">
        <f t="shared" si="111"/>
        <v>0</v>
      </c>
      <c r="R198" s="34">
        <f t="shared" si="112"/>
        <v>190.09</v>
      </c>
    </row>
    <row r="199" spans="1:18" ht="12.75" hidden="1" outlineLevel="3">
      <c r="A199" s="19" t="s">
        <v>46</v>
      </c>
      <c r="B199" s="20"/>
      <c r="C199" s="20"/>
      <c r="D199" s="20"/>
      <c r="E199" s="67">
        <f t="shared" si="108"/>
        <v>0</v>
      </c>
      <c r="F199" s="37"/>
      <c r="G199" s="37"/>
      <c r="H199" s="37"/>
      <c r="I199" s="67">
        <f t="shared" si="109"/>
        <v>0</v>
      </c>
      <c r="J199" s="20"/>
      <c r="K199" s="20"/>
      <c r="L199" s="20"/>
      <c r="M199" s="67">
        <f t="shared" si="110"/>
        <v>0</v>
      </c>
      <c r="N199" s="20"/>
      <c r="O199" s="20"/>
      <c r="P199" s="20"/>
      <c r="Q199" s="67">
        <f t="shared" si="111"/>
        <v>0</v>
      </c>
      <c r="R199" s="21">
        <f t="shared" si="112"/>
        <v>0</v>
      </c>
    </row>
    <row r="200" spans="1:18" ht="12.75" hidden="1" outlineLevel="3">
      <c r="A200" s="19" t="s">
        <v>58</v>
      </c>
      <c r="B200" s="62">
        <v>21.99</v>
      </c>
      <c r="C200" s="62"/>
      <c r="D200" s="62"/>
      <c r="E200" s="59">
        <f t="shared" si="108"/>
        <v>21.99</v>
      </c>
      <c r="F200" s="52"/>
      <c r="G200" s="52"/>
      <c r="H200" s="52"/>
      <c r="I200" s="59">
        <f t="shared" si="109"/>
        <v>0</v>
      </c>
      <c r="J200" s="52">
        <v>8.24</v>
      </c>
      <c r="K200" s="52"/>
      <c r="L200" s="52"/>
      <c r="M200" s="59">
        <f t="shared" si="110"/>
        <v>8.24</v>
      </c>
      <c r="N200" s="52"/>
      <c r="O200" s="52">
        <v>39.39</v>
      </c>
      <c r="P200" s="52">
        <v>7.13</v>
      </c>
      <c r="Q200" s="59">
        <f t="shared" si="111"/>
        <v>46.52</v>
      </c>
      <c r="R200" s="60">
        <f t="shared" si="112"/>
        <v>76.75</v>
      </c>
    </row>
    <row r="201" spans="1:18" ht="12.75" hidden="1" outlineLevel="2">
      <c r="A201" s="22" t="s">
        <v>47</v>
      </c>
      <c r="B201" s="63">
        <f aca="true" t="shared" si="113" ref="B201:Q201">SUM(B193:B200)</f>
        <v>212.08</v>
      </c>
      <c r="C201" s="63">
        <f t="shared" si="113"/>
        <v>0</v>
      </c>
      <c r="D201" s="63">
        <f t="shared" si="113"/>
        <v>0</v>
      </c>
      <c r="E201" s="33">
        <f t="shared" si="113"/>
        <v>212.08</v>
      </c>
      <c r="F201" s="33">
        <f t="shared" si="113"/>
        <v>0</v>
      </c>
      <c r="G201" s="33">
        <f t="shared" si="113"/>
        <v>0</v>
      </c>
      <c r="H201" s="33">
        <f t="shared" si="113"/>
        <v>0</v>
      </c>
      <c r="I201" s="33">
        <f t="shared" si="113"/>
        <v>0</v>
      </c>
      <c r="J201" s="33">
        <f t="shared" si="113"/>
        <v>8.24</v>
      </c>
      <c r="K201" s="33">
        <f t="shared" si="113"/>
        <v>0</v>
      </c>
      <c r="L201" s="33">
        <f t="shared" si="113"/>
        <v>0</v>
      </c>
      <c r="M201" s="33">
        <f t="shared" si="113"/>
        <v>8.24</v>
      </c>
      <c r="N201" s="33">
        <f t="shared" si="113"/>
        <v>0</v>
      </c>
      <c r="O201" s="33">
        <f t="shared" si="113"/>
        <v>39.39</v>
      </c>
      <c r="P201" s="33">
        <f t="shared" si="113"/>
        <v>7.13</v>
      </c>
      <c r="Q201" s="33">
        <f t="shared" si="113"/>
        <v>46.52</v>
      </c>
      <c r="R201" s="34">
        <f t="shared" si="112"/>
        <v>266.84000000000003</v>
      </c>
    </row>
    <row r="202" spans="1:18" ht="12.75" hidden="1" outlineLevel="3">
      <c r="A202" s="23" t="s">
        <v>15</v>
      </c>
      <c r="B202" s="63">
        <v>60.6</v>
      </c>
      <c r="C202" s="63">
        <v>60.24</v>
      </c>
      <c r="D202" s="63">
        <v>60.48</v>
      </c>
      <c r="E202" s="35">
        <f aca="true" t="shared" si="114" ref="E202:E210">SUM(B202:D202)</f>
        <v>181.32</v>
      </c>
      <c r="F202" s="37">
        <v>60.24</v>
      </c>
      <c r="G202" s="37">
        <v>60.72</v>
      </c>
      <c r="H202" s="37">
        <v>60.72</v>
      </c>
      <c r="I202" s="35">
        <f aca="true" t="shared" si="115" ref="I202:I210">SUM(F202:H202)</f>
        <v>181.68</v>
      </c>
      <c r="J202" s="37">
        <v>60.6</v>
      </c>
      <c r="K202" s="37">
        <v>60.96</v>
      </c>
      <c r="L202" s="37">
        <v>60.36</v>
      </c>
      <c r="M202" s="35">
        <f aca="true" t="shared" si="116" ref="M202:M210">SUM(J202:L202)</f>
        <v>181.92000000000002</v>
      </c>
      <c r="N202" s="37">
        <v>59.88</v>
      </c>
      <c r="O202" s="37">
        <v>59.4</v>
      </c>
      <c r="P202" s="38">
        <v>60</v>
      </c>
      <c r="Q202" s="35">
        <f aca="true" t="shared" si="117" ref="Q202:Q210">SUM(N202:P202)</f>
        <v>179.28</v>
      </c>
      <c r="R202" s="34">
        <f t="shared" si="112"/>
        <v>724.2</v>
      </c>
    </row>
    <row r="203" spans="1:18" ht="12.75" hidden="1" outlineLevel="3">
      <c r="A203" s="23" t="s">
        <v>16</v>
      </c>
      <c r="B203" s="62">
        <v>12</v>
      </c>
      <c r="C203" s="62">
        <v>12</v>
      </c>
      <c r="D203" s="62">
        <v>12</v>
      </c>
      <c r="E203" s="35">
        <f t="shared" si="114"/>
        <v>36</v>
      </c>
      <c r="F203" s="62">
        <v>12</v>
      </c>
      <c r="G203" s="62">
        <v>12</v>
      </c>
      <c r="H203" s="62">
        <v>12</v>
      </c>
      <c r="I203" s="35">
        <f t="shared" si="115"/>
        <v>36</v>
      </c>
      <c r="J203" s="62">
        <v>12</v>
      </c>
      <c r="K203" s="62">
        <v>12</v>
      </c>
      <c r="L203" s="62">
        <v>12</v>
      </c>
      <c r="M203" s="35">
        <f t="shared" si="116"/>
        <v>36</v>
      </c>
      <c r="N203" s="62">
        <v>12</v>
      </c>
      <c r="O203" s="62">
        <v>12</v>
      </c>
      <c r="P203" s="62">
        <v>12</v>
      </c>
      <c r="Q203" s="35">
        <f t="shared" si="117"/>
        <v>36</v>
      </c>
      <c r="R203" s="34">
        <f t="shared" si="112"/>
        <v>144</v>
      </c>
    </row>
    <row r="204" spans="1:18" ht="12.75" hidden="1" outlineLevel="3">
      <c r="A204" s="23" t="s">
        <v>17</v>
      </c>
      <c r="B204" s="63">
        <v>14.69</v>
      </c>
      <c r="C204" s="63">
        <v>15.82</v>
      </c>
      <c r="D204" s="63">
        <v>12.43</v>
      </c>
      <c r="E204" s="35">
        <f t="shared" si="114"/>
        <v>42.94</v>
      </c>
      <c r="F204" s="37">
        <v>16.95</v>
      </c>
      <c r="G204" s="37">
        <v>19.21</v>
      </c>
      <c r="H204" s="37">
        <v>10.17</v>
      </c>
      <c r="I204" s="35">
        <f t="shared" si="115"/>
        <v>46.33</v>
      </c>
      <c r="J204" s="37">
        <v>10.17</v>
      </c>
      <c r="K204" s="37">
        <v>46.33</v>
      </c>
      <c r="L204" s="37">
        <v>16.95</v>
      </c>
      <c r="M204" s="35">
        <f t="shared" si="116"/>
        <v>73.45</v>
      </c>
      <c r="N204" s="37">
        <v>7.91</v>
      </c>
      <c r="O204" s="37">
        <v>6.78</v>
      </c>
      <c r="P204" s="38">
        <v>11.3</v>
      </c>
      <c r="Q204" s="35">
        <f t="shared" si="117"/>
        <v>25.990000000000002</v>
      </c>
      <c r="R204" s="34">
        <f t="shared" si="112"/>
        <v>188.70999999999998</v>
      </c>
    </row>
    <row r="205" spans="1:18" ht="12.75" hidden="1" outlineLevel="3">
      <c r="A205" s="25" t="s">
        <v>18</v>
      </c>
      <c r="B205" s="63">
        <v>0.72</v>
      </c>
      <c r="C205" s="63"/>
      <c r="D205" s="63"/>
      <c r="E205" s="35">
        <f t="shared" si="114"/>
        <v>0.72</v>
      </c>
      <c r="F205" s="37"/>
      <c r="G205" s="37"/>
      <c r="H205" s="37"/>
      <c r="I205" s="35">
        <f t="shared" si="115"/>
        <v>0</v>
      </c>
      <c r="J205" s="37"/>
      <c r="K205" s="37"/>
      <c r="L205" s="37"/>
      <c r="M205" s="35">
        <f t="shared" si="116"/>
        <v>0</v>
      </c>
      <c r="N205" s="37">
        <f>1.94+2.29+9.23+17.55+3.67+3.59+2.02+2.15+2.27+5.12+2.31+2.56</f>
        <v>54.7</v>
      </c>
      <c r="O205" s="37"/>
      <c r="P205" s="38">
        <f>1.86+2.2</f>
        <v>4.0600000000000005</v>
      </c>
      <c r="Q205" s="35">
        <f t="shared" si="117"/>
        <v>58.760000000000005</v>
      </c>
      <c r="R205" s="34">
        <f t="shared" si="112"/>
        <v>59.480000000000004</v>
      </c>
    </row>
    <row r="206" spans="1:18" ht="12.75" hidden="1" outlineLevel="3">
      <c r="A206" s="23" t="s">
        <v>19</v>
      </c>
      <c r="B206" s="63"/>
      <c r="C206" s="63">
        <v>0.93</v>
      </c>
      <c r="D206" s="63"/>
      <c r="E206" s="35">
        <f t="shared" si="114"/>
        <v>0.93</v>
      </c>
      <c r="F206" s="37">
        <v>0.93</v>
      </c>
      <c r="G206" s="37"/>
      <c r="H206" s="37">
        <v>0.93</v>
      </c>
      <c r="I206" s="35">
        <f t="shared" si="115"/>
        <v>1.86</v>
      </c>
      <c r="J206" s="37">
        <v>0.93</v>
      </c>
      <c r="K206" s="37"/>
      <c r="L206" s="37">
        <v>0.93</v>
      </c>
      <c r="M206" s="35">
        <f t="shared" si="116"/>
        <v>1.86</v>
      </c>
      <c r="N206" s="37"/>
      <c r="O206" s="37"/>
      <c r="P206" s="38"/>
      <c r="Q206" s="35">
        <f t="shared" si="117"/>
        <v>0</v>
      </c>
      <c r="R206" s="34">
        <f t="shared" si="112"/>
        <v>4.65</v>
      </c>
    </row>
    <row r="207" spans="1:18" ht="12.75" hidden="1" outlineLevel="3">
      <c r="A207" s="23" t="s">
        <v>20</v>
      </c>
      <c r="B207" s="63">
        <v>3.5</v>
      </c>
      <c r="C207" s="63">
        <f>9.5+1.13</f>
        <v>10.629999999999999</v>
      </c>
      <c r="D207" s="63">
        <f>10+0.18+7.91</f>
        <v>18.09</v>
      </c>
      <c r="E207" s="35">
        <f t="shared" si="114"/>
        <v>32.22</v>
      </c>
      <c r="F207" s="37">
        <v>9.13</v>
      </c>
      <c r="G207" s="37">
        <v>5</v>
      </c>
      <c r="H207" s="37">
        <v>4</v>
      </c>
      <c r="I207" s="35">
        <f t="shared" si="115"/>
        <v>18.130000000000003</v>
      </c>
      <c r="J207" s="37">
        <v>7.5</v>
      </c>
      <c r="K207" s="37">
        <v>30.06</v>
      </c>
      <c r="L207" s="37">
        <v>9.5</v>
      </c>
      <c r="M207" s="35">
        <f t="shared" si="116"/>
        <v>47.06</v>
      </c>
      <c r="N207" s="37">
        <v>7.5</v>
      </c>
      <c r="O207" s="37">
        <v>5.5</v>
      </c>
      <c r="P207" s="38">
        <v>3.5</v>
      </c>
      <c r="Q207" s="35">
        <f t="shared" si="117"/>
        <v>16.5</v>
      </c>
      <c r="R207" s="34">
        <f t="shared" si="112"/>
        <v>113.91</v>
      </c>
    </row>
    <row r="208" spans="1:18" ht="12.75" hidden="1" outlineLevel="3">
      <c r="A208" s="23" t="s">
        <v>21</v>
      </c>
      <c r="B208" s="63"/>
      <c r="C208" s="63"/>
      <c r="D208" s="63"/>
      <c r="E208" s="35">
        <f t="shared" si="114"/>
        <v>0</v>
      </c>
      <c r="G208" s="37"/>
      <c r="H208" s="37"/>
      <c r="I208" s="35">
        <f t="shared" si="115"/>
        <v>0</v>
      </c>
      <c r="J208" s="37"/>
      <c r="K208" s="37"/>
      <c r="L208" s="37"/>
      <c r="M208" s="35">
        <f t="shared" si="116"/>
        <v>0</v>
      </c>
      <c r="N208" s="37"/>
      <c r="O208" s="37"/>
      <c r="P208" s="38"/>
      <c r="Q208" s="35">
        <f t="shared" si="117"/>
        <v>0</v>
      </c>
      <c r="R208" s="34">
        <f t="shared" si="112"/>
        <v>0</v>
      </c>
    </row>
    <row r="209" spans="1:18" ht="12.75" hidden="1" outlineLevel="3">
      <c r="A209" s="23" t="s">
        <v>22</v>
      </c>
      <c r="B209" s="63">
        <v>8.52</v>
      </c>
      <c r="C209" s="63"/>
      <c r="D209" s="63"/>
      <c r="E209" s="35">
        <f t="shared" si="114"/>
        <v>8.52</v>
      </c>
      <c r="F209" s="74">
        <v>4.26</v>
      </c>
      <c r="G209" s="37"/>
      <c r="H209" s="37"/>
      <c r="I209" s="35">
        <f t="shared" si="115"/>
        <v>4.26</v>
      </c>
      <c r="J209" s="37"/>
      <c r="K209" s="37"/>
      <c r="L209" s="37"/>
      <c r="M209" s="35">
        <f t="shared" si="116"/>
        <v>0</v>
      </c>
      <c r="N209" s="37">
        <v>4.26</v>
      </c>
      <c r="O209" s="37">
        <v>12.78</v>
      </c>
      <c r="P209" s="38"/>
      <c r="Q209" s="35">
        <f t="shared" si="117"/>
        <v>17.04</v>
      </c>
      <c r="R209" s="34">
        <f t="shared" si="112"/>
        <v>29.819999999999997</v>
      </c>
    </row>
    <row r="210" spans="1:18" ht="12.75" hidden="1" outlineLevel="3">
      <c r="A210" s="23" t="s">
        <v>61</v>
      </c>
      <c r="B210" s="62"/>
      <c r="C210" s="62"/>
      <c r="D210" s="62"/>
      <c r="E210" s="35">
        <f t="shared" si="114"/>
        <v>0</v>
      </c>
      <c r="F210" s="38"/>
      <c r="G210" s="38"/>
      <c r="H210" s="38"/>
      <c r="I210" s="35">
        <f t="shared" si="115"/>
        <v>0</v>
      </c>
      <c r="J210" s="38"/>
      <c r="K210" s="38"/>
      <c r="L210" s="38"/>
      <c r="M210" s="35">
        <f t="shared" si="116"/>
        <v>0</v>
      </c>
      <c r="N210" s="38"/>
      <c r="O210" s="38"/>
      <c r="P210" s="38"/>
      <c r="Q210" s="35">
        <f t="shared" si="117"/>
        <v>0</v>
      </c>
      <c r="R210" s="34">
        <f t="shared" si="112"/>
        <v>0</v>
      </c>
    </row>
    <row r="211" spans="1:18" ht="12.75" hidden="1" outlineLevel="2">
      <c r="A211" s="28" t="s">
        <v>50</v>
      </c>
      <c r="B211" s="43">
        <f aca="true" t="shared" si="118" ref="B211:Q211">SUM(B202:B209)</f>
        <v>100.02999999999999</v>
      </c>
      <c r="C211" s="43">
        <f t="shared" si="118"/>
        <v>99.62</v>
      </c>
      <c r="D211" s="43">
        <f t="shared" si="118"/>
        <v>103</v>
      </c>
      <c r="E211" s="42">
        <f t="shared" si="118"/>
        <v>302.65</v>
      </c>
      <c r="F211" s="43">
        <f t="shared" si="118"/>
        <v>103.51000000000002</v>
      </c>
      <c r="G211" s="43">
        <f t="shared" si="118"/>
        <v>96.93</v>
      </c>
      <c r="H211" s="43">
        <f t="shared" si="118"/>
        <v>87.82000000000001</v>
      </c>
      <c r="I211" s="42">
        <f t="shared" si="118"/>
        <v>288.26</v>
      </c>
      <c r="J211" s="43">
        <f t="shared" si="118"/>
        <v>91.2</v>
      </c>
      <c r="K211" s="43">
        <f t="shared" si="118"/>
        <v>149.35</v>
      </c>
      <c r="L211" s="43">
        <f t="shared" si="118"/>
        <v>99.74000000000001</v>
      </c>
      <c r="M211" s="42">
        <f t="shared" si="118"/>
        <v>340.29</v>
      </c>
      <c r="N211" s="43">
        <f t="shared" si="118"/>
        <v>146.25</v>
      </c>
      <c r="O211" s="43">
        <f t="shared" si="118"/>
        <v>96.46000000000001</v>
      </c>
      <c r="P211" s="43">
        <f t="shared" si="118"/>
        <v>90.86</v>
      </c>
      <c r="Q211" s="42">
        <f t="shared" si="118"/>
        <v>333.57000000000005</v>
      </c>
      <c r="R211" s="44">
        <f t="shared" si="112"/>
        <v>1264.77</v>
      </c>
    </row>
    <row r="212" spans="1:21" ht="13.5" outlineLevel="1" collapsed="1" thickBot="1">
      <c r="A212" s="22" t="s">
        <v>48</v>
      </c>
      <c r="B212" s="46">
        <f aca="true" t="shared" si="119" ref="B212:R212">B211+B201</f>
        <v>312.11</v>
      </c>
      <c r="C212" s="46">
        <f t="shared" si="119"/>
        <v>99.62</v>
      </c>
      <c r="D212" s="46">
        <f t="shared" si="119"/>
        <v>103</v>
      </c>
      <c r="E212" s="45">
        <f t="shared" si="119"/>
        <v>514.73</v>
      </c>
      <c r="F212" s="46">
        <f t="shared" si="119"/>
        <v>103.51000000000002</v>
      </c>
      <c r="G212" s="46">
        <f t="shared" si="119"/>
        <v>96.93</v>
      </c>
      <c r="H212" s="46">
        <f t="shared" si="119"/>
        <v>87.82000000000001</v>
      </c>
      <c r="I212" s="45">
        <f t="shared" si="119"/>
        <v>288.26</v>
      </c>
      <c r="J212" s="46">
        <f t="shared" si="119"/>
        <v>99.44</v>
      </c>
      <c r="K212" s="46">
        <f t="shared" si="119"/>
        <v>149.35</v>
      </c>
      <c r="L212" s="46">
        <f t="shared" si="119"/>
        <v>99.74000000000001</v>
      </c>
      <c r="M212" s="45">
        <f t="shared" si="119"/>
        <v>348.53000000000003</v>
      </c>
      <c r="N212" s="46">
        <f t="shared" si="119"/>
        <v>146.25</v>
      </c>
      <c r="O212" s="46">
        <f t="shared" si="119"/>
        <v>135.85000000000002</v>
      </c>
      <c r="P212" s="46">
        <f t="shared" si="119"/>
        <v>97.99</v>
      </c>
      <c r="Q212" s="45">
        <f t="shared" si="119"/>
        <v>380.09000000000003</v>
      </c>
      <c r="R212" s="47">
        <f t="shared" si="119"/>
        <v>1531.6100000000001</v>
      </c>
      <c r="S212" s="65">
        <f>((B202/0.12)+(C202/0.12)+(D202/0.12)+(F202/0.12)+(G202/0.12)+(H202/0.12)+(J202/0.12)+(K202/0.12)+(L202/0.12)+(N202/0.12)+(O202/0.12)+(P202/0.12))/12</f>
        <v>502.9166666666667</v>
      </c>
      <c r="T212" s="54">
        <f>IF(R212&gt;0,R212/S212,0)</f>
        <v>3.0454548467274236</v>
      </c>
      <c r="U212" s="66">
        <f>IF(R204&gt;0,R204/R212,0)</f>
        <v>0.12321021670007376</v>
      </c>
    </row>
    <row r="213" spans="1:18" ht="13.5" outlineLevel="1" thickTop="1">
      <c r="A213" s="16" t="s">
        <v>36</v>
      </c>
      <c r="B213" s="17"/>
      <c r="C213" s="17"/>
      <c r="D213" s="17"/>
      <c r="E213" s="14"/>
      <c r="F213" s="17"/>
      <c r="G213" s="17"/>
      <c r="H213" s="17"/>
      <c r="I213" s="14"/>
      <c r="J213" s="17"/>
      <c r="K213" s="17"/>
      <c r="L213" s="17"/>
      <c r="M213" s="14"/>
      <c r="N213" s="17"/>
      <c r="O213" s="17"/>
      <c r="P213" s="17"/>
      <c r="Q213" s="14"/>
      <c r="R213" s="27"/>
    </row>
    <row r="214" spans="1:18" ht="12.75" hidden="1" outlineLevel="3">
      <c r="A214" s="19" t="s">
        <v>40</v>
      </c>
      <c r="B214" s="20"/>
      <c r="C214" s="20"/>
      <c r="D214" s="20"/>
      <c r="E214" s="67">
        <f aca="true" t="shared" si="120" ref="E214:E221">SUM(B214:D214)</f>
        <v>0</v>
      </c>
      <c r="F214" s="20"/>
      <c r="G214" s="20"/>
      <c r="H214" s="20"/>
      <c r="I214" s="67">
        <f aca="true" t="shared" si="121" ref="I214:I221">SUM(F214:H214)</f>
        <v>0</v>
      </c>
      <c r="J214" s="20"/>
      <c r="K214" s="20"/>
      <c r="L214" s="20"/>
      <c r="M214" s="67">
        <f aca="true" t="shared" si="122" ref="M214:M221">SUM(J214:L214)</f>
        <v>0</v>
      </c>
      <c r="N214" s="20"/>
      <c r="O214" s="20"/>
      <c r="P214" s="20"/>
      <c r="Q214" s="67">
        <f aca="true" t="shared" si="123" ref="Q214:Q221">SUM(N214:P214)</f>
        <v>0</v>
      </c>
      <c r="R214" s="21">
        <f aca="true" t="shared" si="124" ref="R214:R232">Q214+M214+I214+E214</f>
        <v>0</v>
      </c>
    </row>
    <row r="215" spans="1:18" ht="12.75" hidden="1" outlineLevel="3">
      <c r="A215" s="19" t="s">
        <v>41</v>
      </c>
      <c r="B215" s="20"/>
      <c r="C215" s="20"/>
      <c r="D215" s="20"/>
      <c r="E215" s="67">
        <f t="shared" si="120"/>
        <v>0</v>
      </c>
      <c r="F215" s="20"/>
      <c r="G215" s="20"/>
      <c r="H215" s="20"/>
      <c r="I215" s="67">
        <f t="shared" si="121"/>
        <v>0</v>
      </c>
      <c r="J215" s="20"/>
      <c r="K215" s="20"/>
      <c r="L215" s="20"/>
      <c r="M215" s="67">
        <f t="shared" si="122"/>
        <v>0</v>
      </c>
      <c r="N215" s="20"/>
      <c r="O215" s="20"/>
      <c r="P215" s="20"/>
      <c r="Q215" s="67">
        <f t="shared" si="123"/>
        <v>0</v>
      </c>
      <c r="R215" s="21">
        <f t="shared" si="124"/>
        <v>0</v>
      </c>
    </row>
    <row r="216" spans="1:18" ht="12.75" hidden="1" outlineLevel="3">
      <c r="A216" s="19" t="s">
        <v>42</v>
      </c>
      <c r="B216" s="20"/>
      <c r="C216" s="20"/>
      <c r="D216" s="20"/>
      <c r="E216" s="67">
        <f t="shared" si="120"/>
        <v>0</v>
      </c>
      <c r="F216" s="20"/>
      <c r="G216" s="20"/>
      <c r="H216" s="20"/>
      <c r="I216" s="67">
        <f t="shared" si="121"/>
        <v>0</v>
      </c>
      <c r="J216" s="20"/>
      <c r="K216" s="20"/>
      <c r="L216" s="20"/>
      <c r="M216" s="67">
        <f t="shared" si="122"/>
        <v>0</v>
      </c>
      <c r="N216" s="20"/>
      <c r="O216" s="20"/>
      <c r="P216" s="20"/>
      <c r="Q216" s="67">
        <f t="shared" si="123"/>
        <v>0</v>
      </c>
      <c r="R216" s="21">
        <f t="shared" si="124"/>
        <v>0</v>
      </c>
    </row>
    <row r="217" spans="1:18" ht="12.75" hidden="1" outlineLevel="3">
      <c r="A217" s="19" t="s">
        <v>43</v>
      </c>
      <c r="B217" s="20"/>
      <c r="C217" s="20"/>
      <c r="D217" s="20"/>
      <c r="E217" s="67">
        <f t="shared" si="120"/>
        <v>0</v>
      </c>
      <c r="F217" s="20"/>
      <c r="G217" s="20"/>
      <c r="H217" s="20"/>
      <c r="I217" s="67">
        <f t="shared" si="121"/>
        <v>0</v>
      </c>
      <c r="J217" s="20"/>
      <c r="K217" s="20"/>
      <c r="L217" s="20"/>
      <c r="M217" s="67">
        <f t="shared" si="122"/>
        <v>0</v>
      </c>
      <c r="N217" s="20"/>
      <c r="O217" s="20"/>
      <c r="P217" s="20"/>
      <c r="Q217" s="67">
        <f t="shared" si="123"/>
        <v>0</v>
      </c>
      <c r="R217" s="21">
        <f t="shared" si="124"/>
        <v>0</v>
      </c>
    </row>
    <row r="218" spans="1:18" ht="12.75" hidden="1" outlineLevel="3">
      <c r="A218" s="19" t="s">
        <v>44</v>
      </c>
      <c r="B218" s="20"/>
      <c r="C218" s="20"/>
      <c r="D218" s="20"/>
      <c r="E218" s="67">
        <f t="shared" si="120"/>
        <v>0</v>
      </c>
      <c r="F218" s="20"/>
      <c r="G218" s="20"/>
      <c r="H218" s="20"/>
      <c r="I218" s="67">
        <f t="shared" si="121"/>
        <v>0</v>
      </c>
      <c r="J218" s="20"/>
      <c r="K218" s="20"/>
      <c r="L218" s="20"/>
      <c r="M218" s="67">
        <f t="shared" si="122"/>
        <v>0</v>
      </c>
      <c r="N218" s="20"/>
      <c r="O218" s="20"/>
      <c r="P218" s="20"/>
      <c r="Q218" s="67">
        <f t="shared" si="123"/>
        <v>0</v>
      </c>
      <c r="R218" s="21">
        <f t="shared" si="124"/>
        <v>0</v>
      </c>
    </row>
    <row r="219" spans="1:18" ht="12.75" hidden="1" outlineLevel="3">
      <c r="A219" s="19" t="s">
        <v>45</v>
      </c>
      <c r="B219" s="62">
        <v>237.7</v>
      </c>
      <c r="C219" s="62"/>
      <c r="D219" s="62"/>
      <c r="E219" s="35">
        <f t="shared" si="120"/>
        <v>237.7</v>
      </c>
      <c r="F219" s="62"/>
      <c r="G219" s="62"/>
      <c r="H219" s="62"/>
      <c r="I219" s="35">
        <f t="shared" si="121"/>
        <v>0</v>
      </c>
      <c r="J219" s="62"/>
      <c r="K219" s="62"/>
      <c r="L219" s="62"/>
      <c r="M219" s="35">
        <f t="shared" si="122"/>
        <v>0</v>
      </c>
      <c r="N219" s="62"/>
      <c r="O219" s="62"/>
      <c r="P219" s="62"/>
      <c r="Q219" s="35">
        <f t="shared" si="123"/>
        <v>0</v>
      </c>
      <c r="R219" s="34">
        <f t="shared" si="124"/>
        <v>237.7</v>
      </c>
    </row>
    <row r="220" spans="1:18" ht="12.75" hidden="1" outlineLevel="3">
      <c r="A220" s="19" t="s">
        <v>46</v>
      </c>
      <c r="B220" s="20"/>
      <c r="C220" s="20"/>
      <c r="D220" s="20"/>
      <c r="E220" s="67">
        <f t="shared" si="120"/>
        <v>0</v>
      </c>
      <c r="F220" s="20"/>
      <c r="G220" s="20"/>
      <c r="H220" s="20"/>
      <c r="I220" s="67">
        <f t="shared" si="121"/>
        <v>0</v>
      </c>
      <c r="J220" s="20"/>
      <c r="K220" s="20"/>
      <c r="L220" s="20"/>
      <c r="M220" s="67">
        <f t="shared" si="122"/>
        <v>0</v>
      </c>
      <c r="N220" s="20"/>
      <c r="O220" s="20"/>
      <c r="P220" s="20"/>
      <c r="Q220" s="67">
        <f t="shared" si="123"/>
        <v>0</v>
      </c>
      <c r="R220" s="21">
        <f t="shared" si="124"/>
        <v>0</v>
      </c>
    </row>
    <row r="221" spans="1:18" ht="12.75" hidden="1" outlineLevel="3">
      <c r="A221" s="19" t="s">
        <v>58</v>
      </c>
      <c r="B221" s="62">
        <v>27.49</v>
      </c>
      <c r="C221" s="62"/>
      <c r="D221" s="62"/>
      <c r="E221" s="59">
        <f t="shared" si="120"/>
        <v>27.49</v>
      </c>
      <c r="F221" s="52"/>
      <c r="G221" s="52"/>
      <c r="H221" s="52"/>
      <c r="I221" s="59">
        <f t="shared" si="121"/>
        <v>0</v>
      </c>
      <c r="J221" s="52">
        <v>10.44</v>
      </c>
      <c r="K221" s="52"/>
      <c r="L221" s="52"/>
      <c r="M221" s="59">
        <f t="shared" si="122"/>
        <v>10.44</v>
      </c>
      <c r="N221" s="52"/>
      <c r="O221" s="52">
        <v>52.28</v>
      </c>
      <c r="P221" s="52">
        <v>4.7</v>
      </c>
      <c r="Q221" s="59">
        <f t="shared" si="123"/>
        <v>56.980000000000004</v>
      </c>
      <c r="R221" s="60">
        <f t="shared" si="124"/>
        <v>94.91</v>
      </c>
    </row>
    <row r="222" spans="1:18" ht="12.75" hidden="1" outlineLevel="2">
      <c r="A222" s="22" t="s">
        <v>47</v>
      </c>
      <c r="B222" s="63">
        <f aca="true" t="shared" si="125" ref="B222:Q222">SUM(B214:B221)</f>
        <v>265.19</v>
      </c>
      <c r="C222" s="63">
        <f t="shared" si="125"/>
        <v>0</v>
      </c>
      <c r="D222" s="63">
        <f t="shared" si="125"/>
        <v>0</v>
      </c>
      <c r="E222" s="33">
        <f t="shared" si="125"/>
        <v>265.19</v>
      </c>
      <c r="F222" s="33">
        <f t="shared" si="125"/>
        <v>0</v>
      </c>
      <c r="G222" s="33">
        <f t="shared" si="125"/>
        <v>0</v>
      </c>
      <c r="H222" s="33">
        <f t="shared" si="125"/>
        <v>0</v>
      </c>
      <c r="I222" s="33">
        <f t="shared" si="125"/>
        <v>0</v>
      </c>
      <c r="J222" s="33">
        <f t="shared" si="125"/>
        <v>10.44</v>
      </c>
      <c r="K222" s="33">
        <f t="shared" si="125"/>
        <v>0</v>
      </c>
      <c r="L222" s="33">
        <f t="shared" si="125"/>
        <v>0</v>
      </c>
      <c r="M222" s="33">
        <f t="shared" si="125"/>
        <v>10.44</v>
      </c>
      <c r="N222" s="33">
        <f t="shared" si="125"/>
        <v>0</v>
      </c>
      <c r="O222" s="33">
        <f t="shared" si="125"/>
        <v>52.28</v>
      </c>
      <c r="P222" s="33">
        <f t="shared" si="125"/>
        <v>4.7</v>
      </c>
      <c r="Q222" s="33">
        <f t="shared" si="125"/>
        <v>56.980000000000004</v>
      </c>
      <c r="R222" s="34">
        <f t="shared" si="124"/>
        <v>332.61</v>
      </c>
    </row>
    <row r="223" spans="1:18" ht="12.75" hidden="1" outlineLevel="3">
      <c r="A223" s="23" t="s">
        <v>15</v>
      </c>
      <c r="B223" s="63">
        <v>76.8</v>
      </c>
      <c r="C223" s="63">
        <v>77.28</v>
      </c>
      <c r="D223" s="63">
        <v>77.4</v>
      </c>
      <c r="E223" s="35">
        <f aca="true" t="shared" si="126" ref="E223:E231">SUM(B223:D223)</f>
        <v>231.48</v>
      </c>
      <c r="F223" s="37">
        <v>76.8</v>
      </c>
      <c r="G223" s="37">
        <v>77.16</v>
      </c>
      <c r="H223" s="37">
        <v>76.92</v>
      </c>
      <c r="I223" s="35">
        <f aca="true" t="shared" si="127" ref="I223:I231">SUM(F223:H223)</f>
        <v>230.88</v>
      </c>
      <c r="J223" s="37">
        <v>77.16</v>
      </c>
      <c r="K223" s="37">
        <v>77.28</v>
      </c>
      <c r="L223" s="37">
        <v>77.52</v>
      </c>
      <c r="M223" s="35">
        <f aca="true" t="shared" si="128" ref="M223:M231">SUM(J223:L223)</f>
        <v>231.95999999999998</v>
      </c>
      <c r="N223" s="37">
        <v>78.36</v>
      </c>
      <c r="O223" s="37">
        <v>78.84</v>
      </c>
      <c r="P223" s="38">
        <v>79.2</v>
      </c>
      <c r="Q223" s="35">
        <f aca="true" t="shared" si="129" ref="Q223:Q231">SUM(N223:P223)</f>
        <v>236.39999999999998</v>
      </c>
      <c r="R223" s="34">
        <f t="shared" si="124"/>
        <v>930.72</v>
      </c>
    </row>
    <row r="224" spans="1:18" ht="12.75" hidden="1" outlineLevel="3">
      <c r="A224" s="23" t="s">
        <v>16</v>
      </c>
      <c r="B224" s="63">
        <v>14</v>
      </c>
      <c r="C224" s="63">
        <v>14</v>
      </c>
      <c r="D224" s="63">
        <v>14</v>
      </c>
      <c r="E224" s="35">
        <f t="shared" si="126"/>
        <v>42</v>
      </c>
      <c r="F224" s="37">
        <v>14</v>
      </c>
      <c r="G224" s="37">
        <v>14</v>
      </c>
      <c r="H224" s="37">
        <v>14</v>
      </c>
      <c r="I224" s="35">
        <f t="shared" si="127"/>
        <v>42</v>
      </c>
      <c r="J224" s="37">
        <v>14</v>
      </c>
      <c r="K224" s="37">
        <v>14</v>
      </c>
      <c r="L224" s="37">
        <v>14</v>
      </c>
      <c r="M224" s="35">
        <f t="shared" si="128"/>
        <v>42</v>
      </c>
      <c r="N224" s="37"/>
      <c r="O224" s="37">
        <v>14</v>
      </c>
      <c r="P224" s="38">
        <v>14</v>
      </c>
      <c r="Q224" s="35">
        <f t="shared" si="129"/>
        <v>28</v>
      </c>
      <c r="R224" s="34">
        <f t="shared" si="124"/>
        <v>154</v>
      </c>
    </row>
    <row r="225" spans="1:18" ht="12.75" hidden="1" outlineLevel="3">
      <c r="A225" s="23" t="s">
        <v>17</v>
      </c>
      <c r="B225" s="63">
        <v>25.99</v>
      </c>
      <c r="C225" s="63">
        <v>15.82</v>
      </c>
      <c r="D225" s="63">
        <v>11.3</v>
      </c>
      <c r="E225" s="35">
        <f t="shared" si="126"/>
        <v>53.11</v>
      </c>
      <c r="F225" s="37">
        <v>10.17</v>
      </c>
      <c r="G225" s="37">
        <v>20.34</v>
      </c>
      <c r="H225" s="37">
        <v>13.56</v>
      </c>
      <c r="I225" s="35">
        <f t="shared" si="127"/>
        <v>44.07</v>
      </c>
      <c r="J225" s="37">
        <v>7.91</v>
      </c>
      <c r="K225" s="37">
        <v>19.21</v>
      </c>
      <c r="L225" s="37">
        <v>16.95</v>
      </c>
      <c r="M225" s="35">
        <f t="shared" si="128"/>
        <v>44.07</v>
      </c>
      <c r="N225" s="37">
        <v>16.95</v>
      </c>
      <c r="O225" s="37">
        <v>21.47</v>
      </c>
      <c r="P225" s="38">
        <v>11.3</v>
      </c>
      <c r="Q225" s="35">
        <f t="shared" si="129"/>
        <v>49.72</v>
      </c>
      <c r="R225" s="34">
        <f t="shared" si="124"/>
        <v>190.96999999999997</v>
      </c>
    </row>
    <row r="226" spans="1:18" ht="12.75" hidden="1" outlineLevel="3">
      <c r="A226" s="25" t="s">
        <v>18</v>
      </c>
      <c r="B226" s="63">
        <v>0.71</v>
      </c>
      <c r="C226" s="63"/>
      <c r="D226" s="63"/>
      <c r="E226" s="35">
        <f t="shared" si="126"/>
        <v>0.71</v>
      </c>
      <c r="F226" s="37"/>
      <c r="G226" s="37"/>
      <c r="H226" s="37"/>
      <c r="I226" s="35">
        <f t="shared" si="127"/>
        <v>0</v>
      </c>
      <c r="J226" s="37"/>
      <c r="K226" s="37"/>
      <c r="L226" s="37"/>
      <c r="M226" s="35">
        <f t="shared" si="128"/>
        <v>0</v>
      </c>
      <c r="N226" s="37">
        <f>2.29+9.23+17.55+3.67+3.59+2.02+2.15+2.27+5.12+2.31+2.56</f>
        <v>52.760000000000005</v>
      </c>
      <c r="O226" s="37"/>
      <c r="P226" s="38">
        <f>2.33+2.75</f>
        <v>5.08</v>
      </c>
      <c r="Q226" s="35">
        <f t="shared" si="129"/>
        <v>57.84</v>
      </c>
      <c r="R226" s="34">
        <f t="shared" si="124"/>
        <v>58.550000000000004</v>
      </c>
    </row>
    <row r="227" spans="1:18" ht="12.75" hidden="1" outlineLevel="3">
      <c r="A227" s="23" t="s">
        <v>19</v>
      </c>
      <c r="B227" s="63"/>
      <c r="C227" s="63"/>
      <c r="D227" s="63"/>
      <c r="E227" s="35">
        <f t="shared" si="126"/>
        <v>0</v>
      </c>
      <c r="F227" s="37"/>
      <c r="G227" s="37"/>
      <c r="H227" s="37"/>
      <c r="I227" s="35">
        <f t="shared" si="127"/>
        <v>0</v>
      </c>
      <c r="J227" s="37"/>
      <c r="K227" s="37"/>
      <c r="L227" s="37"/>
      <c r="M227" s="35">
        <f t="shared" si="128"/>
        <v>0</v>
      </c>
      <c r="N227" s="37"/>
      <c r="O227" s="37"/>
      <c r="P227" s="38"/>
      <c r="Q227" s="35">
        <f t="shared" si="129"/>
        <v>0</v>
      </c>
      <c r="R227" s="34">
        <f t="shared" si="124"/>
        <v>0</v>
      </c>
    </row>
    <row r="228" spans="1:18" ht="12.75" hidden="1" outlineLevel="3">
      <c r="A228" s="23" t="s">
        <v>20</v>
      </c>
      <c r="B228" s="63">
        <v>4</v>
      </c>
      <c r="C228" s="63">
        <v>4.26</v>
      </c>
      <c r="D228" s="63">
        <v>12.58</v>
      </c>
      <c r="E228" s="35">
        <f t="shared" si="126"/>
        <v>20.84</v>
      </c>
      <c r="F228" s="37">
        <v>6.5</v>
      </c>
      <c r="G228" s="37">
        <v>2</v>
      </c>
      <c r="H228" s="37">
        <v>4</v>
      </c>
      <c r="I228" s="35">
        <f t="shared" si="127"/>
        <v>12.5</v>
      </c>
      <c r="J228" s="37">
        <v>1.5</v>
      </c>
      <c r="K228" s="37">
        <v>6</v>
      </c>
      <c r="L228" s="37">
        <v>12.5</v>
      </c>
      <c r="M228" s="35">
        <f t="shared" si="128"/>
        <v>20</v>
      </c>
      <c r="N228" s="37">
        <v>2</v>
      </c>
      <c r="O228" s="37">
        <v>5</v>
      </c>
      <c r="P228" s="38">
        <v>2</v>
      </c>
      <c r="Q228" s="35">
        <f t="shared" si="129"/>
        <v>9</v>
      </c>
      <c r="R228" s="34">
        <f t="shared" si="124"/>
        <v>62.34</v>
      </c>
    </row>
    <row r="229" spans="1:18" ht="12.75" hidden="1" outlineLevel="3">
      <c r="A229" s="23" t="s">
        <v>21</v>
      </c>
      <c r="B229" s="63"/>
      <c r="C229" s="63"/>
      <c r="D229" s="63"/>
      <c r="E229" s="35">
        <f t="shared" si="126"/>
        <v>0</v>
      </c>
      <c r="F229" s="37"/>
      <c r="G229" s="37"/>
      <c r="H229" s="37"/>
      <c r="I229" s="35">
        <f t="shared" si="127"/>
        <v>0</v>
      </c>
      <c r="J229" s="37"/>
      <c r="K229" s="37"/>
      <c r="L229" s="37"/>
      <c r="M229" s="35">
        <f t="shared" si="128"/>
        <v>0</v>
      </c>
      <c r="N229" s="37"/>
      <c r="O229" s="37"/>
      <c r="P229" s="38"/>
      <c r="Q229" s="35">
        <f t="shared" si="129"/>
        <v>0</v>
      </c>
      <c r="R229" s="34">
        <f t="shared" si="124"/>
        <v>0</v>
      </c>
    </row>
    <row r="230" spans="1:18" ht="12.75" hidden="1" outlineLevel="3">
      <c r="A230" s="23" t="s">
        <v>22</v>
      </c>
      <c r="B230" s="63">
        <v>4.26</v>
      </c>
      <c r="C230" s="63"/>
      <c r="D230" s="63"/>
      <c r="E230" s="35">
        <f t="shared" si="126"/>
        <v>4.26</v>
      </c>
      <c r="F230" s="37"/>
      <c r="G230" s="37"/>
      <c r="H230" s="37"/>
      <c r="I230" s="35">
        <f t="shared" si="127"/>
        <v>0</v>
      </c>
      <c r="J230" s="37"/>
      <c r="K230" s="37"/>
      <c r="L230" s="37"/>
      <c r="M230" s="35">
        <f t="shared" si="128"/>
        <v>0</v>
      </c>
      <c r="N230" s="37"/>
      <c r="O230" s="37"/>
      <c r="P230" s="38"/>
      <c r="Q230" s="35">
        <f t="shared" si="129"/>
        <v>0</v>
      </c>
      <c r="R230" s="34">
        <f t="shared" si="124"/>
        <v>4.26</v>
      </c>
    </row>
    <row r="231" spans="1:18" ht="12.75" hidden="1" outlineLevel="3">
      <c r="A231" s="23" t="s">
        <v>61</v>
      </c>
      <c r="B231" s="62"/>
      <c r="C231" s="62"/>
      <c r="D231" s="62"/>
      <c r="E231" s="35">
        <f t="shared" si="126"/>
        <v>0</v>
      </c>
      <c r="F231" s="38"/>
      <c r="G231" s="38"/>
      <c r="H231" s="38"/>
      <c r="I231" s="35">
        <f t="shared" si="127"/>
        <v>0</v>
      </c>
      <c r="J231" s="38"/>
      <c r="K231" s="38"/>
      <c r="L231" s="38"/>
      <c r="M231" s="35">
        <f t="shared" si="128"/>
        <v>0</v>
      </c>
      <c r="N231" s="38"/>
      <c r="O231" s="38"/>
      <c r="P231" s="38"/>
      <c r="Q231" s="35">
        <f t="shared" si="129"/>
        <v>0</v>
      </c>
      <c r="R231" s="34">
        <f t="shared" si="124"/>
        <v>0</v>
      </c>
    </row>
    <row r="232" spans="1:18" ht="12.75" hidden="1" outlineLevel="2">
      <c r="A232" s="28" t="s">
        <v>50</v>
      </c>
      <c r="B232" s="43">
        <f aca="true" t="shared" si="130" ref="B232:Q232">SUM(B223:B230)</f>
        <v>125.75999999999999</v>
      </c>
      <c r="C232" s="43">
        <f t="shared" si="130"/>
        <v>111.36</v>
      </c>
      <c r="D232" s="43">
        <f t="shared" si="130"/>
        <v>115.28</v>
      </c>
      <c r="E232" s="42">
        <f t="shared" si="130"/>
        <v>352.4</v>
      </c>
      <c r="F232" s="43">
        <f t="shared" si="130"/>
        <v>107.47</v>
      </c>
      <c r="G232" s="43">
        <f t="shared" si="130"/>
        <v>113.5</v>
      </c>
      <c r="H232" s="43">
        <f t="shared" si="130"/>
        <v>108.48</v>
      </c>
      <c r="I232" s="42">
        <f t="shared" si="130"/>
        <v>329.45</v>
      </c>
      <c r="J232" s="43">
        <f t="shared" si="130"/>
        <v>100.57</v>
      </c>
      <c r="K232" s="43">
        <f t="shared" si="130"/>
        <v>116.49000000000001</v>
      </c>
      <c r="L232" s="43">
        <f t="shared" si="130"/>
        <v>120.97</v>
      </c>
      <c r="M232" s="42">
        <f t="shared" si="130"/>
        <v>338.03</v>
      </c>
      <c r="N232" s="43">
        <f t="shared" si="130"/>
        <v>150.07</v>
      </c>
      <c r="O232" s="43">
        <f t="shared" si="130"/>
        <v>119.31</v>
      </c>
      <c r="P232" s="43">
        <f t="shared" si="130"/>
        <v>111.58</v>
      </c>
      <c r="Q232" s="42">
        <f t="shared" si="130"/>
        <v>380.96000000000004</v>
      </c>
      <c r="R232" s="44">
        <f t="shared" si="124"/>
        <v>1400.8400000000001</v>
      </c>
    </row>
    <row r="233" spans="1:21" ht="13.5" outlineLevel="1" collapsed="1" thickBot="1">
      <c r="A233" s="26" t="s">
        <v>48</v>
      </c>
      <c r="B233" s="46">
        <f aca="true" t="shared" si="131" ref="B233:R233">B232+B222</f>
        <v>390.95</v>
      </c>
      <c r="C233" s="46">
        <f t="shared" si="131"/>
        <v>111.36</v>
      </c>
      <c r="D233" s="46">
        <f t="shared" si="131"/>
        <v>115.28</v>
      </c>
      <c r="E233" s="45">
        <f t="shared" si="131"/>
        <v>617.5899999999999</v>
      </c>
      <c r="F233" s="46">
        <f t="shared" si="131"/>
        <v>107.47</v>
      </c>
      <c r="G233" s="46">
        <f t="shared" si="131"/>
        <v>113.5</v>
      </c>
      <c r="H233" s="46">
        <f t="shared" si="131"/>
        <v>108.48</v>
      </c>
      <c r="I233" s="45">
        <f t="shared" si="131"/>
        <v>329.45</v>
      </c>
      <c r="J233" s="46">
        <f t="shared" si="131"/>
        <v>111.00999999999999</v>
      </c>
      <c r="K233" s="46">
        <f t="shared" si="131"/>
        <v>116.49000000000001</v>
      </c>
      <c r="L233" s="46">
        <f t="shared" si="131"/>
        <v>120.97</v>
      </c>
      <c r="M233" s="45">
        <f t="shared" si="131"/>
        <v>348.46999999999997</v>
      </c>
      <c r="N233" s="46">
        <f t="shared" si="131"/>
        <v>150.07</v>
      </c>
      <c r="O233" s="46">
        <f t="shared" si="131"/>
        <v>171.59</v>
      </c>
      <c r="P233" s="46">
        <f t="shared" si="131"/>
        <v>116.28</v>
      </c>
      <c r="Q233" s="45">
        <f t="shared" si="131"/>
        <v>437.94000000000005</v>
      </c>
      <c r="R233" s="47">
        <f t="shared" si="131"/>
        <v>1733.4500000000003</v>
      </c>
      <c r="S233" s="65">
        <f>((B223/0.12)+(C223/0.12)+(D223/0.12)+(F223/0.12)+(G223/0.12)+(H223/0.12)+(J223/0.12)+(K223/0.12)+(L223/0.12)+(N223/0.12)+(O223/0.12)+(P223/0.12))/12</f>
        <v>646.3333333333334</v>
      </c>
      <c r="T233" s="54">
        <f>IF(R233&gt;0,R233/S233,0)</f>
        <v>2.681975244971635</v>
      </c>
      <c r="U233" s="66">
        <f>IF(R225&gt;0,R225/R233,0)</f>
        <v>0.11016758487409498</v>
      </c>
    </row>
    <row r="234" spans="1:18" ht="13.5" outlineLevel="1" thickTop="1">
      <c r="A234" s="16" t="s">
        <v>64</v>
      </c>
      <c r="B234" s="17"/>
      <c r="C234" s="17"/>
      <c r="D234" s="17"/>
      <c r="E234" s="14"/>
      <c r="F234" s="17"/>
      <c r="G234" s="17"/>
      <c r="H234" s="17"/>
      <c r="I234" s="14"/>
      <c r="J234" s="17"/>
      <c r="K234" s="17"/>
      <c r="L234" s="17"/>
      <c r="M234" s="14"/>
      <c r="N234" s="17"/>
      <c r="O234" s="17"/>
      <c r="P234" s="17"/>
      <c r="Q234" s="14"/>
      <c r="R234" s="27"/>
    </row>
    <row r="235" spans="1:18" ht="12.75" hidden="1" outlineLevel="3">
      <c r="A235" s="19" t="s">
        <v>40</v>
      </c>
      <c r="B235" s="20"/>
      <c r="C235" s="20"/>
      <c r="D235" s="20"/>
      <c r="E235" s="67">
        <f aca="true" t="shared" si="132" ref="E235:E242">SUM(B235:D235)</f>
        <v>0</v>
      </c>
      <c r="F235" s="20"/>
      <c r="G235" s="20"/>
      <c r="H235" s="20"/>
      <c r="I235" s="67">
        <f aca="true" t="shared" si="133" ref="I235:I242">SUM(F235:H235)</f>
        <v>0</v>
      </c>
      <c r="J235" s="20"/>
      <c r="K235" s="20"/>
      <c r="L235" s="20"/>
      <c r="M235" s="67">
        <f aca="true" t="shared" si="134" ref="M235:M242">SUM(J235:L235)</f>
        <v>0</v>
      </c>
      <c r="N235" s="20"/>
      <c r="O235" s="20"/>
      <c r="P235" s="20"/>
      <c r="Q235" s="67">
        <f aca="true" t="shared" si="135" ref="Q235:Q242">SUM(N235:P235)</f>
        <v>0</v>
      </c>
      <c r="R235" s="21">
        <f aca="true" t="shared" si="136" ref="R235:R253">Q235+M235+I235+E235</f>
        <v>0</v>
      </c>
    </row>
    <row r="236" spans="1:18" ht="12.75" hidden="1" outlineLevel="3">
      <c r="A236" s="19" t="s">
        <v>41</v>
      </c>
      <c r="B236" s="20"/>
      <c r="C236" s="20"/>
      <c r="D236" s="20"/>
      <c r="E236" s="67">
        <f t="shared" si="132"/>
        <v>0</v>
      </c>
      <c r="F236" s="20"/>
      <c r="G236" s="20"/>
      <c r="H236" s="20"/>
      <c r="I236" s="67">
        <f t="shared" si="133"/>
        <v>0</v>
      </c>
      <c r="J236" s="20"/>
      <c r="K236" s="20"/>
      <c r="L236" s="20"/>
      <c r="M236" s="67">
        <f t="shared" si="134"/>
        <v>0</v>
      </c>
      <c r="N236" s="20"/>
      <c r="O236" s="20"/>
      <c r="P236" s="20"/>
      <c r="Q236" s="67">
        <f t="shared" si="135"/>
        <v>0</v>
      </c>
      <c r="R236" s="21">
        <f t="shared" si="136"/>
        <v>0</v>
      </c>
    </row>
    <row r="237" spans="1:18" ht="12.75" hidden="1" outlineLevel="3">
      <c r="A237" s="19" t="s">
        <v>42</v>
      </c>
      <c r="B237" s="20"/>
      <c r="C237" s="20"/>
      <c r="D237" s="20"/>
      <c r="E237" s="67">
        <f t="shared" si="132"/>
        <v>0</v>
      </c>
      <c r="F237" s="20"/>
      <c r="G237" s="20"/>
      <c r="H237" s="20"/>
      <c r="I237" s="67">
        <f t="shared" si="133"/>
        <v>0</v>
      </c>
      <c r="J237" s="20"/>
      <c r="K237" s="20"/>
      <c r="L237" s="20"/>
      <c r="M237" s="67">
        <f t="shared" si="134"/>
        <v>0</v>
      </c>
      <c r="N237" s="20"/>
      <c r="O237" s="20"/>
      <c r="P237" s="20"/>
      <c r="Q237" s="67">
        <f t="shared" si="135"/>
        <v>0</v>
      </c>
      <c r="R237" s="21">
        <f t="shared" si="136"/>
        <v>0</v>
      </c>
    </row>
    <row r="238" spans="1:18" ht="12.75" hidden="1" outlineLevel="3">
      <c r="A238" s="19" t="s">
        <v>43</v>
      </c>
      <c r="B238" s="20"/>
      <c r="C238" s="20"/>
      <c r="D238" s="20"/>
      <c r="E238" s="67">
        <f t="shared" si="132"/>
        <v>0</v>
      </c>
      <c r="F238" s="20"/>
      <c r="G238" s="20"/>
      <c r="H238" s="20"/>
      <c r="I238" s="67">
        <f t="shared" si="133"/>
        <v>0</v>
      </c>
      <c r="J238" s="20"/>
      <c r="K238" s="20"/>
      <c r="L238" s="20"/>
      <c r="M238" s="67">
        <f t="shared" si="134"/>
        <v>0</v>
      </c>
      <c r="N238" s="20"/>
      <c r="O238" s="20"/>
      <c r="P238" s="20"/>
      <c r="Q238" s="67">
        <f t="shared" si="135"/>
        <v>0</v>
      </c>
      <c r="R238" s="21">
        <f t="shared" si="136"/>
        <v>0</v>
      </c>
    </row>
    <row r="239" spans="1:18" ht="12.75" hidden="1" outlineLevel="3">
      <c r="A239" s="19" t="s">
        <v>44</v>
      </c>
      <c r="B239" s="20"/>
      <c r="C239" s="20"/>
      <c r="D239" s="20"/>
      <c r="E239" s="67">
        <f t="shared" si="132"/>
        <v>0</v>
      </c>
      <c r="F239" s="20"/>
      <c r="G239" s="20"/>
      <c r="H239" s="20"/>
      <c r="I239" s="67">
        <f t="shared" si="133"/>
        <v>0</v>
      </c>
      <c r="J239" s="20"/>
      <c r="K239" s="20"/>
      <c r="L239" s="20"/>
      <c r="M239" s="67">
        <f t="shared" si="134"/>
        <v>0</v>
      </c>
      <c r="N239" s="20"/>
      <c r="O239" s="20"/>
      <c r="P239" s="20"/>
      <c r="Q239" s="67">
        <f t="shared" si="135"/>
        <v>0</v>
      </c>
      <c r="R239" s="21">
        <f t="shared" si="136"/>
        <v>0</v>
      </c>
    </row>
    <row r="240" spans="1:18" ht="12.75" hidden="1" outlineLevel="3">
      <c r="A240" s="19" t="s">
        <v>45</v>
      </c>
      <c r="B240" s="62"/>
      <c r="C240" s="62"/>
      <c r="D240" s="62"/>
      <c r="E240" s="35">
        <f t="shared" si="132"/>
        <v>0</v>
      </c>
      <c r="F240" s="62"/>
      <c r="G240" s="62"/>
      <c r="H240" s="62"/>
      <c r="I240" s="35">
        <f t="shared" si="133"/>
        <v>0</v>
      </c>
      <c r="J240" s="62"/>
      <c r="K240" s="62"/>
      <c r="L240" s="62"/>
      <c r="M240" s="35">
        <f t="shared" si="134"/>
        <v>0</v>
      </c>
      <c r="N240" s="62"/>
      <c r="O240" s="62"/>
      <c r="P240" s="62"/>
      <c r="Q240" s="35">
        <f t="shared" si="135"/>
        <v>0</v>
      </c>
      <c r="R240" s="34">
        <f t="shared" si="136"/>
        <v>0</v>
      </c>
    </row>
    <row r="241" spans="1:18" ht="12.75" hidden="1" outlineLevel="3">
      <c r="A241" s="19" t="s">
        <v>46</v>
      </c>
      <c r="B241" s="20"/>
      <c r="C241" s="20"/>
      <c r="D241" s="20"/>
      <c r="E241" s="67">
        <f t="shared" si="132"/>
        <v>0</v>
      </c>
      <c r="F241" s="20"/>
      <c r="G241" s="20"/>
      <c r="H241" s="20"/>
      <c r="I241" s="67">
        <f t="shared" si="133"/>
        <v>0</v>
      </c>
      <c r="J241" s="20"/>
      <c r="K241" s="20"/>
      <c r="L241" s="20"/>
      <c r="M241" s="67">
        <f t="shared" si="134"/>
        <v>0</v>
      </c>
      <c r="N241" s="20"/>
      <c r="O241" s="20"/>
      <c r="P241" s="20"/>
      <c r="Q241" s="67">
        <f t="shared" si="135"/>
        <v>0</v>
      </c>
      <c r="R241" s="21">
        <f t="shared" si="136"/>
        <v>0</v>
      </c>
    </row>
    <row r="242" spans="1:18" ht="12.75" hidden="1" outlineLevel="3">
      <c r="A242" s="19" t="s">
        <v>58</v>
      </c>
      <c r="B242" s="62"/>
      <c r="C242" s="62"/>
      <c r="D242" s="62"/>
      <c r="E242" s="59">
        <f t="shared" si="132"/>
        <v>0</v>
      </c>
      <c r="F242" s="52"/>
      <c r="G242" s="52"/>
      <c r="H242" s="52"/>
      <c r="I242" s="59">
        <f t="shared" si="133"/>
        <v>0</v>
      </c>
      <c r="J242" s="52"/>
      <c r="K242" s="52"/>
      <c r="L242" s="52"/>
      <c r="M242" s="59">
        <f t="shared" si="134"/>
        <v>0</v>
      </c>
      <c r="N242" s="52"/>
      <c r="O242" s="52"/>
      <c r="P242" s="52"/>
      <c r="Q242" s="59">
        <f t="shared" si="135"/>
        <v>0</v>
      </c>
      <c r="R242" s="60">
        <f t="shared" si="136"/>
        <v>0</v>
      </c>
    </row>
    <row r="243" spans="1:18" ht="12.75" hidden="1" outlineLevel="2">
      <c r="A243" s="22" t="s">
        <v>47</v>
      </c>
      <c r="B243" s="63">
        <f aca="true" t="shared" si="137" ref="B243:Q243">SUM(B235:B242)</f>
        <v>0</v>
      </c>
      <c r="C243" s="63">
        <f t="shared" si="137"/>
        <v>0</v>
      </c>
      <c r="D243" s="63">
        <f t="shared" si="137"/>
        <v>0</v>
      </c>
      <c r="E243" s="33">
        <f t="shared" si="137"/>
        <v>0</v>
      </c>
      <c r="F243" s="33">
        <f t="shared" si="137"/>
        <v>0</v>
      </c>
      <c r="G243" s="33">
        <f t="shared" si="137"/>
        <v>0</v>
      </c>
      <c r="H243" s="33">
        <f t="shared" si="137"/>
        <v>0</v>
      </c>
      <c r="I243" s="33">
        <f t="shared" si="137"/>
        <v>0</v>
      </c>
      <c r="J243" s="33">
        <f t="shared" si="137"/>
        <v>0</v>
      </c>
      <c r="K243" s="33">
        <f t="shared" si="137"/>
        <v>0</v>
      </c>
      <c r="L243" s="33">
        <f t="shared" si="137"/>
        <v>0</v>
      </c>
      <c r="M243" s="33">
        <f t="shared" si="137"/>
        <v>0</v>
      </c>
      <c r="N243" s="33">
        <f t="shared" si="137"/>
        <v>0</v>
      </c>
      <c r="O243" s="33">
        <f t="shared" si="137"/>
        <v>0</v>
      </c>
      <c r="P243" s="33">
        <f t="shared" si="137"/>
        <v>0</v>
      </c>
      <c r="Q243" s="33">
        <f t="shared" si="137"/>
        <v>0</v>
      </c>
      <c r="R243" s="34">
        <f t="shared" si="136"/>
        <v>0</v>
      </c>
    </row>
    <row r="244" spans="1:18" ht="12.75" hidden="1" outlineLevel="3">
      <c r="A244" s="23" t="s">
        <v>15</v>
      </c>
      <c r="B244" s="63"/>
      <c r="C244" s="63"/>
      <c r="D244" s="63"/>
      <c r="E244" s="35">
        <f aca="true" t="shared" si="138" ref="E244:E252">SUM(B244:D244)</f>
        <v>0</v>
      </c>
      <c r="F244" s="37"/>
      <c r="G244" s="37"/>
      <c r="H244" s="37"/>
      <c r="I244" s="35">
        <f aca="true" t="shared" si="139" ref="I244:I252">SUM(F244:H244)</f>
        <v>0</v>
      </c>
      <c r="J244" s="37"/>
      <c r="K244" s="37"/>
      <c r="L244" s="37"/>
      <c r="M244" s="35">
        <f aca="true" t="shared" si="140" ref="M244:M252">SUM(J244:L244)</f>
        <v>0</v>
      </c>
      <c r="N244" s="37"/>
      <c r="O244" s="37"/>
      <c r="P244" s="38"/>
      <c r="Q244" s="35">
        <f aca="true" t="shared" si="141" ref="Q244:Q252">SUM(N244:P244)</f>
        <v>0</v>
      </c>
      <c r="R244" s="34">
        <f t="shared" si="136"/>
        <v>0</v>
      </c>
    </row>
    <row r="245" spans="1:18" ht="12.75" hidden="1" outlineLevel="3">
      <c r="A245" s="23" t="s">
        <v>16</v>
      </c>
      <c r="B245" s="62"/>
      <c r="C245" s="62"/>
      <c r="D245" s="62"/>
      <c r="E245" s="35">
        <f t="shared" si="138"/>
        <v>0</v>
      </c>
      <c r="F245" s="62"/>
      <c r="G245" s="62"/>
      <c r="H245" s="62"/>
      <c r="I245" s="35">
        <f t="shared" si="139"/>
        <v>0</v>
      </c>
      <c r="J245" s="62"/>
      <c r="K245" s="62"/>
      <c r="L245" s="62"/>
      <c r="M245" s="35">
        <f t="shared" si="140"/>
        <v>0</v>
      </c>
      <c r="N245" s="62"/>
      <c r="O245" s="62"/>
      <c r="P245" s="62"/>
      <c r="Q245" s="35">
        <f t="shared" si="141"/>
        <v>0</v>
      </c>
      <c r="R245" s="34">
        <f t="shared" si="136"/>
        <v>0</v>
      </c>
    </row>
    <row r="246" spans="1:18" ht="12.75" hidden="1" outlineLevel="3">
      <c r="A246" s="23" t="s">
        <v>17</v>
      </c>
      <c r="B246" s="63"/>
      <c r="C246" s="63"/>
      <c r="D246" s="63"/>
      <c r="E246" s="35">
        <f t="shared" si="138"/>
        <v>0</v>
      </c>
      <c r="F246" s="37"/>
      <c r="G246" s="37"/>
      <c r="H246" s="37"/>
      <c r="I246" s="35">
        <f t="shared" si="139"/>
        <v>0</v>
      </c>
      <c r="J246" s="37"/>
      <c r="K246" s="37"/>
      <c r="L246" s="37"/>
      <c r="M246" s="35">
        <f t="shared" si="140"/>
        <v>0</v>
      </c>
      <c r="N246" s="37"/>
      <c r="O246" s="37"/>
      <c r="P246" s="38"/>
      <c r="Q246" s="35">
        <f t="shared" si="141"/>
        <v>0</v>
      </c>
      <c r="R246" s="34">
        <f t="shared" si="136"/>
        <v>0</v>
      </c>
    </row>
    <row r="247" spans="1:18" ht="12.75" hidden="1" outlineLevel="3">
      <c r="A247" s="25" t="s">
        <v>18</v>
      </c>
      <c r="B247" s="63"/>
      <c r="C247" s="63"/>
      <c r="D247" s="63"/>
      <c r="E247" s="35">
        <f t="shared" si="138"/>
        <v>0</v>
      </c>
      <c r="F247" s="37"/>
      <c r="G247" s="37"/>
      <c r="H247" s="37"/>
      <c r="I247" s="35">
        <f t="shared" si="139"/>
        <v>0</v>
      </c>
      <c r="J247" s="37"/>
      <c r="K247" s="37"/>
      <c r="L247" s="37"/>
      <c r="M247" s="35">
        <f t="shared" si="140"/>
        <v>0</v>
      </c>
      <c r="N247" s="37"/>
      <c r="O247" s="37"/>
      <c r="P247" s="38"/>
      <c r="Q247" s="35">
        <f t="shared" si="141"/>
        <v>0</v>
      </c>
      <c r="R247" s="34">
        <f t="shared" si="136"/>
        <v>0</v>
      </c>
    </row>
    <row r="248" spans="1:18" ht="12.75" hidden="1" outlineLevel="3">
      <c r="A248" s="23" t="s">
        <v>19</v>
      </c>
      <c r="B248" s="63"/>
      <c r="C248" s="63"/>
      <c r="D248" s="63"/>
      <c r="E248" s="35">
        <f t="shared" si="138"/>
        <v>0</v>
      </c>
      <c r="F248" s="37"/>
      <c r="G248" s="37"/>
      <c r="H248" s="37"/>
      <c r="I248" s="35">
        <f t="shared" si="139"/>
        <v>0</v>
      </c>
      <c r="J248" s="37"/>
      <c r="K248" s="37"/>
      <c r="L248" s="37"/>
      <c r="M248" s="35">
        <f t="shared" si="140"/>
        <v>0</v>
      </c>
      <c r="N248" s="37"/>
      <c r="O248" s="37"/>
      <c r="P248" s="38"/>
      <c r="Q248" s="35">
        <f t="shared" si="141"/>
        <v>0</v>
      </c>
      <c r="R248" s="34">
        <f t="shared" si="136"/>
        <v>0</v>
      </c>
    </row>
    <row r="249" spans="1:18" ht="12.75" hidden="1" outlineLevel="3">
      <c r="A249" s="23" t="s">
        <v>20</v>
      </c>
      <c r="B249" s="63"/>
      <c r="C249" s="63"/>
      <c r="D249" s="63"/>
      <c r="E249" s="35">
        <f t="shared" si="138"/>
        <v>0</v>
      </c>
      <c r="F249" s="37"/>
      <c r="G249" s="37"/>
      <c r="H249" s="37"/>
      <c r="I249" s="35">
        <f t="shared" si="139"/>
        <v>0</v>
      </c>
      <c r="J249" s="37"/>
      <c r="K249" s="37"/>
      <c r="L249" s="37"/>
      <c r="M249" s="35">
        <f t="shared" si="140"/>
        <v>0</v>
      </c>
      <c r="N249" s="37"/>
      <c r="O249" s="37"/>
      <c r="P249" s="38"/>
      <c r="Q249" s="35">
        <f t="shared" si="141"/>
        <v>0</v>
      </c>
      <c r="R249" s="34">
        <f t="shared" si="136"/>
        <v>0</v>
      </c>
    </row>
    <row r="250" spans="1:18" ht="12.75" hidden="1" outlineLevel="3">
      <c r="A250" s="23" t="s">
        <v>21</v>
      </c>
      <c r="B250" s="63"/>
      <c r="C250" s="63"/>
      <c r="D250" s="63"/>
      <c r="E250" s="35">
        <f t="shared" si="138"/>
        <v>0</v>
      </c>
      <c r="F250" s="37"/>
      <c r="G250" s="37"/>
      <c r="H250" s="37"/>
      <c r="I250" s="35">
        <f t="shared" si="139"/>
        <v>0</v>
      </c>
      <c r="J250" s="37"/>
      <c r="K250" s="37"/>
      <c r="L250" s="37"/>
      <c r="M250" s="35">
        <f t="shared" si="140"/>
        <v>0</v>
      </c>
      <c r="N250" s="37"/>
      <c r="O250" s="37"/>
      <c r="P250" s="38"/>
      <c r="Q250" s="35">
        <f t="shared" si="141"/>
        <v>0</v>
      </c>
      <c r="R250" s="34">
        <f t="shared" si="136"/>
        <v>0</v>
      </c>
    </row>
    <row r="251" spans="1:18" ht="12.75" hidden="1" outlineLevel="3">
      <c r="A251" s="23" t="s">
        <v>22</v>
      </c>
      <c r="B251" s="63"/>
      <c r="C251" s="63"/>
      <c r="D251" s="63"/>
      <c r="E251" s="35">
        <f t="shared" si="138"/>
        <v>0</v>
      </c>
      <c r="F251" s="37"/>
      <c r="G251" s="37"/>
      <c r="H251" s="37"/>
      <c r="I251" s="35">
        <f t="shared" si="139"/>
        <v>0</v>
      </c>
      <c r="J251" s="37"/>
      <c r="K251" s="37"/>
      <c r="L251" s="37"/>
      <c r="M251" s="35">
        <f t="shared" si="140"/>
        <v>0</v>
      </c>
      <c r="N251" s="37"/>
      <c r="O251" s="37"/>
      <c r="P251" s="38"/>
      <c r="Q251" s="35">
        <f t="shared" si="141"/>
        <v>0</v>
      </c>
      <c r="R251" s="34">
        <f t="shared" si="136"/>
        <v>0</v>
      </c>
    </row>
    <row r="252" spans="1:18" ht="12.75" hidden="1" outlineLevel="3">
      <c r="A252" s="23" t="s">
        <v>61</v>
      </c>
      <c r="B252" s="62"/>
      <c r="C252" s="62"/>
      <c r="D252" s="62"/>
      <c r="E252" s="35">
        <f t="shared" si="138"/>
        <v>0</v>
      </c>
      <c r="F252" s="38"/>
      <c r="G252" s="38"/>
      <c r="H252" s="38"/>
      <c r="I252" s="35">
        <f t="shared" si="139"/>
        <v>0</v>
      </c>
      <c r="J252" s="38"/>
      <c r="K252" s="38"/>
      <c r="L252" s="38"/>
      <c r="M252" s="35">
        <f t="shared" si="140"/>
        <v>0</v>
      </c>
      <c r="N252" s="38"/>
      <c r="O252" s="38"/>
      <c r="P252" s="38"/>
      <c r="Q252" s="35">
        <f t="shared" si="141"/>
        <v>0</v>
      </c>
      <c r="R252" s="34">
        <f t="shared" si="136"/>
        <v>0</v>
      </c>
    </row>
    <row r="253" spans="1:18" ht="12.75" hidden="1" outlineLevel="2">
      <c r="A253" s="28" t="s">
        <v>50</v>
      </c>
      <c r="B253" s="43">
        <f aca="true" t="shared" si="142" ref="B253:Q253">SUM(B244:B251)</f>
        <v>0</v>
      </c>
      <c r="C253" s="43">
        <f t="shared" si="142"/>
        <v>0</v>
      </c>
      <c r="D253" s="43">
        <f t="shared" si="142"/>
        <v>0</v>
      </c>
      <c r="E253" s="42">
        <f t="shared" si="142"/>
        <v>0</v>
      </c>
      <c r="F253" s="43">
        <f t="shared" si="142"/>
        <v>0</v>
      </c>
      <c r="G253" s="43">
        <f t="shared" si="142"/>
        <v>0</v>
      </c>
      <c r="H253" s="43">
        <f t="shared" si="142"/>
        <v>0</v>
      </c>
      <c r="I253" s="42">
        <f t="shared" si="142"/>
        <v>0</v>
      </c>
      <c r="J253" s="43">
        <f t="shared" si="142"/>
        <v>0</v>
      </c>
      <c r="K253" s="43">
        <f t="shared" si="142"/>
        <v>0</v>
      </c>
      <c r="L253" s="43">
        <f t="shared" si="142"/>
        <v>0</v>
      </c>
      <c r="M253" s="42">
        <f t="shared" si="142"/>
        <v>0</v>
      </c>
      <c r="N253" s="43">
        <f t="shared" si="142"/>
        <v>0</v>
      </c>
      <c r="O253" s="43">
        <f t="shared" si="142"/>
        <v>0</v>
      </c>
      <c r="P253" s="43">
        <f t="shared" si="142"/>
        <v>0</v>
      </c>
      <c r="Q253" s="42">
        <f t="shared" si="142"/>
        <v>0</v>
      </c>
      <c r="R253" s="44">
        <f t="shared" si="136"/>
        <v>0</v>
      </c>
    </row>
    <row r="254" spans="1:21" ht="13.5" outlineLevel="1" collapsed="1" thickBot="1">
      <c r="A254" s="26" t="s">
        <v>48</v>
      </c>
      <c r="B254" s="46">
        <f aca="true" t="shared" si="143" ref="B254:R254">B253+B243</f>
        <v>0</v>
      </c>
      <c r="C254" s="46">
        <f t="shared" si="143"/>
        <v>0</v>
      </c>
      <c r="D254" s="46">
        <f t="shared" si="143"/>
        <v>0</v>
      </c>
      <c r="E254" s="45">
        <f t="shared" si="143"/>
        <v>0</v>
      </c>
      <c r="F254" s="46">
        <f t="shared" si="143"/>
        <v>0</v>
      </c>
      <c r="G254" s="46">
        <f t="shared" si="143"/>
        <v>0</v>
      </c>
      <c r="H254" s="46">
        <f t="shared" si="143"/>
        <v>0</v>
      </c>
      <c r="I254" s="45">
        <f t="shared" si="143"/>
        <v>0</v>
      </c>
      <c r="J254" s="46">
        <f t="shared" si="143"/>
        <v>0</v>
      </c>
      <c r="K254" s="46">
        <f t="shared" si="143"/>
        <v>0</v>
      </c>
      <c r="L254" s="46">
        <f t="shared" si="143"/>
        <v>0</v>
      </c>
      <c r="M254" s="45">
        <f t="shared" si="143"/>
        <v>0</v>
      </c>
      <c r="N254" s="46">
        <f t="shared" si="143"/>
        <v>0</v>
      </c>
      <c r="O254" s="46">
        <f t="shared" si="143"/>
        <v>0</v>
      </c>
      <c r="P254" s="46">
        <f t="shared" si="143"/>
        <v>0</v>
      </c>
      <c r="Q254" s="45">
        <f t="shared" si="143"/>
        <v>0</v>
      </c>
      <c r="R254" s="47">
        <f t="shared" si="143"/>
        <v>0</v>
      </c>
      <c r="S254" s="65">
        <f>((B244/0.12)+(C244/0.12)+(D244/0.12)+(F244/0.12)+(G244/0.12)+(H244/0.12)+(J244/0.12)+(K244/0.12)+(L244/0.12)+(N244/0.12)+(O244/0.12)+(P244/0.12))/12</f>
        <v>0</v>
      </c>
      <c r="T254" s="54">
        <f>IF(R254&gt;0,R254/S254,0)</f>
        <v>0</v>
      </c>
      <c r="U254" s="66">
        <f>IF(R246&gt;0,R246/R254,0)</f>
        <v>0</v>
      </c>
    </row>
    <row r="255" ht="26.25" thickTop="1">
      <c r="A255" s="73" t="s">
        <v>62</v>
      </c>
    </row>
    <row r="256" spans="1:18" ht="12.75" outlineLevel="1">
      <c r="A256" s="70" t="s">
        <v>45</v>
      </c>
      <c r="Q256" s="35">
        <f>SUM(N256:P256)</f>
        <v>0</v>
      </c>
      <c r="R256" s="34">
        <f>Q256+M256+I256+E256</f>
        <v>0</v>
      </c>
    </row>
    <row r="257" spans="1:18" ht="13.5" hidden="1" outlineLevel="2" thickBot="1">
      <c r="A257" s="26" t="s">
        <v>48</v>
      </c>
      <c r="B257" s="46">
        <f>B256+B246</f>
        <v>0</v>
      </c>
      <c r="C257" s="46">
        <f>C256+C246</f>
        <v>0</v>
      </c>
      <c r="D257" s="46"/>
      <c r="E257" s="45">
        <f>D257+C257+B257</f>
        <v>0</v>
      </c>
      <c r="F257" s="46"/>
      <c r="G257" s="46"/>
      <c r="H257" s="46"/>
      <c r="I257" s="45">
        <f>H257+G257+F257</f>
        <v>0</v>
      </c>
      <c r="J257" s="46"/>
      <c r="K257" s="46"/>
      <c r="L257" s="46"/>
      <c r="M257" s="45">
        <f>L257+K257+J257</f>
        <v>0</v>
      </c>
      <c r="N257" s="46"/>
      <c r="O257" s="46"/>
      <c r="P257" s="46"/>
      <c r="Q257" s="45">
        <f>P257+O257+N257</f>
        <v>0</v>
      </c>
      <c r="R257" s="44">
        <f>Q257+M257+I257+E257</f>
        <v>0</v>
      </c>
    </row>
    <row r="258" spans="1:18" ht="12.75" collapsed="1">
      <c r="A258" s="16" t="s">
        <v>38</v>
      </c>
      <c r="B258" s="17"/>
      <c r="C258" s="17"/>
      <c r="D258" s="17"/>
      <c r="E258" s="14"/>
      <c r="F258" s="17"/>
      <c r="G258" s="17"/>
      <c r="H258" s="17"/>
      <c r="I258" s="14"/>
      <c r="J258" s="17"/>
      <c r="K258" s="17"/>
      <c r="L258" s="17"/>
      <c r="M258" s="14"/>
      <c r="N258" s="17"/>
      <c r="O258" s="17"/>
      <c r="P258" s="17"/>
      <c r="Q258" s="14"/>
      <c r="R258" s="27"/>
    </row>
    <row r="259" spans="1:18" ht="12.75" hidden="1" outlineLevel="2">
      <c r="A259" s="19" t="s">
        <v>40</v>
      </c>
      <c r="B259" s="63">
        <f aca="true" t="shared" si="144" ref="B259:D266">B235+B214+B193+B172+B151+B130+B109+B88+B67+B46+B25+B4</f>
        <v>0</v>
      </c>
      <c r="C259" s="63">
        <f t="shared" si="144"/>
        <v>0</v>
      </c>
      <c r="D259" s="63">
        <f t="shared" si="144"/>
        <v>0</v>
      </c>
      <c r="E259" s="63">
        <f aca="true" t="shared" si="145" ref="E259:E266">SUM(B259:D259)</f>
        <v>0</v>
      </c>
      <c r="F259" s="63">
        <f aca="true" t="shared" si="146" ref="F259:H266">F235+F214+F193+F172+F151+F130+F109+F88+F67+F46+F25+F4</f>
        <v>0</v>
      </c>
      <c r="G259" s="63">
        <f t="shared" si="146"/>
        <v>0</v>
      </c>
      <c r="H259" s="63">
        <f t="shared" si="146"/>
        <v>0</v>
      </c>
      <c r="I259" s="63">
        <f aca="true" t="shared" si="147" ref="I259:I266">SUM(F259:H259)</f>
        <v>0</v>
      </c>
      <c r="J259" s="63">
        <f aca="true" t="shared" si="148" ref="J259:L266">J235+J214+J193+J172+J151+J130+J109+J88+J67+J46+J25+J4</f>
        <v>0</v>
      </c>
      <c r="K259" s="63">
        <f t="shared" si="148"/>
        <v>0</v>
      </c>
      <c r="L259" s="63">
        <f t="shared" si="148"/>
        <v>0</v>
      </c>
      <c r="M259" s="63">
        <f aca="true" t="shared" si="149" ref="M259:M266">SUM(J259:L259)</f>
        <v>0</v>
      </c>
      <c r="N259" s="63">
        <f aca="true" t="shared" si="150" ref="N259:P263">N235+N214+N193+N172+N151+N130+N109+N88+N67+N46+N25+N4</f>
        <v>0</v>
      </c>
      <c r="O259" s="63">
        <f t="shared" si="150"/>
        <v>0</v>
      </c>
      <c r="P259" s="63">
        <f t="shared" si="150"/>
        <v>0</v>
      </c>
      <c r="Q259" s="63">
        <f aca="true" t="shared" si="151" ref="Q259:Q266">SUM(N259:P259)</f>
        <v>0</v>
      </c>
      <c r="R259" s="21">
        <f aca="true" t="shared" si="152" ref="R259:R278">Q259+M259+I259+E259</f>
        <v>0</v>
      </c>
    </row>
    <row r="260" spans="1:18" ht="12.75" hidden="1" outlineLevel="2">
      <c r="A260" s="19" t="s">
        <v>41</v>
      </c>
      <c r="B260" s="63">
        <f t="shared" si="144"/>
        <v>0</v>
      </c>
      <c r="C260" s="63">
        <f t="shared" si="144"/>
        <v>0</v>
      </c>
      <c r="D260" s="63">
        <f t="shared" si="144"/>
        <v>0</v>
      </c>
      <c r="E260" s="63">
        <f t="shared" si="145"/>
        <v>0</v>
      </c>
      <c r="F260" s="63">
        <f t="shared" si="146"/>
        <v>0</v>
      </c>
      <c r="G260" s="63">
        <f t="shared" si="146"/>
        <v>0</v>
      </c>
      <c r="H260" s="63">
        <f t="shared" si="146"/>
        <v>0</v>
      </c>
      <c r="I260" s="63">
        <f t="shared" si="147"/>
        <v>0</v>
      </c>
      <c r="J260" s="63">
        <f t="shared" si="148"/>
        <v>0</v>
      </c>
      <c r="K260" s="63">
        <f t="shared" si="148"/>
        <v>0</v>
      </c>
      <c r="L260" s="63">
        <f t="shared" si="148"/>
        <v>0</v>
      </c>
      <c r="M260" s="63">
        <f t="shared" si="149"/>
        <v>0</v>
      </c>
      <c r="N260" s="63">
        <f t="shared" si="150"/>
        <v>0</v>
      </c>
      <c r="O260" s="63">
        <f t="shared" si="150"/>
        <v>0</v>
      </c>
      <c r="P260" s="63">
        <f t="shared" si="150"/>
        <v>0</v>
      </c>
      <c r="Q260" s="63">
        <f t="shared" si="151"/>
        <v>0</v>
      </c>
      <c r="R260" s="21">
        <f t="shared" si="152"/>
        <v>0</v>
      </c>
    </row>
    <row r="261" spans="1:18" ht="12.75" hidden="1" outlineLevel="2">
      <c r="A261" s="19" t="s">
        <v>42</v>
      </c>
      <c r="B261" s="63">
        <f t="shared" si="144"/>
        <v>0</v>
      </c>
      <c r="C261" s="63">
        <f t="shared" si="144"/>
        <v>0</v>
      </c>
      <c r="D261" s="63">
        <f t="shared" si="144"/>
        <v>0</v>
      </c>
      <c r="E261" s="63">
        <f t="shared" si="145"/>
        <v>0</v>
      </c>
      <c r="F261" s="63">
        <f t="shared" si="146"/>
        <v>0</v>
      </c>
      <c r="G261" s="63">
        <f t="shared" si="146"/>
        <v>0</v>
      </c>
      <c r="H261" s="63">
        <f t="shared" si="146"/>
        <v>0</v>
      </c>
      <c r="I261" s="63">
        <f t="shared" si="147"/>
        <v>0</v>
      </c>
      <c r="J261" s="63">
        <f t="shared" si="148"/>
        <v>0</v>
      </c>
      <c r="K261" s="63">
        <f t="shared" si="148"/>
        <v>0</v>
      </c>
      <c r="L261" s="63">
        <f t="shared" si="148"/>
        <v>0</v>
      </c>
      <c r="M261" s="63">
        <f t="shared" si="149"/>
        <v>0</v>
      </c>
      <c r="N261" s="63">
        <f t="shared" si="150"/>
        <v>0</v>
      </c>
      <c r="O261" s="63">
        <f t="shared" si="150"/>
        <v>0</v>
      </c>
      <c r="P261" s="63">
        <f t="shared" si="150"/>
        <v>0</v>
      </c>
      <c r="Q261" s="63">
        <f t="shared" si="151"/>
        <v>0</v>
      </c>
      <c r="R261" s="21">
        <f t="shared" si="152"/>
        <v>0</v>
      </c>
    </row>
    <row r="262" spans="1:18" ht="12.75" hidden="1" outlineLevel="2">
      <c r="A262" s="19" t="s">
        <v>43</v>
      </c>
      <c r="B262" s="63">
        <f t="shared" si="144"/>
        <v>0</v>
      </c>
      <c r="C262" s="63">
        <f t="shared" si="144"/>
        <v>0</v>
      </c>
      <c r="D262" s="63">
        <f t="shared" si="144"/>
        <v>0</v>
      </c>
      <c r="E262" s="63">
        <f t="shared" si="145"/>
        <v>0</v>
      </c>
      <c r="F262" s="63">
        <f t="shared" si="146"/>
        <v>0</v>
      </c>
      <c r="G262" s="63">
        <f t="shared" si="146"/>
        <v>0</v>
      </c>
      <c r="H262" s="63">
        <f t="shared" si="146"/>
        <v>0</v>
      </c>
      <c r="I262" s="63">
        <f t="shared" si="147"/>
        <v>0</v>
      </c>
      <c r="J262" s="63">
        <f t="shared" si="148"/>
        <v>0</v>
      </c>
      <c r="K262" s="63">
        <f t="shared" si="148"/>
        <v>0</v>
      </c>
      <c r="L262" s="63">
        <f t="shared" si="148"/>
        <v>0</v>
      </c>
      <c r="M262" s="63">
        <f t="shared" si="149"/>
        <v>0</v>
      </c>
      <c r="N262" s="63">
        <f t="shared" si="150"/>
        <v>0</v>
      </c>
      <c r="O262" s="63">
        <f t="shared" si="150"/>
        <v>0</v>
      </c>
      <c r="P262" s="63">
        <f t="shared" si="150"/>
        <v>0</v>
      </c>
      <c r="Q262" s="63">
        <f t="shared" si="151"/>
        <v>0</v>
      </c>
      <c r="R262" s="21">
        <f t="shared" si="152"/>
        <v>0</v>
      </c>
    </row>
    <row r="263" spans="1:18" ht="12.75" hidden="1" outlineLevel="2">
      <c r="A263" s="19" t="s">
        <v>44</v>
      </c>
      <c r="B263" s="63">
        <f t="shared" si="144"/>
        <v>0</v>
      </c>
      <c r="C263" s="63">
        <f t="shared" si="144"/>
        <v>0</v>
      </c>
      <c r="D263" s="63">
        <f t="shared" si="144"/>
        <v>0</v>
      </c>
      <c r="E263" s="63">
        <f t="shared" si="145"/>
        <v>0</v>
      </c>
      <c r="F263" s="63">
        <f t="shared" si="146"/>
        <v>0</v>
      </c>
      <c r="G263" s="63">
        <f t="shared" si="146"/>
        <v>0</v>
      </c>
      <c r="H263" s="63">
        <f t="shared" si="146"/>
        <v>0</v>
      </c>
      <c r="I263" s="63">
        <f t="shared" si="147"/>
        <v>0</v>
      </c>
      <c r="J263" s="63">
        <f t="shared" si="148"/>
        <v>0</v>
      </c>
      <c r="K263" s="63">
        <f t="shared" si="148"/>
        <v>0</v>
      </c>
      <c r="L263" s="63">
        <f t="shared" si="148"/>
        <v>0</v>
      </c>
      <c r="M263" s="63">
        <f t="shared" si="149"/>
        <v>0</v>
      </c>
      <c r="N263" s="63">
        <f t="shared" si="150"/>
        <v>0</v>
      </c>
      <c r="O263" s="63">
        <f t="shared" si="150"/>
        <v>0</v>
      </c>
      <c r="P263" s="63">
        <f t="shared" si="150"/>
        <v>0</v>
      </c>
      <c r="Q263" s="63">
        <f t="shared" si="151"/>
        <v>0</v>
      </c>
      <c r="R263" s="21">
        <f t="shared" si="152"/>
        <v>0</v>
      </c>
    </row>
    <row r="264" spans="1:18" ht="12.75" hidden="1" outlineLevel="2">
      <c r="A264" s="19" t="s">
        <v>45</v>
      </c>
      <c r="B264" s="63">
        <f t="shared" si="144"/>
        <v>23751.079999999998</v>
      </c>
      <c r="C264" s="63">
        <f t="shared" si="144"/>
        <v>0</v>
      </c>
      <c r="D264" s="63">
        <f t="shared" si="144"/>
        <v>0</v>
      </c>
      <c r="E264" s="63">
        <f t="shared" si="145"/>
        <v>23751.079999999998</v>
      </c>
      <c r="F264" s="63">
        <f t="shared" si="146"/>
        <v>0</v>
      </c>
      <c r="G264" s="63">
        <f t="shared" si="146"/>
        <v>0</v>
      </c>
      <c r="H264" s="63">
        <f t="shared" si="146"/>
        <v>0</v>
      </c>
      <c r="I264" s="63">
        <f t="shared" si="147"/>
        <v>0</v>
      </c>
      <c r="J264" s="63">
        <f t="shared" si="148"/>
        <v>0</v>
      </c>
      <c r="K264" s="63">
        <f t="shared" si="148"/>
        <v>0</v>
      </c>
      <c r="L264" s="63">
        <f t="shared" si="148"/>
        <v>0</v>
      </c>
      <c r="M264" s="63">
        <f t="shared" si="149"/>
        <v>0</v>
      </c>
      <c r="N264" s="63">
        <f>N240+N219+N198+N177+N156+N135+N114+N93+N72+N51+N30+N9</f>
        <v>0</v>
      </c>
      <c r="O264" s="63">
        <f>O257+O240+O219+O198+O177+O156+O135+O114+O93+O72+O51+O30+O9</f>
        <v>0</v>
      </c>
      <c r="P264" s="63">
        <f>P240+P219+P198+P177+P156+P135+P114+P93+P72+P51+P30+P9</f>
        <v>0</v>
      </c>
      <c r="Q264" s="63">
        <f t="shared" si="151"/>
        <v>0</v>
      </c>
      <c r="R264" s="21">
        <f t="shared" si="152"/>
        <v>23751.079999999998</v>
      </c>
    </row>
    <row r="265" spans="1:18" ht="12.75" hidden="1" outlineLevel="2">
      <c r="A265" s="19" t="s">
        <v>46</v>
      </c>
      <c r="B265" s="63">
        <f t="shared" si="144"/>
        <v>0</v>
      </c>
      <c r="C265" s="63">
        <f t="shared" si="144"/>
        <v>0</v>
      </c>
      <c r="D265" s="63">
        <f t="shared" si="144"/>
        <v>0</v>
      </c>
      <c r="E265" s="63">
        <f t="shared" si="145"/>
        <v>0</v>
      </c>
      <c r="F265" s="63">
        <f t="shared" si="146"/>
        <v>0</v>
      </c>
      <c r="G265" s="63">
        <f t="shared" si="146"/>
        <v>0</v>
      </c>
      <c r="H265" s="63">
        <f t="shared" si="146"/>
        <v>0</v>
      </c>
      <c r="I265" s="63">
        <f t="shared" si="147"/>
        <v>0</v>
      </c>
      <c r="J265" s="63">
        <f t="shared" si="148"/>
        <v>0</v>
      </c>
      <c r="K265" s="63">
        <f t="shared" si="148"/>
        <v>0</v>
      </c>
      <c r="L265" s="63">
        <f t="shared" si="148"/>
        <v>0</v>
      </c>
      <c r="M265" s="63">
        <f t="shared" si="149"/>
        <v>0</v>
      </c>
      <c r="N265" s="63">
        <f>N241+N220+N199+N178+N157+N136+N115+N94+N73+N52+N31+N10</f>
        <v>0</v>
      </c>
      <c r="O265" s="63">
        <f>O241+O220+O199+O178+O157+O136+O115+O94+O73+O52+O31+O10</f>
        <v>0</v>
      </c>
      <c r="P265" s="63">
        <f>P241+P220+P199+P178+P157+P136+P115+P94+P73+P52+P31+P10</f>
        <v>0</v>
      </c>
      <c r="Q265" s="63">
        <f t="shared" si="151"/>
        <v>0</v>
      </c>
      <c r="R265" s="21">
        <f t="shared" si="152"/>
        <v>0</v>
      </c>
    </row>
    <row r="266" spans="1:18" ht="12.75" hidden="1" outlineLevel="3">
      <c r="A266" s="19" t="s">
        <v>58</v>
      </c>
      <c r="B266" s="63">
        <f t="shared" si="144"/>
        <v>2746.98</v>
      </c>
      <c r="C266" s="63">
        <f t="shared" si="144"/>
        <v>0</v>
      </c>
      <c r="D266" s="63">
        <f t="shared" si="144"/>
        <v>0</v>
      </c>
      <c r="E266" s="63">
        <f t="shared" si="145"/>
        <v>2746.98</v>
      </c>
      <c r="F266" s="63">
        <f t="shared" si="146"/>
        <v>0</v>
      </c>
      <c r="G266" s="63">
        <f t="shared" si="146"/>
        <v>0</v>
      </c>
      <c r="H266" s="63">
        <f t="shared" si="146"/>
        <v>0</v>
      </c>
      <c r="I266" s="63">
        <f t="shared" si="147"/>
        <v>0</v>
      </c>
      <c r="J266" s="63">
        <f t="shared" si="148"/>
        <v>1037.74</v>
      </c>
      <c r="K266" s="63">
        <f t="shared" si="148"/>
        <v>0</v>
      </c>
      <c r="L266" s="63">
        <f t="shared" si="148"/>
        <v>0</v>
      </c>
      <c r="M266" s="63">
        <f t="shared" si="149"/>
        <v>1037.74</v>
      </c>
      <c r="N266" s="63">
        <f>N242+N221+N200+N179+N158+N137+N116+N95+N74+N53+N32+N11</f>
        <v>0</v>
      </c>
      <c r="O266" s="63">
        <f>O242+O221+O200+O179+O158+O137+O116+O95+O74+O53+O32+O11</f>
        <v>5152.139999999999</v>
      </c>
      <c r="P266" s="63">
        <f>P242+P221+P200+P179+P158+P137+P116+P95+P74+P53+P32+P11</f>
        <v>702.6</v>
      </c>
      <c r="Q266" s="63">
        <f t="shared" si="151"/>
        <v>5854.74</v>
      </c>
      <c r="R266" s="21">
        <f t="shared" si="152"/>
        <v>9639.46</v>
      </c>
    </row>
    <row r="267" spans="1:18" ht="12.75" outlineLevel="1" collapsed="1">
      <c r="A267" s="22" t="s">
        <v>47</v>
      </c>
      <c r="B267" s="63">
        <f aca="true" t="shared" si="153" ref="B267:Q267">SUM(B259:B266)</f>
        <v>26498.059999999998</v>
      </c>
      <c r="C267" s="63">
        <f t="shared" si="153"/>
        <v>0</v>
      </c>
      <c r="D267" s="63">
        <f t="shared" si="153"/>
        <v>0</v>
      </c>
      <c r="E267" s="33">
        <f t="shared" si="153"/>
        <v>26498.059999999998</v>
      </c>
      <c r="F267" s="33">
        <f t="shared" si="153"/>
        <v>0</v>
      </c>
      <c r="G267" s="33">
        <f t="shared" si="153"/>
        <v>0</v>
      </c>
      <c r="H267" s="33">
        <f t="shared" si="153"/>
        <v>0</v>
      </c>
      <c r="I267" s="33">
        <f t="shared" si="153"/>
        <v>0</v>
      </c>
      <c r="J267" s="33">
        <f t="shared" si="153"/>
        <v>1037.74</v>
      </c>
      <c r="K267" s="33">
        <f t="shared" si="153"/>
        <v>0</v>
      </c>
      <c r="L267" s="33">
        <f t="shared" si="153"/>
        <v>0</v>
      </c>
      <c r="M267" s="33">
        <f t="shared" si="153"/>
        <v>1037.74</v>
      </c>
      <c r="N267" s="33">
        <f t="shared" si="153"/>
        <v>0</v>
      </c>
      <c r="O267" s="33">
        <f t="shared" si="153"/>
        <v>5152.139999999999</v>
      </c>
      <c r="P267" s="33">
        <f t="shared" si="153"/>
        <v>702.6</v>
      </c>
      <c r="Q267" s="33">
        <f t="shared" si="153"/>
        <v>5854.74</v>
      </c>
      <c r="R267" s="34">
        <f t="shared" si="152"/>
        <v>33390.53999999999</v>
      </c>
    </row>
    <row r="268" spans="1:18" ht="12.75" hidden="1" outlineLevel="2">
      <c r="A268" s="23" t="s">
        <v>15</v>
      </c>
      <c r="B268" s="63">
        <f aca="true" t="shared" si="154" ref="B268:D276">B244+B223+B202+B181+B160+B139+B118+B97+B76+B55+B34+B13</f>
        <v>7654.5599999999995</v>
      </c>
      <c r="C268" s="63">
        <f t="shared" si="154"/>
        <v>7655.28</v>
      </c>
      <c r="D268" s="63">
        <f t="shared" si="154"/>
        <v>7656.599999999999</v>
      </c>
      <c r="E268" s="63">
        <f aca="true" t="shared" si="155" ref="E268:E278">SUM(B268:D268)</f>
        <v>22966.44</v>
      </c>
      <c r="F268" s="63">
        <f aca="true" t="shared" si="156" ref="F268:H276">F244+F223+F202+F181+F160+F139+F118+F97+F76+F55+F34+F13</f>
        <v>7623.6</v>
      </c>
      <c r="G268" s="63">
        <f t="shared" si="156"/>
        <v>7633.200000000001</v>
      </c>
      <c r="H268" s="63">
        <f t="shared" si="156"/>
        <v>7645.08</v>
      </c>
      <c r="I268" s="63">
        <f aca="true" t="shared" si="157" ref="I268:I278">SUM(F268:H268)</f>
        <v>22901.88</v>
      </c>
      <c r="J268" s="63">
        <f aca="true" t="shared" si="158" ref="J268:L276">J244+J223+J202+J181+J160+J139+J118+J97+J76+J55+J34+J13</f>
        <v>7653.84</v>
      </c>
      <c r="K268" s="63">
        <f t="shared" si="158"/>
        <v>7669.44</v>
      </c>
      <c r="L268" s="63">
        <f t="shared" si="158"/>
        <v>7695</v>
      </c>
      <c r="M268" s="63">
        <f aca="true" t="shared" si="159" ref="M268:M278">SUM(J268:L268)</f>
        <v>23018.28</v>
      </c>
      <c r="N268" s="63">
        <f aca="true" t="shared" si="160" ref="N268:P276">N244+N223+N202+N181+N160+N139+N118+N97+N76+N55+N34+N13</f>
        <v>7744.2</v>
      </c>
      <c r="O268" s="63">
        <f t="shared" si="160"/>
        <v>7769.04</v>
      </c>
      <c r="P268" s="63">
        <f t="shared" si="160"/>
        <v>7815.24</v>
      </c>
      <c r="Q268" s="63">
        <f aca="true" t="shared" si="161" ref="Q268:Q278">SUM(N268:P268)</f>
        <v>23328.48</v>
      </c>
      <c r="R268" s="21">
        <f t="shared" si="152"/>
        <v>92215.08</v>
      </c>
    </row>
    <row r="269" spans="1:18" ht="12.75" hidden="1" outlineLevel="2">
      <c r="A269" s="23" t="s">
        <v>16</v>
      </c>
      <c r="B269" s="63">
        <f t="shared" si="154"/>
        <v>1320</v>
      </c>
      <c r="C269" s="63">
        <f t="shared" si="154"/>
        <v>1320</v>
      </c>
      <c r="D269" s="63">
        <f t="shared" si="154"/>
        <v>1320</v>
      </c>
      <c r="E269" s="63">
        <f t="shared" si="155"/>
        <v>3960</v>
      </c>
      <c r="F269" s="63">
        <f t="shared" si="156"/>
        <v>1320</v>
      </c>
      <c r="G269" s="63">
        <f t="shared" si="156"/>
        <v>1320</v>
      </c>
      <c r="H269" s="63">
        <f t="shared" si="156"/>
        <v>1320</v>
      </c>
      <c r="I269" s="63">
        <f t="shared" si="157"/>
        <v>3960</v>
      </c>
      <c r="J269" s="63">
        <f t="shared" si="158"/>
        <v>1320</v>
      </c>
      <c r="K269" s="63">
        <f t="shared" si="158"/>
        <v>1320</v>
      </c>
      <c r="L269" s="63">
        <f t="shared" si="158"/>
        <v>1320</v>
      </c>
      <c r="M269" s="63">
        <f t="shared" si="159"/>
        <v>3960</v>
      </c>
      <c r="N269" s="63">
        <f t="shared" si="160"/>
        <v>1306</v>
      </c>
      <c r="O269" s="63">
        <f t="shared" si="160"/>
        <v>1320</v>
      </c>
      <c r="P269" s="63">
        <f t="shared" si="160"/>
        <v>1320</v>
      </c>
      <c r="Q269" s="63">
        <f t="shared" si="161"/>
        <v>3946</v>
      </c>
      <c r="R269" s="21">
        <f t="shared" si="152"/>
        <v>15826</v>
      </c>
    </row>
    <row r="270" spans="1:18" ht="12.75" hidden="1" outlineLevel="2">
      <c r="A270" s="23" t="s">
        <v>17</v>
      </c>
      <c r="B270" s="63">
        <f t="shared" si="154"/>
        <v>1952.6399999999999</v>
      </c>
      <c r="C270" s="63">
        <f t="shared" si="154"/>
        <v>1278.03</v>
      </c>
      <c r="D270" s="63">
        <f t="shared" si="154"/>
        <v>1074.63</v>
      </c>
      <c r="E270" s="63">
        <f t="shared" si="155"/>
        <v>4305.3</v>
      </c>
      <c r="F270" s="63">
        <f t="shared" si="156"/>
        <v>1404.59</v>
      </c>
      <c r="G270" s="63">
        <f t="shared" si="156"/>
        <v>1224.92</v>
      </c>
      <c r="H270" s="63">
        <f t="shared" si="156"/>
        <v>1339.0500000000002</v>
      </c>
      <c r="I270" s="63">
        <f t="shared" si="157"/>
        <v>3968.5600000000004</v>
      </c>
      <c r="J270" s="63">
        <f t="shared" si="158"/>
        <v>1226.05</v>
      </c>
      <c r="K270" s="63">
        <f t="shared" si="158"/>
        <v>2361.7</v>
      </c>
      <c r="L270" s="63">
        <f t="shared" si="158"/>
        <v>1650.9299999999998</v>
      </c>
      <c r="M270" s="63">
        <f t="shared" si="159"/>
        <v>5238.68</v>
      </c>
      <c r="N270" s="63">
        <f t="shared" si="160"/>
        <v>1579.7400000000002</v>
      </c>
      <c r="O270" s="63">
        <f t="shared" si="160"/>
        <v>1490.47</v>
      </c>
      <c r="P270" s="63">
        <f t="shared" si="160"/>
        <v>1666.75</v>
      </c>
      <c r="Q270" s="63">
        <f t="shared" si="161"/>
        <v>4736.96</v>
      </c>
      <c r="R270" s="21">
        <f t="shared" si="152"/>
        <v>18249.5</v>
      </c>
    </row>
    <row r="271" spans="1:18" ht="12.75" hidden="1" outlineLevel="2">
      <c r="A271" s="25" t="s">
        <v>18</v>
      </c>
      <c r="B271" s="63">
        <f t="shared" si="154"/>
        <v>85.82</v>
      </c>
      <c r="C271" s="63">
        <f t="shared" si="154"/>
        <v>0</v>
      </c>
      <c r="D271" s="63">
        <f t="shared" si="154"/>
        <v>0</v>
      </c>
      <c r="E271" s="63">
        <f t="shared" si="155"/>
        <v>85.82</v>
      </c>
      <c r="F271" s="63">
        <f t="shared" si="156"/>
        <v>0</v>
      </c>
      <c r="G271" s="63">
        <f t="shared" si="156"/>
        <v>0</v>
      </c>
      <c r="H271" s="63">
        <f t="shared" si="156"/>
        <v>0</v>
      </c>
      <c r="I271" s="63">
        <f t="shared" si="157"/>
        <v>0</v>
      </c>
      <c r="J271" s="63">
        <f t="shared" si="158"/>
        <v>0</v>
      </c>
      <c r="K271" s="63">
        <f t="shared" si="158"/>
        <v>0</v>
      </c>
      <c r="L271" s="63">
        <f t="shared" si="158"/>
        <v>0</v>
      </c>
      <c r="M271" s="63">
        <f t="shared" si="159"/>
        <v>0</v>
      </c>
      <c r="N271" s="63">
        <f t="shared" si="160"/>
        <v>6642.030000000001</v>
      </c>
      <c r="O271" s="63">
        <f t="shared" si="160"/>
        <v>0</v>
      </c>
      <c r="P271" s="63">
        <f t="shared" si="160"/>
        <v>506.92</v>
      </c>
      <c r="Q271" s="63">
        <f t="shared" si="161"/>
        <v>7148.950000000001</v>
      </c>
      <c r="R271" s="21">
        <f t="shared" si="152"/>
        <v>7234.77</v>
      </c>
    </row>
    <row r="272" spans="1:18" ht="12.75" hidden="1" outlineLevel="2">
      <c r="A272" s="23" t="s">
        <v>19</v>
      </c>
      <c r="B272" s="63">
        <f t="shared" si="154"/>
        <v>64.17</v>
      </c>
      <c r="C272" s="63">
        <f t="shared" si="154"/>
        <v>110.67</v>
      </c>
      <c r="D272" s="63">
        <f t="shared" si="154"/>
        <v>217.62</v>
      </c>
      <c r="E272" s="63">
        <f t="shared" si="155"/>
        <v>392.46000000000004</v>
      </c>
      <c r="F272" s="63">
        <f t="shared" si="156"/>
        <v>62.31</v>
      </c>
      <c r="G272" s="63">
        <f t="shared" si="156"/>
        <v>29.759999999999998</v>
      </c>
      <c r="H272" s="63">
        <f t="shared" si="156"/>
        <v>33.480000000000004</v>
      </c>
      <c r="I272" s="63">
        <f t="shared" si="157"/>
        <v>125.55</v>
      </c>
      <c r="J272" s="63">
        <f t="shared" si="158"/>
        <v>40.92</v>
      </c>
      <c r="K272" s="63">
        <f t="shared" si="158"/>
        <v>50.22</v>
      </c>
      <c r="L272" s="63">
        <f t="shared" si="158"/>
        <v>37.199999999999996</v>
      </c>
      <c r="M272" s="63">
        <f t="shared" si="159"/>
        <v>128.34</v>
      </c>
      <c r="N272" s="63">
        <f t="shared" si="160"/>
        <v>42.78</v>
      </c>
      <c r="O272" s="63">
        <f t="shared" si="160"/>
        <v>29.759999999999998</v>
      </c>
      <c r="P272" s="63">
        <f t="shared" si="160"/>
        <v>36.269999999999996</v>
      </c>
      <c r="Q272" s="63">
        <f t="shared" si="161"/>
        <v>108.80999999999999</v>
      </c>
      <c r="R272" s="21">
        <f t="shared" si="152"/>
        <v>755.1600000000001</v>
      </c>
    </row>
    <row r="273" spans="1:18" ht="12.75" hidden="1" outlineLevel="2">
      <c r="A273" s="23" t="s">
        <v>20</v>
      </c>
      <c r="B273" s="63">
        <f t="shared" si="154"/>
        <v>595.2</v>
      </c>
      <c r="C273" s="63">
        <f t="shared" si="154"/>
        <v>1390.6999999999998</v>
      </c>
      <c r="D273" s="63">
        <f t="shared" si="154"/>
        <v>1932.25</v>
      </c>
      <c r="E273" s="63">
        <f t="shared" si="155"/>
        <v>3918.1499999999996</v>
      </c>
      <c r="F273" s="63">
        <f t="shared" si="156"/>
        <v>983.4</v>
      </c>
      <c r="G273" s="63">
        <f t="shared" si="156"/>
        <v>589.54</v>
      </c>
      <c r="H273" s="63">
        <f t="shared" si="156"/>
        <v>628.21</v>
      </c>
      <c r="I273" s="63">
        <f t="shared" si="157"/>
        <v>2201.15</v>
      </c>
      <c r="J273" s="63">
        <f t="shared" si="158"/>
        <v>735.06</v>
      </c>
      <c r="K273" s="63">
        <f t="shared" si="158"/>
        <v>1465.06</v>
      </c>
      <c r="L273" s="63">
        <f t="shared" si="158"/>
        <v>796.55</v>
      </c>
      <c r="M273" s="63">
        <f t="shared" si="159"/>
        <v>2996.67</v>
      </c>
      <c r="N273" s="63">
        <f t="shared" si="160"/>
        <v>776.65</v>
      </c>
      <c r="O273" s="63">
        <f t="shared" si="160"/>
        <v>560.88</v>
      </c>
      <c r="P273" s="63">
        <f t="shared" si="160"/>
        <v>711.24</v>
      </c>
      <c r="Q273" s="63">
        <f t="shared" si="161"/>
        <v>2048.77</v>
      </c>
      <c r="R273" s="21">
        <f t="shared" si="152"/>
        <v>11164.74</v>
      </c>
    </row>
    <row r="274" spans="1:18" ht="12.75" hidden="1" outlineLevel="2">
      <c r="A274" s="23" t="s">
        <v>21</v>
      </c>
      <c r="B274" s="63">
        <f t="shared" si="154"/>
        <v>1110</v>
      </c>
      <c r="C274" s="63">
        <f t="shared" si="154"/>
        <v>1110</v>
      </c>
      <c r="D274" s="63">
        <f t="shared" si="154"/>
        <v>1110</v>
      </c>
      <c r="E274" s="63">
        <f t="shared" si="155"/>
        <v>3330</v>
      </c>
      <c r="F274" s="63">
        <f t="shared" si="156"/>
        <v>1110</v>
      </c>
      <c r="G274" s="63">
        <f t="shared" si="156"/>
        <v>1110</v>
      </c>
      <c r="H274" s="63">
        <f t="shared" si="156"/>
        <v>1110</v>
      </c>
      <c r="I274" s="63">
        <f t="shared" si="157"/>
        <v>3330</v>
      </c>
      <c r="J274" s="63">
        <f t="shared" si="158"/>
        <v>1110</v>
      </c>
      <c r="K274" s="63">
        <f t="shared" si="158"/>
        <v>1110</v>
      </c>
      <c r="L274" s="63">
        <f t="shared" si="158"/>
        <v>1110</v>
      </c>
      <c r="M274" s="63">
        <f t="shared" si="159"/>
        <v>3330</v>
      </c>
      <c r="N274" s="63">
        <f t="shared" si="160"/>
        <v>1110</v>
      </c>
      <c r="O274" s="63">
        <f t="shared" si="160"/>
        <v>1110</v>
      </c>
      <c r="P274" s="63">
        <f t="shared" si="160"/>
        <v>0</v>
      </c>
      <c r="Q274" s="63">
        <f t="shared" si="161"/>
        <v>2220</v>
      </c>
      <c r="R274" s="21">
        <f t="shared" si="152"/>
        <v>12210</v>
      </c>
    </row>
    <row r="275" spans="1:18" ht="12.75" hidden="1" outlineLevel="2">
      <c r="A275" s="23" t="s">
        <v>22</v>
      </c>
      <c r="B275" s="63">
        <f t="shared" si="154"/>
        <v>447.29999999999995</v>
      </c>
      <c r="C275" s="63">
        <f>C251+C230+C209+C188+C167+C146+C125+C104+C83+C62+C41+C20</f>
        <v>174.66</v>
      </c>
      <c r="D275" s="63">
        <f t="shared" si="154"/>
        <v>272.64</v>
      </c>
      <c r="E275" s="63">
        <f t="shared" si="155"/>
        <v>894.5999999999999</v>
      </c>
      <c r="F275" s="63">
        <f t="shared" si="156"/>
        <v>523.98</v>
      </c>
      <c r="G275" s="63">
        <f t="shared" si="156"/>
        <v>302.46</v>
      </c>
      <c r="H275" s="63">
        <f t="shared" si="156"/>
        <v>370.62</v>
      </c>
      <c r="I275" s="63">
        <f t="shared" si="157"/>
        <v>1197.06</v>
      </c>
      <c r="J275" s="63">
        <f t="shared" si="158"/>
        <v>285.41999999999996</v>
      </c>
      <c r="K275" s="63">
        <f t="shared" si="158"/>
        <v>255.60000000000002</v>
      </c>
      <c r="L275" s="63">
        <f t="shared" si="158"/>
        <v>323.76</v>
      </c>
      <c r="M275" s="63">
        <f t="shared" si="159"/>
        <v>864.78</v>
      </c>
      <c r="N275" s="63">
        <f t="shared" si="160"/>
        <v>328.02</v>
      </c>
      <c r="O275" s="63">
        <f t="shared" si="160"/>
        <v>587.88</v>
      </c>
      <c r="P275" s="63">
        <f t="shared" si="160"/>
        <v>374.88</v>
      </c>
      <c r="Q275" s="63">
        <f t="shared" si="161"/>
        <v>1290.78</v>
      </c>
      <c r="R275" s="21">
        <f t="shared" si="152"/>
        <v>4247.219999999999</v>
      </c>
    </row>
    <row r="276" spans="1:18" ht="12.75" hidden="1" outlineLevel="3">
      <c r="A276" s="23" t="s">
        <v>61</v>
      </c>
      <c r="B276" s="63">
        <f t="shared" si="154"/>
        <v>0</v>
      </c>
      <c r="C276" s="63">
        <f>C252+C231+C210+C189+C168+C147+C126+C105+C84+C62+C42+C21</f>
        <v>17.04</v>
      </c>
      <c r="D276" s="63">
        <f t="shared" si="154"/>
        <v>0</v>
      </c>
      <c r="E276" s="63">
        <f t="shared" si="155"/>
        <v>17.04</v>
      </c>
      <c r="F276" s="63">
        <f t="shared" si="156"/>
        <v>0</v>
      </c>
      <c r="G276" s="63">
        <f t="shared" si="156"/>
        <v>0</v>
      </c>
      <c r="H276" s="63">
        <f t="shared" si="156"/>
        <v>0</v>
      </c>
      <c r="I276" s="63">
        <f t="shared" si="157"/>
        <v>0</v>
      </c>
      <c r="J276" s="63">
        <f t="shared" si="158"/>
        <v>0</v>
      </c>
      <c r="K276" s="63">
        <f t="shared" si="158"/>
        <v>0</v>
      </c>
      <c r="L276" s="63">
        <f t="shared" si="158"/>
        <v>0</v>
      </c>
      <c r="M276" s="63">
        <f t="shared" si="159"/>
        <v>0</v>
      </c>
      <c r="N276" s="63">
        <f t="shared" si="160"/>
        <v>0</v>
      </c>
      <c r="O276" s="63">
        <f t="shared" si="160"/>
        <v>0</v>
      </c>
      <c r="P276" s="63">
        <f t="shared" si="160"/>
        <v>0</v>
      </c>
      <c r="Q276" s="63">
        <f t="shared" si="161"/>
        <v>0</v>
      </c>
      <c r="R276" s="21">
        <f t="shared" si="152"/>
        <v>17.04</v>
      </c>
    </row>
    <row r="277" spans="1:18" ht="12.75" outlineLevel="1" collapsed="1">
      <c r="A277" s="28" t="s">
        <v>50</v>
      </c>
      <c r="B277" s="43">
        <f>SUM(B268:B275)</f>
        <v>13229.689999999999</v>
      </c>
      <c r="C277" s="43">
        <f>SUM(C268:C275)</f>
        <v>13039.34</v>
      </c>
      <c r="D277" s="43">
        <f>SUM(D268:D275)</f>
        <v>13583.74</v>
      </c>
      <c r="E277" s="43">
        <f t="shared" si="155"/>
        <v>39852.77</v>
      </c>
      <c r="F277" s="43">
        <f>SUM(F268:F275)</f>
        <v>13027.88</v>
      </c>
      <c r="G277" s="43">
        <f>SUM(G268:G275)</f>
        <v>12209.880000000001</v>
      </c>
      <c r="H277" s="43">
        <f>SUM(H268:H275)</f>
        <v>12446.44</v>
      </c>
      <c r="I277" s="43">
        <f t="shared" si="157"/>
        <v>37684.200000000004</v>
      </c>
      <c r="J277" s="43">
        <f>SUM(J268:J275)</f>
        <v>12371.289999999999</v>
      </c>
      <c r="K277" s="43">
        <f>SUM(K268:K275)</f>
        <v>14232.019999999999</v>
      </c>
      <c r="L277" s="43">
        <f>SUM(L268:L275)</f>
        <v>12933.44</v>
      </c>
      <c r="M277" s="43">
        <f t="shared" si="159"/>
        <v>39536.75</v>
      </c>
      <c r="N277" s="43">
        <f>SUM(N268:N275)</f>
        <v>19529.420000000002</v>
      </c>
      <c r="O277" s="43">
        <f>SUM(O268:O275)</f>
        <v>12868.029999999999</v>
      </c>
      <c r="P277" s="43">
        <f>SUM(P268:P275)</f>
        <v>12431.3</v>
      </c>
      <c r="Q277" s="43">
        <f t="shared" si="161"/>
        <v>44828.75</v>
      </c>
      <c r="R277" s="44">
        <f t="shared" si="152"/>
        <v>161902.47</v>
      </c>
    </row>
    <row r="278" spans="1:21" ht="13.5" thickBot="1">
      <c r="A278" s="30" t="s">
        <v>48</v>
      </c>
      <c r="B278" s="49">
        <f>B277+B267</f>
        <v>39727.75</v>
      </c>
      <c r="C278" s="49">
        <f>C277+C267</f>
        <v>13039.34</v>
      </c>
      <c r="D278" s="49">
        <f>D277+D267</f>
        <v>13583.74</v>
      </c>
      <c r="E278" s="49">
        <f t="shared" si="155"/>
        <v>66350.83</v>
      </c>
      <c r="F278" s="49">
        <f>F277+F267</f>
        <v>13027.88</v>
      </c>
      <c r="G278" s="49">
        <f>G277+G267</f>
        <v>12209.880000000001</v>
      </c>
      <c r="H278" s="49">
        <f>H277+H267</f>
        <v>12446.44</v>
      </c>
      <c r="I278" s="49">
        <f t="shared" si="157"/>
        <v>37684.200000000004</v>
      </c>
      <c r="J278" s="49">
        <f>J277+J267</f>
        <v>13409.029999999999</v>
      </c>
      <c r="K278" s="49">
        <f>K277+K267</f>
        <v>14232.019999999999</v>
      </c>
      <c r="L278" s="49">
        <f>L277+L267</f>
        <v>12933.44</v>
      </c>
      <c r="M278" s="49">
        <f t="shared" si="159"/>
        <v>40574.49</v>
      </c>
      <c r="N278" s="49">
        <f>N277+N267</f>
        <v>19529.420000000002</v>
      </c>
      <c r="O278" s="49">
        <f>O277+O267</f>
        <v>18020.17</v>
      </c>
      <c r="P278" s="49">
        <f>P277+P267</f>
        <v>13133.9</v>
      </c>
      <c r="Q278" s="49">
        <f t="shared" si="161"/>
        <v>50683.49</v>
      </c>
      <c r="R278" s="44">
        <f t="shared" si="152"/>
        <v>195293.01</v>
      </c>
      <c r="S278" s="65">
        <f>((B268/0.12)+(C268/0.12)+(D268/0.12)+(F268/0.12)+(G268/0.12)+(H268/0.12)+(J268/0.12)+(K268/0.12)+(L268/0.12)+(N268/0.12)+(O268/0.12)+(P268/0.12))/12</f>
        <v>64038.25</v>
      </c>
      <c r="T278" s="54">
        <f>IF(R278&gt;0,R278/S278,0)</f>
        <v>3.049630650431578</v>
      </c>
      <c r="U278" s="66">
        <f>IF(R270&gt;0,R270/R278,0)</f>
        <v>0.09344676494053729</v>
      </c>
    </row>
  </sheetData>
  <printOptions/>
  <pageMargins left="0.75" right="0.62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3"/>
  <sheetViews>
    <sheetView workbookViewId="0" topLeftCell="A1">
      <pane xSplit="1" ySplit="2" topLeftCell="M1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2" sqref="N32"/>
    </sheetView>
  </sheetViews>
  <sheetFormatPr defaultColWidth="9.140625" defaultRowHeight="12.75" outlineLevelRow="3" outlineLevelCol="2"/>
  <cols>
    <col min="1" max="1" width="19.28125" style="0" customWidth="1"/>
    <col min="2" max="4" width="8.7109375" style="0" hidden="1" customWidth="1" outlineLevel="2"/>
    <col min="5" max="5" width="8.7109375" style="0" customWidth="1" outlineLevel="1" collapsed="1"/>
    <col min="6" max="7" width="8.7109375" style="0" hidden="1" customWidth="1" outlineLevel="2"/>
    <col min="8" max="8" width="9.7109375" style="0" hidden="1" customWidth="1" outlineLevel="2"/>
    <col min="9" max="9" width="9.7109375" style="0" customWidth="1" outlineLevel="1" collapsed="1"/>
    <col min="10" max="10" width="8.7109375" style="0" hidden="1" customWidth="1" outlineLevel="2"/>
    <col min="11" max="11" width="9.28125" style="0" hidden="1" customWidth="1" outlineLevel="2"/>
    <col min="12" max="12" width="8.7109375" style="0" hidden="1" customWidth="1" outlineLevel="2"/>
    <col min="13" max="13" width="9.140625" style="0" customWidth="1" outlineLevel="1" collapsed="1"/>
    <col min="14" max="16" width="8.7109375" style="0" customWidth="1" outlineLevel="2"/>
    <col min="17" max="17" width="8.7109375" style="0" customWidth="1" outlineLevel="1"/>
    <col min="18" max="18" width="11.421875" style="0" customWidth="1"/>
    <col min="19" max="19" width="10.57421875" style="0" customWidth="1"/>
    <col min="20" max="20" width="9.8515625" style="0" customWidth="1"/>
    <col min="21" max="21" width="8.421875" style="0" customWidth="1"/>
    <col min="22" max="22" width="10.421875" style="0" customWidth="1"/>
  </cols>
  <sheetData>
    <row r="1" ht="18.75" thickBot="1">
      <c r="A1" s="1" t="s">
        <v>0</v>
      </c>
    </row>
    <row r="2" spans="1:22" ht="64.5" thickBot="1">
      <c r="A2" s="15" t="s">
        <v>65</v>
      </c>
      <c r="B2" s="9" t="s">
        <v>5</v>
      </c>
      <c r="C2" s="6" t="s">
        <v>6</v>
      </c>
      <c r="D2" s="10" t="s">
        <v>7</v>
      </c>
      <c r="E2" s="7" t="s">
        <v>23</v>
      </c>
      <c r="F2" s="9" t="s">
        <v>2</v>
      </c>
      <c r="G2" s="10" t="s">
        <v>3</v>
      </c>
      <c r="H2" s="10" t="s">
        <v>8</v>
      </c>
      <c r="I2" s="7" t="s">
        <v>24</v>
      </c>
      <c r="J2" s="9" t="s">
        <v>9</v>
      </c>
      <c r="K2" s="6" t="s">
        <v>10</v>
      </c>
      <c r="L2" s="10" t="s">
        <v>11</v>
      </c>
      <c r="M2" s="7" t="s">
        <v>25</v>
      </c>
      <c r="N2" s="9" t="s">
        <v>12</v>
      </c>
      <c r="O2" s="6" t="s">
        <v>13</v>
      </c>
      <c r="P2" s="10" t="s">
        <v>14</v>
      </c>
      <c r="Q2" s="7" t="s">
        <v>26</v>
      </c>
      <c r="R2" s="8" t="s">
        <v>4</v>
      </c>
      <c r="S2" s="55" t="s">
        <v>53</v>
      </c>
      <c r="T2" s="55" t="s">
        <v>52</v>
      </c>
      <c r="U2" s="57" t="s">
        <v>54</v>
      </c>
      <c r="V2" s="58" t="s">
        <v>55</v>
      </c>
    </row>
    <row r="3" spans="1:18" ht="12.75" outlineLevel="1">
      <c r="A3" s="16" t="s">
        <v>1</v>
      </c>
      <c r="B3" s="17"/>
      <c r="C3" s="17"/>
      <c r="D3" s="17"/>
      <c r="E3" s="61"/>
      <c r="F3" s="17"/>
      <c r="G3" s="17"/>
      <c r="H3" s="17"/>
      <c r="I3" s="61"/>
      <c r="J3" s="17"/>
      <c r="K3" s="17"/>
      <c r="L3" s="17"/>
      <c r="M3" s="61"/>
      <c r="N3" s="17"/>
      <c r="O3" s="17"/>
      <c r="P3" s="17"/>
      <c r="Q3" s="61"/>
      <c r="R3" s="18"/>
    </row>
    <row r="4" spans="1:18" ht="12.75" hidden="1" outlineLevel="3">
      <c r="A4" s="19" t="s">
        <v>40</v>
      </c>
      <c r="B4" s="62"/>
      <c r="C4" s="62"/>
      <c r="D4" s="62"/>
      <c r="E4" s="35">
        <f aca="true" t="shared" si="0" ref="E4:E11">SUM(B4:D4)</f>
        <v>0</v>
      </c>
      <c r="F4" s="52"/>
      <c r="G4" s="52"/>
      <c r="H4" s="52"/>
      <c r="I4" s="35">
        <f aca="true" t="shared" si="1" ref="I4:I11">SUM(F4:H4)</f>
        <v>0</v>
      </c>
      <c r="J4" s="20"/>
      <c r="K4" s="20"/>
      <c r="L4" s="20"/>
      <c r="M4" s="35">
        <f aca="true" t="shared" si="2" ref="M4:M11">SUM(J4:L4)</f>
        <v>0</v>
      </c>
      <c r="N4" s="51"/>
      <c r="O4" s="51"/>
      <c r="P4" s="51"/>
      <c r="Q4" s="35">
        <f aca="true" t="shared" si="3" ref="Q4:Q11">SUM(N4:P4)</f>
        <v>0</v>
      </c>
      <c r="R4" s="34">
        <f aca="true" t="shared" si="4" ref="R4:R23">Q4+M4+I4+E4</f>
        <v>0</v>
      </c>
    </row>
    <row r="5" spans="1:18" ht="12.75" hidden="1" outlineLevel="3">
      <c r="A5" s="19" t="s">
        <v>41</v>
      </c>
      <c r="B5" s="62"/>
      <c r="C5" s="62"/>
      <c r="D5" s="62"/>
      <c r="E5" s="35">
        <f t="shared" si="0"/>
        <v>0</v>
      </c>
      <c r="F5" s="52"/>
      <c r="G5" s="52"/>
      <c r="H5" s="52"/>
      <c r="I5" s="35">
        <f t="shared" si="1"/>
        <v>0</v>
      </c>
      <c r="J5" s="20"/>
      <c r="K5" s="20"/>
      <c r="L5" s="20"/>
      <c r="M5" s="35">
        <f t="shared" si="2"/>
        <v>0</v>
      </c>
      <c r="N5" s="51"/>
      <c r="O5" s="51"/>
      <c r="P5" s="51"/>
      <c r="Q5" s="35">
        <f t="shared" si="3"/>
        <v>0</v>
      </c>
      <c r="R5" s="34">
        <f t="shared" si="4"/>
        <v>0</v>
      </c>
    </row>
    <row r="6" spans="1:18" ht="12.75" hidden="1" outlineLevel="3">
      <c r="A6" s="19" t="s">
        <v>42</v>
      </c>
      <c r="B6" s="62"/>
      <c r="C6" s="62"/>
      <c r="D6" s="62"/>
      <c r="E6" s="35">
        <f t="shared" si="0"/>
        <v>0</v>
      </c>
      <c r="F6" s="52"/>
      <c r="G6" s="52"/>
      <c r="H6" s="52"/>
      <c r="I6" s="35">
        <f t="shared" si="1"/>
        <v>0</v>
      </c>
      <c r="J6" s="20"/>
      <c r="K6" s="20"/>
      <c r="L6" s="20"/>
      <c r="M6" s="35">
        <f t="shared" si="2"/>
        <v>0</v>
      </c>
      <c r="N6" s="51"/>
      <c r="O6" s="51"/>
      <c r="P6" s="51"/>
      <c r="Q6" s="35">
        <f t="shared" si="3"/>
        <v>0</v>
      </c>
      <c r="R6" s="34">
        <f t="shared" si="4"/>
        <v>0</v>
      </c>
    </row>
    <row r="7" spans="1:18" ht="12.75" hidden="1" outlineLevel="3">
      <c r="A7" s="19" t="s">
        <v>43</v>
      </c>
      <c r="B7" s="62"/>
      <c r="C7" s="62"/>
      <c r="D7" s="62"/>
      <c r="E7" s="35">
        <f t="shared" si="0"/>
        <v>0</v>
      </c>
      <c r="F7" s="52"/>
      <c r="G7" s="52"/>
      <c r="H7" s="52"/>
      <c r="I7" s="35">
        <f t="shared" si="1"/>
        <v>0</v>
      </c>
      <c r="J7" s="20"/>
      <c r="K7" s="20"/>
      <c r="L7" s="20"/>
      <c r="M7" s="35">
        <f t="shared" si="2"/>
        <v>0</v>
      </c>
      <c r="N7" s="51"/>
      <c r="O7" s="51"/>
      <c r="P7" s="51"/>
      <c r="Q7" s="35">
        <f t="shared" si="3"/>
        <v>0</v>
      </c>
      <c r="R7" s="34">
        <f t="shared" si="4"/>
        <v>0</v>
      </c>
    </row>
    <row r="8" spans="1:18" ht="12.75" hidden="1" outlineLevel="3">
      <c r="A8" s="19" t="s">
        <v>44</v>
      </c>
      <c r="B8" s="62"/>
      <c r="C8" s="62"/>
      <c r="D8" s="62"/>
      <c r="E8" s="35">
        <f t="shared" si="0"/>
        <v>0</v>
      </c>
      <c r="F8" s="52"/>
      <c r="G8" s="52"/>
      <c r="H8" s="52"/>
      <c r="I8" s="35">
        <f t="shared" si="1"/>
        <v>0</v>
      </c>
      <c r="J8" s="20"/>
      <c r="K8" s="20"/>
      <c r="L8" s="20"/>
      <c r="M8" s="35">
        <f t="shared" si="2"/>
        <v>0</v>
      </c>
      <c r="N8" s="51"/>
      <c r="O8" s="51"/>
      <c r="P8" s="51"/>
      <c r="Q8" s="35">
        <f t="shared" si="3"/>
        <v>0</v>
      </c>
      <c r="R8" s="34">
        <f t="shared" si="4"/>
        <v>0</v>
      </c>
    </row>
    <row r="9" spans="1:18" ht="12.75" hidden="1" outlineLevel="3">
      <c r="A9" s="19" t="s">
        <v>45</v>
      </c>
      <c r="B9" s="62"/>
      <c r="C9" s="62"/>
      <c r="D9" s="62"/>
      <c r="E9" s="35">
        <f t="shared" si="0"/>
        <v>0</v>
      </c>
      <c r="F9" s="62"/>
      <c r="G9" s="62"/>
      <c r="H9" s="62"/>
      <c r="I9" s="35">
        <f t="shared" si="1"/>
        <v>0</v>
      </c>
      <c r="J9" s="62"/>
      <c r="K9" s="62"/>
      <c r="L9" s="62"/>
      <c r="M9" s="35">
        <f t="shared" si="2"/>
        <v>0</v>
      </c>
      <c r="N9" s="62"/>
      <c r="O9" s="62"/>
      <c r="P9" s="62"/>
      <c r="Q9" s="35">
        <f t="shared" si="3"/>
        <v>0</v>
      </c>
      <c r="R9" s="34">
        <f t="shared" si="4"/>
        <v>0</v>
      </c>
    </row>
    <row r="10" spans="1:18" ht="12.75" hidden="1" outlineLevel="3">
      <c r="A10" s="19" t="s">
        <v>46</v>
      </c>
      <c r="B10" s="62"/>
      <c r="C10" s="62"/>
      <c r="D10" s="62"/>
      <c r="E10" s="35">
        <f t="shared" si="0"/>
        <v>0</v>
      </c>
      <c r="F10" s="52"/>
      <c r="G10" s="52"/>
      <c r="H10" s="52"/>
      <c r="I10" s="35">
        <f t="shared" si="1"/>
        <v>0</v>
      </c>
      <c r="J10" s="20"/>
      <c r="K10" s="20"/>
      <c r="L10" s="20"/>
      <c r="M10" s="35">
        <f t="shared" si="2"/>
        <v>0</v>
      </c>
      <c r="N10" s="51"/>
      <c r="O10" s="51"/>
      <c r="P10" s="51"/>
      <c r="Q10" s="35">
        <f t="shared" si="3"/>
        <v>0</v>
      </c>
      <c r="R10" s="34">
        <f t="shared" si="4"/>
        <v>0</v>
      </c>
    </row>
    <row r="11" spans="1:18" ht="12.75" hidden="1" outlineLevel="3">
      <c r="A11" s="19" t="s">
        <v>58</v>
      </c>
      <c r="B11" s="62">
        <v>3300</v>
      </c>
      <c r="C11" s="62">
        <v>68.85</v>
      </c>
      <c r="D11" s="62"/>
      <c r="E11" s="35">
        <f t="shared" si="0"/>
        <v>3368.85</v>
      </c>
      <c r="F11" s="52"/>
      <c r="G11" s="52"/>
      <c r="H11" s="52">
        <v>160.34</v>
      </c>
      <c r="I11" s="35">
        <f t="shared" si="1"/>
        <v>160.34</v>
      </c>
      <c r="J11" s="20"/>
      <c r="K11" s="20"/>
      <c r="L11" s="20">
        <v>160.19</v>
      </c>
      <c r="M11" s="35">
        <f t="shared" si="2"/>
        <v>160.19</v>
      </c>
      <c r="N11" s="51"/>
      <c r="O11" s="51"/>
      <c r="P11" s="51"/>
      <c r="Q11" s="35">
        <f t="shared" si="3"/>
        <v>0</v>
      </c>
      <c r="R11" s="34">
        <f t="shared" si="4"/>
        <v>3689.38</v>
      </c>
    </row>
    <row r="12" spans="1:18" s="70" customFormat="1" ht="12.75" hidden="1" outlineLevel="2">
      <c r="A12" s="22" t="s">
        <v>47</v>
      </c>
      <c r="B12" s="33">
        <f aca="true" t="shared" si="5" ref="B12:Q12">SUM(B4:B11)</f>
        <v>3300</v>
      </c>
      <c r="C12" s="33">
        <f t="shared" si="5"/>
        <v>68.85</v>
      </c>
      <c r="D12" s="33">
        <f t="shared" si="5"/>
        <v>0</v>
      </c>
      <c r="E12" s="33">
        <f t="shared" si="5"/>
        <v>3368.85</v>
      </c>
      <c r="F12" s="33">
        <f t="shared" si="5"/>
        <v>0</v>
      </c>
      <c r="G12" s="33">
        <f t="shared" si="5"/>
        <v>0</v>
      </c>
      <c r="H12" s="33">
        <f t="shared" si="5"/>
        <v>160.34</v>
      </c>
      <c r="I12" s="33">
        <f t="shared" si="5"/>
        <v>160.34</v>
      </c>
      <c r="J12" s="33">
        <f t="shared" si="5"/>
        <v>0</v>
      </c>
      <c r="K12" s="33">
        <f t="shared" si="5"/>
        <v>0</v>
      </c>
      <c r="L12" s="33">
        <f t="shared" si="5"/>
        <v>160.19</v>
      </c>
      <c r="M12" s="33">
        <f t="shared" si="5"/>
        <v>160.19</v>
      </c>
      <c r="N12" s="33">
        <f t="shared" si="5"/>
        <v>0</v>
      </c>
      <c r="O12" s="33">
        <f t="shared" si="5"/>
        <v>0</v>
      </c>
      <c r="P12" s="33">
        <f t="shared" si="5"/>
        <v>0</v>
      </c>
      <c r="Q12" s="33">
        <f t="shared" si="5"/>
        <v>0</v>
      </c>
      <c r="R12" s="34">
        <f t="shared" si="4"/>
        <v>3689.38</v>
      </c>
    </row>
    <row r="13" spans="1:18" ht="15" hidden="1" outlineLevel="3">
      <c r="A13" s="23" t="s">
        <v>15</v>
      </c>
      <c r="B13" s="62">
        <v>6076.56</v>
      </c>
      <c r="C13" s="62">
        <v>6089.76</v>
      </c>
      <c r="D13" s="62">
        <v>6136.56</v>
      </c>
      <c r="E13" s="35">
        <f aca="true" t="shared" si="6" ref="E13:E22">SUM(B13:D13)</f>
        <v>18302.88</v>
      </c>
      <c r="F13" s="38">
        <v>6128.4</v>
      </c>
      <c r="G13" s="77">
        <v>6167.04</v>
      </c>
      <c r="H13" s="38">
        <v>6237.72</v>
      </c>
      <c r="I13" s="35">
        <f aca="true" t="shared" si="7" ref="I13:I22">SUM(F13:H13)</f>
        <v>18533.16</v>
      </c>
      <c r="J13" s="38">
        <v>6350.04</v>
      </c>
      <c r="K13" s="38">
        <v>6452.52</v>
      </c>
      <c r="L13" s="38">
        <v>6556.68</v>
      </c>
      <c r="M13" s="35">
        <f aca="true" t="shared" si="8" ref="M13:M22">SUM(J13:L13)</f>
        <v>19359.24</v>
      </c>
      <c r="N13" s="38">
        <v>6618.84</v>
      </c>
      <c r="O13" s="38">
        <v>6621.6</v>
      </c>
      <c r="P13" s="38">
        <v>6602.4</v>
      </c>
      <c r="Q13" s="35">
        <f aca="true" t="shared" si="9" ref="Q13:Q22">SUM(N13:P13)</f>
        <v>19842.84</v>
      </c>
      <c r="R13" s="72">
        <f t="shared" si="4"/>
        <v>76038.12000000001</v>
      </c>
    </row>
    <row r="14" spans="1:18" ht="12.75" hidden="1" outlineLevel="3">
      <c r="A14" s="23" t="s">
        <v>16</v>
      </c>
      <c r="B14" s="62">
        <v>990</v>
      </c>
      <c r="C14" s="62">
        <v>990</v>
      </c>
      <c r="D14" s="62">
        <v>990</v>
      </c>
      <c r="E14" s="35">
        <f t="shared" si="6"/>
        <v>2970</v>
      </c>
      <c r="F14" s="38">
        <v>990</v>
      </c>
      <c r="G14" s="38">
        <v>990</v>
      </c>
      <c r="H14" s="38">
        <v>990</v>
      </c>
      <c r="I14" s="35">
        <f t="shared" si="7"/>
        <v>2970</v>
      </c>
      <c r="J14" s="38">
        <v>990</v>
      </c>
      <c r="K14" s="38">
        <v>990</v>
      </c>
      <c r="L14" s="38">
        <v>990</v>
      </c>
      <c r="M14" s="35">
        <f t="shared" si="8"/>
        <v>2970</v>
      </c>
      <c r="N14" s="38">
        <v>990</v>
      </c>
      <c r="O14" s="38">
        <v>990</v>
      </c>
      <c r="P14" s="38">
        <v>990</v>
      </c>
      <c r="Q14" s="35">
        <f t="shared" si="9"/>
        <v>2970</v>
      </c>
      <c r="R14" s="72">
        <f t="shared" si="4"/>
        <v>11880</v>
      </c>
    </row>
    <row r="15" spans="1:18" ht="12.75" hidden="1" outlineLevel="3">
      <c r="A15" s="23" t="s">
        <v>17</v>
      </c>
      <c r="B15" s="62">
        <v>2610.3</v>
      </c>
      <c r="C15" s="62">
        <v>2565.1</v>
      </c>
      <c r="D15" s="62">
        <v>2123.27</v>
      </c>
      <c r="E15" s="35">
        <f t="shared" si="6"/>
        <v>7298.67</v>
      </c>
      <c r="F15" s="38">
        <v>1885.97</v>
      </c>
      <c r="G15" s="38">
        <v>1346.96</v>
      </c>
      <c r="H15" s="38">
        <v>1718.73</v>
      </c>
      <c r="I15" s="35">
        <f t="shared" si="7"/>
        <v>4951.66</v>
      </c>
      <c r="J15" s="38">
        <v>1889.36</v>
      </c>
      <c r="K15" s="38">
        <v>2167.34</v>
      </c>
      <c r="L15" s="38">
        <v>1831.73</v>
      </c>
      <c r="M15" s="35">
        <f t="shared" si="8"/>
        <v>5888.43</v>
      </c>
      <c r="N15" s="38">
        <v>1916.48</v>
      </c>
      <c r="O15" s="38">
        <v>971.8</v>
      </c>
      <c r="P15" s="38">
        <v>1007.96</v>
      </c>
      <c r="Q15" s="35">
        <f t="shared" si="9"/>
        <v>3896.24</v>
      </c>
      <c r="R15" s="72">
        <f t="shared" si="4"/>
        <v>22035</v>
      </c>
    </row>
    <row r="16" spans="1:18" ht="12.75" hidden="1" outlineLevel="3">
      <c r="A16" s="25" t="s">
        <v>18</v>
      </c>
      <c r="B16" s="62">
        <v>122.9</v>
      </c>
      <c r="C16" s="62">
        <v>320.37</v>
      </c>
      <c r="D16" s="62">
        <v>436.72</v>
      </c>
      <c r="E16" s="35">
        <f t="shared" si="6"/>
        <v>879.99</v>
      </c>
      <c r="F16" s="62">
        <v>414.6</v>
      </c>
      <c r="G16" s="62">
        <v>104.39</v>
      </c>
      <c r="H16" s="62">
        <v>93.3</v>
      </c>
      <c r="I16" s="35">
        <f t="shared" si="7"/>
        <v>612.29</v>
      </c>
      <c r="J16" s="62">
        <v>9.38</v>
      </c>
      <c r="K16" s="62">
        <v>14.1</v>
      </c>
      <c r="L16" s="62">
        <v>14.81</v>
      </c>
      <c r="M16" s="35">
        <f t="shared" si="8"/>
        <v>38.29</v>
      </c>
      <c r="N16" s="62">
        <v>23.24</v>
      </c>
      <c r="O16" s="62">
        <v>31.37</v>
      </c>
      <c r="P16" s="62">
        <v>99.48</v>
      </c>
      <c r="Q16" s="35">
        <f t="shared" si="9"/>
        <v>154.09</v>
      </c>
      <c r="R16" s="72">
        <f t="shared" si="4"/>
        <v>1684.6599999999999</v>
      </c>
    </row>
    <row r="17" spans="1:18" ht="12.75" hidden="1" outlineLevel="3">
      <c r="A17" s="23" t="s">
        <v>19</v>
      </c>
      <c r="B17" s="62">
        <v>21.39</v>
      </c>
      <c r="C17" s="62">
        <v>99.51</v>
      </c>
      <c r="D17" s="62">
        <v>195.3</v>
      </c>
      <c r="E17" s="35">
        <f t="shared" si="6"/>
        <v>316.20000000000005</v>
      </c>
      <c r="F17" s="38">
        <v>26.97</v>
      </c>
      <c r="G17" s="38">
        <v>14.88</v>
      </c>
      <c r="H17" s="38">
        <v>16.74</v>
      </c>
      <c r="I17" s="35">
        <f t="shared" si="7"/>
        <v>58.59</v>
      </c>
      <c r="J17" s="38">
        <v>10.23</v>
      </c>
      <c r="K17" s="38">
        <v>24.18</v>
      </c>
      <c r="L17" s="38">
        <v>15.81</v>
      </c>
      <c r="M17" s="35">
        <f t="shared" si="8"/>
        <v>50.22</v>
      </c>
      <c r="N17" s="38">
        <v>11.16</v>
      </c>
      <c r="O17" s="38">
        <v>10.23</v>
      </c>
      <c r="P17" s="38">
        <v>10.23</v>
      </c>
      <c r="Q17" s="35">
        <f t="shared" si="9"/>
        <v>31.62</v>
      </c>
      <c r="R17" s="72">
        <f t="shared" si="4"/>
        <v>456.63000000000005</v>
      </c>
    </row>
    <row r="18" spans="1:18" ht="12.75" hidden="1" outlineLevel="3">
      <c r="A18" s="23" t="s">
        <v>20</v>
      </c>
      <c r="B18" s="62">
        <f>1312+0.6+2.26</f>
        <v>1314.86</v>
      </c>
      <c r="C18" s="62">
        <f>1312+3.06+1372.95</f>
        <v>2688.01</v>
      </c>
      <c r="D18" s="62">
        <f>5.94+1904.05+1261</f>
        <v>3170.99</v>
      </c>
      <c r="E18" s="35">
        <f>SUM(B18:D18)</f>
        <v>7173.86</v>
      </c>
      <c r="F18" s="38">
        <f>1221+3.54+9.04</f>
        <v>1233.58</v>
      </c>
      <c r="G18" s="38">
        <v>937.5</v>
      </c>
      <c r="H18" s="38">
        <v>537</v>
      </c>
      <c r="I18" s="35">
        <f t="shared" si="7"/>
        <v>2708.08</v>
      </c>
      <c r="J18" s="38">
        <v>664</v>
      </c>
      <c r="K18" s="38">
        <v>1008</v>
      </c>
      <c r="L18" s="38">
        <v>627</v>
      </c>
      <c r="M18" s="35">
        <f t="shared" si="8"/>
        <v>2299</v>
      </c>
      <c r="N18" s="38">
        <v>864</v>
      </c>
      <c r="O18" s="38">
        <v>628</v>
      </c>
      <c r="P18" s="38">
        <v>541.5</v>
      </c>
      <c r="Q18" s="35">
        <f t="shared" si="9"/>
        <v>2033.5</v>
      </c>
      <c r="R18" s="72">
        <f t="shared" si="4"/>
        <v>14214.439999999999</v>
      </c>
    </row>
    <row r="19" spans="1:18" ht="12.75" hidden="1" outlineLevel="3">
      <c r="A19" s="23" t="s">
        <v>66</v>
      </c>
      <c r="B19" s="62"/>
      <c r="C19" s="62"/>
      <c r="D19" s="62"/>
      <c r="E19" s="35"/>
      <c r="F19" s="38"/>
      <c r="G19" s="38">
        <v>1.62</v>
      </c>
      <c r="H19" s="38">
        <f>1.13+0.84</f>
        <v>1.9699999999999998</v>
      </c>
      <c r="I19" s="35"/>
      <c r="J19" s="38">
        <v>1.68</v>
      </c>
      <c r="K19" s="38">
        <v>2.04</v>
      </c>
      <c r="L19" s="38"/>
      <c r="M19" s="35">
        <f t="shared" si="8"/>
        <v>3.7199999999999998</v>
      </c>
      <c r="N19" s="38"/>
      <c r="O19" s="38">
        <v>0.36</v>
      </c>
      <c r="P19" s="38">
        <v>0.84</v>
      </c>
      <c r="Q19" s="35"/>
      <c r="R19" s="72"/>
    </row>
    <row r="20" spans="1:22" ht="12.75" hidden="1" outlineLevel="3">
      <c r="A20" s="23" t="s">
        <v>21</v>
      </c>
      <c r="B20" s="62"/>
      <c r="C20" s="62"/>
      <c r="D20" s="62"/>
      <c r="E20" s="35">
        <f t="shared" si="6"/>
        <v>0</v>
      </c>
      <c r="F20" s="38"/>
      <c r="G20" s="38"/>
      <c r="H20" s="38"/>
      <c r="I20" s="35">
        <f t="shared" si="7"/>
        <v>0</v>
      </c>
      <c r="J20" s="38"/>
      <c r="K20" s="38"/>
      <c r="L20" s="38"/>
      <c r="M20" s="35">
        <f t="shared" si="8"/>
        <v>0</v>
      </c>
      <c r="N20" s="38"/>
      <c r="O20" s="38"/>
      <c r="P20" s="38"/>
      <c r="Q20" s="35">
        <f t="shared" si="9"/>
        <v>0</v>
      </c>
      <c r="R20" s="72">
        <f t="shared" si="4"/>
        <v>0</v>
      </c>
      <c r="V20">
        <f>IF(R20&gt;0,R20/R24,0)</f>
        <v>0</v>
      </c>
    </row>
    <row r="21" spans="1:18" ht="12.75" hidden="1" outlineLevel="3">
      <c r="A21" s="23" t="s">
        <v>22</v>
      </c>
      <c r="B21" s="62">
        <v>208.74</v>
      </c>
      <c r="C21" s="62">
        <v>183.18</v>
      </c>
      <c r="D21" s="75">
        <v>178.92</v>
      </c>
      <c r="E21" s="35">
        <f t="shared" si="6"/>
        <v>570.84</v>
      </c>
      <c r="F21" s="38">
        <v>673.08</v>
      </c>
      <c r="G21" s="38">
        <v>293.94</v>
      </c>
      <c r="H21" s="38">
        <v>276.9</v>
      </c>
      <c r="I21" s="35">
        <f t="shared" si="7"/>
        <v>1243.92</v>
      </c>
      <c r="J21" s="38">
        <v>332.28</v>
      </c>
      <c r="K21" s="38">
        <v>366.36</v>
      </c>
      <c r="L21" s="38">
        <v>357.84</v>
      </c>
      <c r="M21" s="35">
        <f t="shared" si="8"/>
        <v>1056.48</v>
      </c>
      <c r="N21" s="38">
        <v>664.56</v>
      </c>
      <c r="O21" s="38">
        <v>242.82</v>
      </c>
      <c r="P21" s="38">
        <v>285.42</v>
      </c>
      <c r="Q21" s="35">
        <f t="shared" si="9"/>
        <v>1192.8</v>
      </c>
      <c r="R21" s="72">
        <f t="shared" si="4"/>
        <v>4064.04</v>
      </c>
    </row>
    <row r="22" spans="1:18" ht="12.75" hidden="1" outlineLevel="3">
      <c r="A22" s="23" t="s">
        <v>61</v>
      </c>
      <c r="B22" s="62"/>
      <c r="C22" s="62"/>
      <c r="D22" s="62"/>
      <c r="E22" s="35">
        <f t="shared" si="6"/>
        <v>0</v>
      </c>
      <c r="F22" s="38"/>
      <c r="G22" s="38"/>
      <c r="H22" s="38"/>
      <c r="I22" s="35">
        <f t="shared" si="7"/>
        <v>0</v>
      </c>
      <c r="J22" s="38"/>
      <c r="K22" s="38"/>
      <c r="L22" s="38"/>
      <c r="M22" s="35">
        <f t="shared" si="8"/>
        <v>0</v>
      </c>
      <c r="N22" s="38"/>
      <c r="O22" s="38"/>
      <c r="P22" s="38"/>
      <c r="Q22" s="35">
        <f t="shared" si="9"/>
        <v>0</v>
      </c>
      <c r="R22" s="72">
        <f t="shared" si="4"/>
        <v>0</v>
      </c>
    </row>
    <row r="23" spans="1:18" s="70" customFormat="1" ht="12.75" hidden="1" outlineLevel="2">
      <c r="A23" s="22" t="s">
        <v>49</v>
      </c>
      <c r="B23" s="43">
        <f aca="true" t="shared" si="10" ref="B23:Q23">SUM(B13:B22)</f>
        <v>11344.75</v>
      </c>
      <c r="C23" s="43">
        <f t="shared" si="10"/>
        <v>12935.930000000002</v>
      </c>
      <c r="D23" s="43">
        <f t="shared" si="10"/>
        <v>13231.759999999998</v>
      </c>
      <c r="E23" s="43">
        <f t="shared" si="10"/>
        <v>37512.44</v>
      </c>
      <c r="F23" s="43">
        <f t="shared" si="10"/>
        <v>11352.599999999999</v>
      </c>
      <c r="G23" s="43">
        <f t="shared" si="10"/>
        <v>9856.33</v>
      </c>
      <c r="H23" s="43">
        <f t="shared" si="10"/>
        <v>9872.359999999999</v>
      </c>
      <c r="I23" s="43">
        <f t="shared" si="10"/>
        <v>31077.699999999997</v>
      </c>
      <c r="J23" s="43">
        <f t="shared" si="10"/>
        <v>10246.97</v>
      </c>
      <c r="K23" s="43">
        <f t="shared" si="10"/>
        <v>11024.540000000003</v>
      </c>
      <c r="L23" s="43">
        <f t="shared" si="10"/>
        <v>10393.869999999999</v>
      </c>
      <c r="M23" s="43">
        <f t="shared" si="10"/>
        <v>31665.380000000005</v>
      </c>
      <c r="N23" s="43">
        <f t="shared" si="10"/>
        <v>11088.279999999999</v>
      </c>
      <c r="O23" s="43">
        <f t="shared" si="10"/>
        <v>9496.18</v>
      </c>
      <c r="P23" s="43">
        <f t="shared" si="10"/>
        <v>9537.83</v>
      </c>
      <c r="Q23" s="43">
        <f t="shared" si="10"/>
        <v>30121.09</v>
      </c>
      <c r="R23" s="44">
        <f t="shared" si="4"/>
        <v>130376.61</v>
      </c>
    </row>
    <row r="24" spans="1:21" ht="13.5" outlineLevel="1" collapsed="1" thickBot="1">
      <c r="A24" s="26" t="s">
        <v>48</v>
      </c>
      <c r="B24" s="40">
        <f aca="true" t="shared" si="11" ref="B24:R24">B23+B12</f>
        <v>14644.75</v>
      </c>
      <c r="C24" s="40">
        <f t="shared" si="11"/>
        <v>13004.780000000002</v>
      </c>
      <c r="D24" s="40">
        <f t="shared" si="11"/>
        <v>13231.759999999998</v>
      </c>
      <c r="E24" s="39">
        <f t="shared" si="11"/>
        <v>40881.29</v>
      </c>
      <c r="F24" s="40">
        <f t="shared" si="11"/>
        <v>11352.599999999999</v>
      </c>
      <c r="G24" s="40">
        <f t="shared" si="11"/>
        <v>9856.33</v>
      </c>
      <c r="H24" s="40">
        <f t="shared" si="11"/>
        <v>10032.699999999999</v>
      </c>
      <c r="I24" s="39">
        <f t="shared" si="11"/>
        <v>31238.039999999997</v>
      </c>
      <c r="J24" s="40">
        <f t="shared" si="11"/>
        <v>10246.97</v>
      </c>
      <c r="K24" s="40">
        <f t="shared" si="11"/>
        <v>11024.540000000003</v>
      </c>
      <c r="L24" s="40">
        <f t="shared" si="11"/>
        <v>10554.06</v>
      </c>
      <c r="M24" s="39">
        <f t="shared" si="11"/>
        <v>31825.570000000003</v>
      </c>
      <c r="N24" s="40">
        <f t="shared" si="11"/>
        <v>11088.279999999999</v>
      </c>
      <c r="O24" s="40">
        <f t="shared" si="11"/>
        <v>9496.18</v>
      </c>
      <c r="P24" s="40">
        <f t="shared" si="11"/>
        <v>9537.83</v>
      </c>
      <c r="Q24" s="39">
        <f t="shared" si="11"/>
        <v>30121.09</v>
      </c>
      <c r="R24" s="41">
        <f t="shared" si="11"/>
        <v>134065.99</v>
      </c>
      <c r="S24" s="65">
        <f>((B13/0.12)+(C13/0.12)+(D13/0.12)+(F13/0.12)+(G13/0.12)+(H13/0.12)+(J13/0.12)+(K13/0.12)+(L13/0.12)+(N13/0.12)+(O13/0.12)+(P13/0.12))/12</f>
        <v>52804.25000000001</v>
      </c>
      <c r="T24" s="54">
        <f>IF(R24&gt;0,R24/S24,0)</f>
        <v>2.5389242343182596</v>
      </c>
      <c r="U24" s="66">
        <f>IF(R15&gt;0,R15/R24,0)</f>
        <v>0.16435935765662865</v>
      </c>
    </row>
    <row r="25" spans="1:18" ht="13.5" outlineLevel="1" thickTop="1">
      <c r="A25" s="16" t="s">
        <v>27</v>
      </c>
      <c r="B25" s="17"/>
      <c r="C25" s="17"/>
      <c r="D25" s="17"/>
      <c r="E25" s="14"/>
      <c r="F25" s="17"/>
      <c r="G25" s="17"/>
      <c r="H25" s="17"/>
      <c r="I25" s="14"/>
      <c r="J25" s="17"/>
      <c r="K25" s="17"/>
      <c r="L25" s="17"/>
      <c r="M25" s="14"/>
      <c r="N25" s="17"/>
      <c r="O25" s="17"/>
      <c r="P25" s="17"/>
      <c r="Q25" s="14"/>
      <c r="R25" s="27"/>
    </row>
    <row r="26" spans="1:18" ht="12.75" hidden="1" outlineLevel="3">
      <c r="A26" s="19" t="s">
        <v>40</v>
      </c>
      <c r="B26" s="62"/>
      <c r="C26" s="62"/>
      <c r="D26" s="62"/>
      <c r="E26" s="35">
        <f aca="true" t="shared" si="12" ref="E26:E33">SUM(B26:D26)</f>
        <v>0</v>
      </c>
      <c r="F26" s="38"/>
      <c r="G26" s="38"/>
      <c r="H26" s="38"/>
      <c r="I26" s="35">
        <f aca="true" t="shared" si="13" ref="I26:I33">SUM(F26:H26)</f>
        <v>0</v>
      </c>
      <c r="J26" s="38"/>
      <c r="K26" s="38"/>
      <c r="L26" s="38"/>
      <c r="M26" s="35">
        <f aca="true" t="shared" si="14" ref="M26:M33">SUM(J26:L26)</f>
        <v>0</v>
      </c>
      <c r="N26" s="38"/>
      <c r="O26" s="38"/>
      <c r="P26" s="38"/>
      <c r="Q26" s="35">
        <f aca="true" t="shared" si="15" ref="Q26:Q33">SUM(N26:P26)</f>
        <v>0</v>
      </c>
      <c r="R26" s="72">
        <f aca="true" t="shared" si="16" ref="R26:R45">Q26+M26+I26+E26</f>
        <v>0</v>
      </c>
    </row>
    <row r="27" spans="1:18" ht="12.75" hidden="1" outlineLevel="3">
      <c r="A27" s="19" t="s">
        <v>41</v>
      </c>
      <c r="B27" s="62"/>
      <c r="C27" s="62"/>
      <c r="D27" s="62"/>
      <c r="E27" s="35">
        <f t="shared" si="12"/>
        <v>0</v>
      </c>
      <c r="F27" s="38"/>
      <c r="G27" s="38"/>
      <c r="H27" s="38"/>
      <c r="I27" s="35">
        <f t="shared" si="13"/>
        <v>0</v>
      </c>
      <c r="J27" s="38"/>
      <c r="K27" s="38"/>
      <c r="L27" s="38"/>
      <c r="M27" s="35">
        <f t="shared" si="14"/>
        <v>0</v>
      </c>
      <c r="N27" s="38"/>
      <c r="O27" s="38"/>
      <c r="P27" s="38"/>
      <c r="Q27" s="35">
        <f t="shared" si="15"/>
        <v>0</v>
      </c>
      <c r="R27" s="72">
        <f t="shared" si="16"/>
        <v>0</v>
      </c>
    </row>
    <row r="28" spans="1:18" ht="12.75" hidden="1" outlineLevel="3">
      <c r="A28" s="19" t="s">
        <v>42</v>
      </c>
      <c r="B28" s="62"/>
      <c r="C28" s="62"/>
      <c r="D28" s="62"/>
      <c r="E28" s="35">
        <f t="shared" si="12"/>
        <v>0</v>
      </c>
      <c r="F28" s="38"/>
      <c r="G28" s="38"/>
      <c r="H28" s="38"/>
      <c r="I28" s="35">
        <f t="shared" si="13"/>
        <v>0</v>
      </c>
      <c r="J28" s="38"/>
      <c r="K28" s="38"/>
      <c r="L28" s="38"/>
      <c r="M28" s="35">
        <f t="shared" si="14"/>
        <v>0</v>
      </c>
      <c r="N28" s="38"/>
      <c r="O28" s="38"/>
      <c r="P28" s="38"/>
      <c r="Q28" s="35">
        <f t="shared" si="15"/>
        <v>0</v>
      </c>
      <c r="R28" s="72">
        <f t="shared" si="16"/>
        <v>0</v>
      </c>
    </row>
    <row r="29" spans="1:21" ht="12.75" hidden="1" outlineLevel="3">
      <c r="A29" s="19" t="s">
        <v>43</v>
      </c>
      <c r="B29" s="71"/>
      <c r="C29" s="62"/>
      <c r="D29" s="62"/>
      <c r="E29" s="35">
        <f t="shared" si="12"/>
        <v>0</v>
      </c>
      <c r="F29" s="38"/>
      <c r="G29" s="38"/>
      <c r="H29" s="38"/>
      <c r="I29" s="35">
        <f t="shared" si="13"/>
        <v>0</v>
      </c>
      <c r="J29" s="38"/>
      <c r="K29" s="38"/>
      <c r="L29" s="38"/>
      <c r="M29" s="35">
        <f t="shared" si="14"/>
        <v>0</v>
      </c>
      <c r="N29" s="38"/>
      <c r="O29" s="38"/>
      <c r="P29" s="38"/>
      <c r="Q29" s="35">
        <f t="shared" si="15"/>
        <v>0</v>
      </c>
      <c r="R29" s="72">
        <f t="shared" si="16"/>
        <v>0</v>
      </c>
      <c r="U29" s="66"/>
    </row>
    <row r="30" spans="1:18" ht="12.75" hidden="1" outlineLevel="3">
      <c r="A30" s="19" t="s">
        <v>44</v>
      </c>
      <c r="B30" s="62"/>
      <c r="C30" s="62"/>
      <c r="D30" s="62"/>
      <c r="E30" s="35">
        <f t="shared" si="12"/>
        <v>0</v>
      </c>
      <c r="F30" s="38"/>
      <c r="G30" s="38"/>
      <c r="H30" s="38"/>
      <c r="I30" s="35">
        <f t="shared" si="13"/>
        <v>0</v>
      </c>
      <c r="J30" s="38"/>
      <c r="K30" s="38"/>
      <c r="L30" s="38"/>
      <c r="M30" s="35">
        <f t="shared" si="14"/>
        <v>0</v>
      </c>
      <c r="N30" s="38"/>
      <c r="O30" s="38"/>
      <c r="P30" s="38"/>
      <c r="Q30" s="35">
        <f t="shared" si="15"/>
        <v>0</v>
      </c>
      <c r="R30" s="72">
        <f t="shared" si="16"/>
        <v>0</v>
      </c>
    </row>
    <row r="31" spans="1:18" ht="12.75" hidden="1" outlineLevel="3">
      <c r="A31" s="19" t="s">
        <v>45</v>
      </c>
      <c r="B31" s="62"/>
      <c r="C31" s="62"/>
      <c r="D31" s="62"/>
      <c r="E31" s="35">
        <f t="shared" si="12"/>
        <v>0</v>
      </c>
      <c r="F31" s="62"/>
      <c r="G31" s="62"/>
      <c r="H31" s="62"/>
      <c r="I31" s="35">
        <f t="shared" si="13"/>
        <v>0</v>
      </c>
      <c r="J31" s="62"/>
      <c r="K31" s="62"/>
      <c r="L31" s="62"/>
      <c r="M31" s="35">
        <f t="shared" si="14"/>
        <v>0</v>
      </c>
      <c r="N31" s="62"/>
      <c r="O31" s="62"/>
      <c r="P31" s="62"/>
      <c r="Q31" s="35">
        <f t="shared" si="15"/>
        <v>0</v>
      </c>
      <c r="R31" s="72">
        <f t="shared" si="16"/>
        <v>0</v>
      </c>
    </row>
    <row r="32" spans="1:18" ht="12.75" hidden="1" outlineLevel="3">
      <c r="A32" s="19" t="s">
        <v>46</v>
      </c>
      <c r="B32" s="62"/>
      <c r="C32" s="62"/>
      <c r="D32" s="62"/>
      <c r="E32" s="35">
        <f t="shared" si="12"/>
        <v>0</v>
      </c>
      <c r="F32" s="38"/>
      <c r="G32" s="38"/>
      <c r="H32" s="38"/>
      <c r="I32" s="35">
        <f t="shared" si="13"/>
        <v>0</v>
      </c>
      <c r="J32" s="38"/>
      <c r="K32" s="38"/>
      <c r="L32" s="38"/>
      <c r="M32" s="35">
        <f t="shared" si="14"/>
        <v>0</v>
      </c>
      <c r="N32" s="38"/>
      <c r="O32" s="38"/>
      <c r="P32" s="38"/>
      <c r="Q32" s="35">
        <f t="shared" si="15"/>
        <v>0</v>
      </c>
      <c r="R32" s="72">
        <f t="shared" si="16"/>
        <v>0</v>
      </c>
    </row>
    <row r="33" spans="1:18" ht="12.75" hidden="1" outlineLevel="3">
      <c r="A33" s="19" t="s">
        <v>58</v>
      </c>
      <c r="B33" s="62"/>
      <c r="C33" s="62">
        <f>385+4.99</f>
        <v>389.99</v>
      </c>
      <c r="D33" s="62"/>
      <c r="E33" s="35">
        <f t="shared" si="12"/>
        <v>389.99</v>
      </c>
      <c r="F33" s="38"/>
      <c r="G33" s="38"/>
      <c r="H33" s="38">
        <v>11.73</v>
      </c>
      <c r="I33" s="35">
        <f t="shared" si="13"/>
        <v>11.73</v>
      </c>
      <c r="J33" s="38"/>
      <c r="K33" s="38"/>
      <c r="L33" s="38">
        <v>11.47</v>
      </c>
      <c r="M33" s="35">
        <f t="shared" si="14"/>
        <v>11.47</v>
      </c>
      <c r="N33" s="38"/>
      <c r="O33" s="38"/>
      <c r="P33" s="38"/>
      <c r="Q33" s="35">
        <f t="shared" si="15"/>
        <v>0</v>
      </c>
      <c r="R33" s="72">
        <f t="shared" si="16"/>
        <v>413.19</v>
      </c>
    </row>
    <row r="34" spans="1:18" ht="12.75" hidden="1" outlineLevel="2">
      <c r="A34" s="22" t="s">
        <v>47</v>
      </c>
      <c r="B34" s="62">
        <f aca="true" t="shared" si="17" ref="B34:Q34">SUM(B26:B33)</f>
        <v>0</v>
      </c>
      <c r="C34" s="62">
        <f t="shared" si="17"/>
        <v>389.99</v>
      </c>
      <c r="D34" s="62">
        <f t="shared" si="17"/>
        <v>0</v>
      </c>
      <c r="E34" s="33">
        <f t="shared" si="17"/>
        <v>389.99</v>
      </c>
      <c r="F34" s="33">
        <f t="shared" si="17"/>
        <v>0</v>
      </c>
      <c r="G34" s="33">
        <f t="shared" si="17"/>
        <v>0</v>
      </c>
      <c r="H34" s="33">
        <f t="shared" si="17"/>
        <v>11.73</v>
      </c>
      <c r="I34" s="33">
        <f t="shared" si="17"/>
        <v>11.73</v>
      </c>
      <c r="J34" s="33">
        <f t="shared" si="17"/>
        <v>0</v>
      </c>
      <c r="K34" s="33">
        <f t="shared" si="17"/>
        <v>0</v>
      </c>
      <c r="L34" s="33">
        <f t="shared" si="17"/>
        <v>11.47</v>
      </c>
      <c r="M34" s="33">
        <f t="shared" si="17"/>
        <v>11.47</v>
      </c>
      <c r="N34" s="33">
        <f t="shared" si="17"/>
        <v>0</v>
      </c>
      <c r="O34" s="33">
        <f t="shared" si="17"/>
        <v>0</v>
      </c>
      <c r="P34" s="33">
        <f t="shared" si="17"/>
        <v>0</v>
      </c>
      <c r="Q34" s="33">
        <f t="shared" si="17"/>
        <v>0</v>
      </c>
      <c r="R34" s="72">
        <f t="shared" si="16"/>
        <v>413.19</v>
      </c>
    </row>
    <row r="35" spans="1:18" ht="12.75" hidden="1" outlineLevel="3">
      <c r="A35" s="23" t="s">
        <v>15</v>
      </c>
      <c r="B35" s="63">
        <v>446.4</v>
      </c>
      <c r="C35" s="63">
        <v>445.92</v>
      </c>
      <c r="D35" s="63">
        <v>445.44</v>
      </c>
      <c r="E35" s="35">
        <f aca="true" t="shared" si="18" ref="E35:E44">SUM(B35:D35)</f>
        <v>1337.76</v>
      </c>
      <c r="F35" s="37">
        <v>444.96</v>
      </c>
      <c r="G35" s="37">
        <v>451.08</v>
      </c>
      <c r="H35" s="37">
        <v>455.16</v>
      </c>
      <c r="I35" s="35">
        <f aca="true" t="shared" si="19" ref="I35:I44">SUM(F35:H35)</f>
        <v>1351.2</v>
      </c>
      <c r="J35" s="37">
        <v>458.04</v>
      </c>
      <c r="K35" s="37">
        <v>462</v>
      </c>
      <c r="L35" s="37">
        <v>468.36</v>
      </c>
      <c r="M35" s="35">
        <f aca="true" t="shared" si="20" ref="M35:M44">SUM(J35:L35)</f>
        <v>1388.4</v>
      </c>
      <c r="N35" s="37">
        <v>476.04</v>
      </c>
      <c r="O35" s="38">
        <v>474.84</v>
      </c>
      <c r="P35" s="38">
        <v>475.68</v>
      </c>
      <c r="Q35" s="35">
        <f aca="true" t="shared" si="21" ref="Q35:Q44">SUM(N35:P35)</f>
        <v>1426.56</v>
      </c>
      <c r="R35" s="34">
        <f t="shared" si="16"/>
        <v>5503.92</v>
      </c>
    </row>
    <row r="36" spans="1:18" ht="12.75" hidden="1" outlineLevel="3">
      <c r="A36" s="23" t="s">
        <v>16</v>
      </c>
      <c r="B36" s="63">
        <v>88</v>
      </c>
      <c r="C36" s="63">
        <v>88</v>
      </c>
      <c r="D36" s="62">
        <v>88</v>
      </c>
      <c r="E36" s="35">
        <f t="shared" si="18"/>
        <v>264</v>
      </c>
      <c r="F36" s="62">
        <v>88</v>
      </c>
      <c r="G36" s="62">
        <v>88</v>
      </c>
      <c r="H36" s="62">
        <v>88</v>
      </c>
      <c r="I36" s="35">
        <f t="shared" si="19"/>
        <v>264</v>
      </c>
      <c r="J36" s="62">
        <v>88</v>
      </c>
      <c r="K36" s="62">
        <v>88</v>
      </c>
      <c r="L36" s="62">
        <v>88</v>
      </c>
      <c r="M36" s="35">
        <f t="shared" si="20"/>
        <v>264</v>
      </c>
      <c r="N36" s="62">
        <v>88</v>
      </c>
      <c r="O36" s="62">
        <v>88</v>
      </c>
      <c r="P36" s="62">
        <v>88</v>
      </c>
      <c r="Q36" s="35">
        <f t="shared" si="21"/>
        <v>264</v>
      </c>
      <c r="R36" s="34">
        <f t="shared" si="16"/>
        <v>1056</v>
      </c>
    </row>
    <row r="37" spans="1:18" ht="12.75" hidden="1" outlineLevel="3">
      <c r="A37" s="23" t="s">
        <v>17</v>
      </c>
      <c r="B37" s="63">
        <v>205.66</v>
      </c>
      <c r="C37" s="63">
        <v>435.05</v>
      </c>
      <c r="D37" s="63">
        <v>128.82</v>
      </c>
      <c r="E37" s="35">
        <f t="shared" si="18"/>
        <v>769.53</v>
      </c>
      <c r="F37" s="37">
        <v>256.51</v>
      </c>
      <c r="G37" s="37">
        <v>129.95</v>
      </c>
      <c r="H37" s="37">
        <v>170.63</v>
      </c>
      <c r="I37" s="35">
        <f t="shared" si="19"/>
        <v>557.0899999999999</v>
      </c>
      <c r="J37" s="37">
        <v>190.97</v>
      </c>
      <c r="K37" s="37">
        <v>207.92</v>
      </c>
      <c r="L37" s="37">
        <v>174.02</v>
      </c>
      <c r="M37" s="35">
        <f t="shared" si="20"/>
        <v>572.91</v>
      </c>
      <c r="N37" s="37">
        <v>245.21</v>
      </c>
      <c r="O37" s="38">
        <v>105.09</v>
      </c>
      <c r="P37" s="38">
        <v>109.61</v>
      </c>
      <c r="Q37" s="35">
        <f t="shared" si="21"/>
        <v>459.91</v>
      </c>
      <c r="R37" s="34">
        <f t="shared" si="16"/>
        <v>2359.4399999999996</v>
      </c>
    </row>
    <row r="38" spans="1:18" ht="12.75" hidden="1" outlineLevel="3">
      <c r="A38" s="25" t="s">
        <v>18</v>
      </c>
      <c r="B38" s="63">
        <v>8.79</v>
      </c>
      <c r="C38" s="63">
        <v>22.9</v>
      </c>
      <c r="D38" s="63">
        <v>31.7</v>
      </c>
      <c r="E38" s="35">
        <f t="shared" si="18"/>
        <v>63.39</v>
      </c>
      <c r="F38" s="37">
        <v>30.09</v>
      </c>
      <c r="G38" s="37">
        <v>7.58</v>
      </c>
      <c r="H38" s="37">
        <v>6.77</v>
      </c>
      <c r="I38" s="35">
        <f t="shared" si="19"/>
        <v>44.44</v>
      </c>
      <c r="J38" s="37">
        <v>6.85</v>
      </c>
      <c r="K38" s="37">
        <v>10.29</v>
      </c>
      <c r="L38" s="37">
        <v>10.81</v>
      </c>
      <c r="M38" s="35">
        <f t="shared" si="20"/>
        <v>27.950000000000003</v>
      </c>
      <c r="N38" s="37">
        <v>16.96</v>
      </c>
      <c r="O38" s="38">
        <v>22.89</v>
      </c>
      <c r="P38" s="38">
        <v>72.59</v>
      </c>
      <c r="Q38" s="35">
        <f t="shared" si="21"/>
        <v>112.44</v>
      </c>
      <c r="R38" s="34">
        <f t="shared" si="16"/>
        <v>248.21999999999997</v>
      </c>
    </row>
    <row r="39" spans="1:18" ht="12.75" hidden="1" outlineLevel="3">
      <c r="A39" s="23" t="s">
        <v>19</v>
      </c>
      <c r="B39" s="63">
        <v>0.93</v>
      </c>
      <c r="C39" s="63">
        <v>3.72</v>
      </c>
      <c r="D39" s="63">
        <v>2.79</v>
      </c>
      <c r="E39" s="35">
        <f t="shared" si="18"/>
        <v>7.44</v>
      </c>
      <c r="F39" s="37">
        <v>1.86</v>
      </c>
      <c r="G39" s="37"/>
      <c r="H39" s="37">
        <v>0.93</v>
      </c>
      <c r="I39" s="35">
        <f t="shared" si="19"/>
        <v>2.79</v>
      </c>
      <c r="J39" s="37">
        <v>0.93</v>
      </c>
      <c r="K39" s="37">
        <v>1.86</v>
      </c>
      <c r="L39" s="37">
        <v>0.93</v>
      </c>
      <c r="M39" s="35">
        <f t="shared" si="20"/>
        <v>3.72</v>
      </c>
      <c r="N39" s="37"/>
      <c r="O39" s="38"/>
      <c r="P39" s="38"/>
      <c r="Q39" s="35">
        <f t="shared" si="21"/>
        <v>0</v>
      </c>
      <c r="R39" s="34">
        <f t="shared" si="16"/>
        <v>13.95</v>
      </c>
    </row>
    <row r="40" spans="1:18" ht="12.75" hidden="1" outlineLevel="3">
      <c r="A40" s="23" t="s">
        <v>20</v>
      </c>
      <c r="B40" s="63">
        <v>143</v>
      </c>
      <c r="C40" s="63">
        <f>143+0.18+70.06</f>
        <v>213.24</v>
      </c>
      <c r="D40" s="76">
        <f>82+0.18+105.09</f>
        <v>187.27</v>
      </c>
      <c r="E40" s="35">
        <f t="shared" si="18"/>
        <v>543.51</v>
      </c>
      <c r="F40" s="37">
        <f>183.5+0.18</f>
        <v>183.68</v>
      </c>
      <c r="G40" s="37">
        <v>91</v>
      </c>
      <c r="H40" s="37">
        <v>60</v>
      </c>
      <c r="I40" s="35">
        <f t="shared" si="19"/>
        <v>334.68</v>
      </c>
      <c r="J40" s="37">
        <v>138</v>
      </c>
      <c r="K40" s="37">
        <v>96</v>
      </c>
      <c r="L40" s="37">
        <v>67</v>
      </c>
      <c r="M40" s="35">
        <f t="shared" si="20"/>
        <v>301</v>
      </c>
      <c r="N40" s="37">
        <v>103</v>
      </c>
      <c r="O40" s="38">
        <v>49.5</v>
      </c>
      <c r="P40" s="38">
        <v>43</v>
      </c>
      <c r="Q40" s="35">
        <f t="shared" si="21"/>
        <v>195.5</v>
      </c>
      <c r="R40" s="34">
        <f t="shared" si="16"/>
        <v>1374.69</v>
      </c>
    </row>
    <row r="41" spans="1:18" ht="12.75" hidden="1" outlineLevel="3">
      <c r="A41" s="23" t="s">
        <v>66</v>
      </c>
      <c r="B41" s="63"/>
      <c r="C41" s="63"/>
      <c r="D41" s="76"/>
      <c r="E41" s="35"/>
      <c r="F41" s="37"/>
      <c r="G41" s="37"/>
      <c r="H41" s="37"/>
      <c r="I41" s="35"/>
      <c r="J41" s="37"/>
      <c r="K41" s="37"/>
      <c r="L41" s="37"/>
      <c r="M41" s="35"/>
      <c r="N41" s="37"/>
      <c r="O41" s="38"/>
      <c r="P41" s="38"/>
      <c r="Q41" s="35"/>
      <c r="R41" s="34"/>
    </row>
    <row r="42" spans="1:18" ht="12.75" hidden="1" outlineLevel="3">
      <c r="A42" s="23" t="s">
        <v>21</v>
      </c>
      <c r="B42" s="63"/>
      <c r="C42" s="63"/>
      <c r="D42" s="63"/>
      <c r="E42" s="35">
        <f t="shared" si="18"/>
        <v>0</v>
      </c>
      <c r="F42" s="37"/>
      <c r="G42" s="37"/>
      <c r="H42" s="37"/>
      <c r="I42" s="35">
        <f t="shared" si="19"/>
        <v>0</v>
      </c>
      <c r="J42" s="37"/>
      <c r="K42" s="37"/>
      <c r="L42" s="37"/>
      <c r="M42" s="35">
        <f t="shared" si="20"/>
        <v>0</v>
      </c>
      <c r="N42" s="37"/>
      <c r="O42" s="38"/>
      <c r="P42" s="38"/>
      <c r="Q42" s="35">
        <f t="shared" si="21"/>
        <v>0</v>
      </c>
      <c r="R42" s="34">
        <f t="shared" si="16"/>
        <v>0</v>
      </c>
    </row>
    <row r="43" spans="1:18" ht="12.75" hidden="1" outlineLevel="3">
      <c r="A43" s="23" t="s">
        <v>22</v>
      </c>
      <c r="B43" s="63">
        <v>12.78</v>
      </c>
      <c r="C43" s="63">
        <v>12.78</v>
      </c>
      <c r="D43" s="63">
        <v>17.04</v>
      </c>
      <c r="E43" s="35">
        <f t="shared" si="18"/>
        <v>42.599999999999994</v>
      </c>
      <c r="F43" s="37">
        <v>42.6</v>
      </c>
      <c r="G43" s="37"/>
      <c r="H43" s="37">
        <v>21.3</v>
      </c>
      <c r="I43" s="35">
        <f t="shared" si="19"/>
        <v>63.900000000000006</v>
      </c>
      <c r="J43" s="37">
        <v>8.52</v>
      </c>
      <c r="K43" s="37">
        <v>51.12</v>
      </c>
      <c r="L43" s="37">
        <v>34.08</v>
      </c>
      <c r="M43" s="35">
        <f t="shared" si="20"/>
        <v>93.72</v>
      </c>
      <c r="N43" s="37">
        <v>38.34</v>
      </c>
      <c r="O43" s="38">
        <v>29.82</v>
      </c>
      <c r="P43" s="38">
        <v>4.26</v>
      </c>
      <c r="Q43" s="35">
        <f t="shared" si="21"/>
        <v>72.42</v>
      </c>
      <c r="R43" s="34">
        <f t="shared" si="16"/>
        <v>272.64</v>
      </c>
    </row>
    <row r="44" spans="1:18" ht="12.75" hidden="1" outlineLevel="3">
      <c r="A44" s="23" t="s">
        <v>61</v>
      </c>
      <c r="B44" s="63"/>
      <c r="C44" s="63"/>
      <c r="D44" s="62"/>
      <c r="E44" s="35">
        <f t="shared" si="18"/>
        <v>0</v>
      </c>
      <c r="F44" s="38"/>
      <c r="G44" s="38"/>
      <c r="H44" s="38"/>
      <c r="I44" s="35">
        <f t="shared" si="19"/>
        <v>0</v>
      </c>
      <c r="J44" s="38"/>
      <c r="K44" s="38"/>
      <c r="L44" s="38"/>
      <c r="M44" s="35">
        <f t="shared" si="20"/>
        <v>0</v>
      </c>
      <c r="N44" s="38"/>
      <c r="O44" s="38"/>
      <c r="P44" s="38"/>
      <c r="Q44" s="35">
        <f t="shared" si="21"/>
        <v>0</v>
      </c>
      <c r="R44" s="34">
        <f t="shared" si="16"/>
        <v>0</v>
      </c>
    </row>
    <row r="45" spans="1:18" ht="12.75" hidden="1" outlineLevel="2">
      <c r="A45" s="22" t="s">
        <v>50</v>
      </c>
      <c r="B45" s="43">
        <f aca="true" t="shared" si="22" ref="B45:Q45">SUM(B35:B44)</f>
        <v>905.5599999999998</v>
      </c>
      <c r="C45" s="43">
        <f t="shared" si="22"/>
        <v>1221.61</v>
      </c>
      <c r="D45" s="43">
        <f t="shared" si="22"/>
        <v>901.06</v>
      </c>
      <c r="E45" s="43">
        <f t="shared" si="22"/>
        <v>3028.23</v>
      </c>
      <c r="F45" s="43">
        <f t="shared" si="22"/>
        <v>1047.7</v>
      </c>
      <c r="G45" s="43">
        <f t="shared" si="22"/>
        <v>767.61</v>
      </c>
      <c r="H45" s="43">
        <f t="shared" si="22"/>
        <v>802.79</v>
      </c>
      <c r="I45" s="43">
        <f t="shared" si="22"/>
        <v>2618.1</v>
      </c>
      <c r="J45" s="43">
        <f t="shared" si="22"/>
        <v>891.31</v>
      </c>
      <c r="K45" s="43">
        <f t="shared" si="22"/>
        <v>917.1899999999999</v>
      </c>
      <c r="L45" s="43">
        <f t="shared" si="22"/>
        <v>843.1999999999999</v>
      </c>
      <c r="M45" s="43">
        <f t="shared" si="22"/>
        <v>2651.6999999999994</v>
      </c>
      <c r="N45" s="43">
        <f t="shared" si="22"/>
        <v>967.5500000000001</v>
      </c>
      <c r="O45" s="43">
        <f t="shared" si="22"/>
        <v>770.14</v>
      </c>
      <c r="P45" s="43">
        <f t="shared" si="22"/>
        <v>793.1400000000001</v>
      </c>
      <c r="Q45" s="43">
        <f t="shared" si="22"/>
        <v>2530.83</v>
      </c>
      <c r="R45" s="44">
        <f t="shared" si="16"/>
        <v>10828.859999999999</v>
      </c>
    </row>
    <row r="46" spans="1:21" ht="13.5" outlineLevel="1" collapsed="1" thickBot="1">
      <c r="A46" s="26" t="s">
        <v>48</v>
      </c>
      <c r="B46" s="40">
        <f aca="true" t="shared" si="23" ref="B46:R46">B45+B34</f>
        <v>905.5599999999998</v>
      </c>
      <c r="C46" s="40">
        <f t="shared" si="23"/>
        <v>1611.6</v>
      </c>
      <c r="D46" s="40">
        <f t="shared" si="23"/>
        <v>901.06</v>
      </c>
      <c r="E46" s="39">
        <f t="shared" si="23"/>
        <v>3418.2200000000003</v>
      </c>
      <c r="F46" s="40">
        <f t="shared" si="23"/>
        <v>1047.7</v>
      </c>
      <c r="G46" s="40">
        <f t="shared" si="23"/>
        <v>767.61</v>
      </c>
      <c r="H46" s="40">
        <f t="shared" si="23"/>
        <v>814.52</v>
      </c>
      <c r="I46" s="39">
        <f t="shared" si="23"/>
        <v>2629.83</v>
      </c>
      <c r="J46" s="40">
        <f t="shared" si="23"/>
        <v>891.31</v>
      </c>
      <c r="K46" s="40">
        <f t="shared" si="23"/>
        <v>917.1899999999999</v>
      </c>
      <c r="L46" s="40">
        <f t="shared" si="23"/>
        <v>854.67</v>
      </c>
      <c r="M46" s="39">
        <f t="shared" si="23"/>
        <v>2663.169999999999</v>
      </c>
      <c r="N46" s="40">
        <f t="shared" si="23"/>
        <v>967.5500000000001</v>
      </c>
      <c r="O46" s="40">
        <f t="shared" si="23"/>
        <v>770.14</v>
      </c>
      <c r="P46" s="40">
        <f t="shared" si="23"/>
        <v>793.1400000000001</v>
      </c>
      <c r="Q46" s="39">
        <f t="shared" si="23"/>
        <v>2530.83</v>
      </c>
      <c r="R46" s="41">
        <f t="shared" si="23"/>
        <v>11242.05</v>
      </c>
      <c r="S46" s="65">
        <f>((B35/0.12)+(C35/0.12)+(D35/0.12)+(F35/0.12)+(G35/0.12)+(H35/0.12)+(J35/0.12)+(K35/0.12)+(L35/0.12)+(N35/0.12)+(O35/0.12)+(P35/0.12))/12</f>
        <v>3822.1666666666665</v>
      </c>
      <c r="T46" s="54">
        <f>IF(R46&gt;0,R46/S46,0)</f>
        <v>2.9412767627436445</v>
      </c>
      <c r="U46" s="66">
        <f>IF(R37&gt;0,R37/R46,0)</f>
        <v>0.20987631259423323</v>
      </c>
    </row>
    <row r="47" spans="1:18" ht="13.5" outlineLevel="1" thickTop="1">
      <c r="A47" s="16" t="s">
        <v>28</v>
      </c>
      <c r="B47" s="17"/>
      <c r="C47" s="17"/>
      <c r="D47" s="17"/>
      <c r="E47" s="14"/>
      <c r="F47" s="17"/>
      <c r="G47" s="17"/>
      <c r="H47" s="17"/>
      <c r="I47" s="14"/>
      <c r="J47" s="17"/>
      <c r="K47" s="17"/>
      <c r="L47" s="17"/>
      <c r="M47" s="14"/>
      <c r="N47" s="17"/>
      <c r="O47" s="17"/>
      <c r="P47" s="17"/>
      <c r="Q47" s="14"/>
      <c r="R47" s="27"/>
    </row>
    <row r="48" spans="1:18" ht="12.75" hidden="1" outlineLevel="3">
      <c r="A48" s="19" t="s">
        <v>40</v>
      </c>
      <c r="B48" s="20"/>
      <c r="C48" s="20"/>
      <c r="D48" s="20"/>
      <c r="E48" s="67">
        <f aca="true" t="shared" si="24" ref="E48:E55">SUM(B48:D48)</f>
        <v>0</v>
      </c>
      <c r="F48" s="20"/>
      <c r="G48" s="20"/>
      <c r="H48" s="20"/>
      <c r="I48" s="67">
        <f aca="true" t="shared" si="25" ref="I48:I55">SUM(F48:H48)</f>
        <v>0</v>
      </c>
      <c r="J48" s="20"/>
      <c r="K48" s="20"/>
      <c r="L48" s="20"/>
      <c r="M48" s="67">
        <f aca="true" t="shared" si="26" ref="M48:M55">SUM(J48:L48)</f>
        <v>0</v>
      </c>
      <c r="N48" s="20"/>
      <c r="O48" s="20"/>
      <c r="P48" s="20"/>
      <c r="Q48" s="67">
        <f aca="true" t="shared" si="27" ref="Q48:Q55">SUM(N48:P48)</f>
        <v>0</v>
      </c>
      <c r="R48" s="21">
        <f aca="true" t="shared" si="28" ref="R48:R67">Q48+M48+I48+E48</f>
        <v>0</v>
      </c>
    </row>
    <row r="49" spans="1:18" ht="12.75" hidden="1" outlineLevel="3">
      <c r="A49" s="19" t="s">
        <v>41</v>
      </c>
      <c r="B49" s="20"/>
      <c r="C49" s="20"/>
      <c r="D49" s="20"/>
      <c r="E49" s="67">
        <f t="shared" si="24"/>
        <v>0</v>
      </c>
      <c r="F49" s="20"/>
      <c r="G49" s="20"/>
      <c r="H49" s="20"/>
      <c r="I49" s="67">
        <f t="shared" si="25"/>
        <v>0</v>
      </c>
      <c r="J49" s="20"/>
      <c r="K49" s="20"/>
      <c r="L49" s="20"/>
      <c r="M49" s="67">
        <f t="shared" si="26"/>
        <v>0</v>
      </c>
      <c r="N49" s="20"/>
      <c r="O49" s="20"/>
      <c r="P49" s="20"/>
      <c r="Q49" s="67">
        <f t="shared" si="27"/>
        <v>0</v>
      </c>
      <c r="R49" s="21">
        <f t="shared" si="28"/>
        <v>0</v>
      </c>
    </row>
    <row r="50" spans="1:18" ht="12.75" hidden="1" outlineLevel="3">
      <c r="A50" s="19" t="s">
        <v>42</v>
      </c>
      <c r="B50" s="20"/>
      <c r="C50" s="20"/>
      <c r="D50" s="20"/>
      <c r="E50" s="67">
        <f t="shared" si="24"/>
        <v>0</v>
      </c>
      <c r="F50" s="20"/>
      <c r="G50" s="20"/>
      <c r="H50" s="20"/>
      <c r="I50" s="67">
        <f t="shared" si="25"/>
        <v>0</v>
      </c>
      <c r="J50" s="20"/>
      <c r="K50" s="20"/>
      <c r="L50" s="20"/>
      <c r="M50" s="67">
        <f t="shared" si="26"/>
        <v>0</v>
      </c>
      <c r="N50" s="20"/>
      <c r="O50" s="20"/>
      <c r="P50" s="20"/>
      <c r="Q50" s="67">
        <f t="shared" si="27"/>
        <v>0</v>
      </c>
      <c r="R50" s="21">
        <f t="shared" si="28"/>
        <v>0</v>
      </c>
    </row>
    <row r="51" spans="1:18" ht="12.75" hidden="1" outlineLevel="3">
      <c r="A51" s="19" t="s">
        <v>43</v>
      </c>
      <c r="B51" s="20"/>
      <c r="C51" s="20"/>
      <c r="D51" s="20"/>
      <c r="E51" s="67">
        <f t="shared" si="24"/>
        <v>0</v>
      </c>
      <c r="F51" s="20"/>
      <c r="G51" s="20"/>
      <c r="H51" s="20"/>
      <c r="I51" s="67">
        <f t="shared" si="25"/>
        <v>0</v>
      </c>
      <c r="J51" s="20"/>
      <c r="K51" s="20"/>
      <c r="L51" s="20"/>
      <c r="M51" s="67">
        <f t="shared" si="26"/>
        <v>0</v>
      </c>
      <c r="N51" s="20"/>
      <c r="O51" s="20"/>
      <c r="P51" s="20"/>
      <c r="Q51" s="67">
        <f t="shared" si="27"/>
        <v>0</v>
      </c>
      <c r="R51" s="21">
        <f t="shared" si="28"/>
        <v>0</v>
      </c>
    </row>
    <row r="52" spans="1:18" ht="12.75" hidden="1" outlineLevel="3">
      <c r="A52" s="19" t="s">
        <v>44</v>
      </c>
      <c r="B52" s="20"/>
      <c r="C52" s="20"/>
      <c r="D52" s="20"/>
      <c r="E52" s="67">
        <f t="shared" si="24"/>
        <v>0</v>
      </c>
      <c r="F52" s="20"/>
      <c r="G52" s="20"/>
      <c r="H52" s="20"/>
      <c r="I52" s="67">
        <f t="shared" si="25"/>
        <v>0</v>
      </c>
      <c r="J52" s="20"/>
      <c r="K52" s="20"/>
      <c r="L52" s="20"/>
      <c r="M52" s="67">
        <f t="shared" si="26"/>
        <v>0</v>
      </c>
      <c r="N52" s="20"/>
      <c r="O52" s="20"/>
      <c r="P52" s="20"/>
      <c r="Q52" s="67">
        <f t="shared" si="27"/>
        <v>0</v>
      </c>
      <c r="R52" s="21">
        <f t="shared" si="28"/>
        <v>0</v>
      </c>
    </row>
    <row r="53" spans="1:18" ht="12.75" hidden="1" outlineLevel="3">
      <c r="A53" s="19" t="s">
        <v>45</v>
      </c>
      <c r="B53" s="62"/>
      <c r="C53" s="62"/>
      <c r="D53" s="62"/>
      <c r="E53" s="35">
        <f t="shared" si="24"/>
        <v>0</v>
      </c>
      <c r="F53" s="62"/>
      <c r="G53" s="62"/>
      <c r="H53" s="62"/>
      <c r="I53" s="35">
        <f t="shared" si="25"/>
        <v>0</v>
      </c>
      <c r="J53" s="62"/>
      <c r="K53" s="62"/>
      <c r="L53" s="62"/>
      <c r="M53" s="35">
        <f t="shared" si="26"/>
        <v>0</v>
      </c>
      <c r="N53" s="62"/>
      <c r="O53" s="62"/>
      <c r="P53" s="62"/>
      <c r="Q53" s="35">
        <f t="shared" si="27"/>
        <v>0</v>
      </c>
      <c r="R53" s="34">
        <f t="shared" si="28"/>
        <v>0</v>
      </c>
    </row>
    <row r="54" spans="1:18" ht="12.75" hidden="1" outlineLevel="3">
      <c r="A54" s="19" t="s">
        <v>46</v>
      </c>
      <c r="B54" s="20"/>
      <c r="C54" s="20"/>
      <c r="D54" s="20"/>
      <c r="E54" s="67">
        <f t="shared" si="24"/>
        <v>0</v>
      </c>
      <c r="F54" s="20"/>
      <c r="G54" s="20"/>
      <c r="H54" s="20"/>
      <c r="I54" s="67">
        <f t="shared" si="25"/>
        <v>0</v>
      </c>
      <c r="J54" s="20"/>
      <c r="K54" s="20"/>
      <c r="L54" s="20"/>
      <c r="M54" s="67">
        <f t="shared" si="26"/>
        <v>0</v>
      </c>
      <c r="N54" s="20"/>
      <c r="O54" s="20"/>
      <c r="P54" s="20"/>
      <c r="Q54" s="67">
        <f t="shared" si="27"/>
        <v>0</v>
      </c>
      <c r="R54" s="21">
        <f t="shared" si="28"/>
        <v>0</v>
      </c>
    </row>
    <row r="55" spans="1:18" ht="12.75" hidden="1" outlineLevel="3">
      <c r="A55" s="19" t="s">
        <v>58</v>
      </c>
      <c r="B55" s="62"/>
      <c r="C55" s="62">
        <v>8.45</v>
      </c>
      <c r="D55" s="62"/>
      <c r="E55" s="59">
        <f t="shared" si="24"/>
        <v>8.45</v>
      </c>
      <c r="F55" s="52"/>
      <c r="G55" s="52"/>
      <c r="H55" s="52">
        <v>19.13</v>
      </c>
      <c r="I55" s="59">
        <f t="shared" si="25"/>
        <v>19.13</v>
      </c>
      <c r="J55" s="52"/>
      <c r="K55" s="52"/>
      <c r="L55" s="52">
        <v>18.42</v>
      </c>
      <c r="M55" s="59">
        <f t="shared" si="26"/>
        <v>18.42</v>
      </c>
      <c r="N55" s="52"/>
      <c r="O55" s="52"/>
      <c r="P55" s="52"/>
      <c r="Q55" s="59">
        <f t="shared" si="27"/>
        <v>0</v>
      </c>
      <c r="R55" s="60">
        <f t="shared" si="28"/>
        <v>46</v>
      </c>
    </row>
    <row r="56" spans="1:18" ht="12.75" hidden="1" outlineLevel="2">
      <c r="A56" s="22" t="s">
        <v>47</v>
      </c>
      <c r="B56" s="63">
        <f aca="true" t="shared" si="29" ref="B56:Q56">SUM(B48:B55)</f>
        <v>0</v>
      </c>
      <c r="C56" s="63">
        <f t="shared" si="29"/>
        <v>8.45</v>
      </c>
      <c r="D56" s="63">
        <f t="shared" si="29"/>
        <v>0</v>
      </c>
      <c r="E56" s="33">
        <f t="shared" si="29"/>
        <v>8.45</v>
      </c>
      <c r="F56" s="33">
        <f t="shared" si="29"/>
        <v>0</v>
      </c>
      <c r="G56" s="33">
        <f t="shared" si="29"/>
        <v>0</v>
      </c>
      <c r="H56" s="33">
        <f t="shared" si="29"/>
        <v>19.13</v>
      </c>
      <c r="I56" s="33">
        <f t="shared" si="29"/>
        <v>19.13</v>
      </c>
      <c r="J56" s="33">
        <f t="shared" si="29"/>
        <v>0</v>
      </c>
      <c r="K56" s="33">
        <f t="shared" si="29"/>
        <v>0</v>
      </c>
      <c r="L56" s="33">
        <f t="shared" si="29"/>
        <v>18.42</v>
      </c>
      <c r="M56" s="33">
        <f t="shared" si="29"/>
        <v>18.42</v>
      </c>
      <c r="N56" s="33">
        <f t="shared" si="29"/>
        <v>0</v>
      </c>
      <c r="O56" s="33">
        <f t="shared" si="29"/>
        <v>0</v>
      </c>
      <c r="P56" s="33">
        <f t="shared" si="29"/>
        <v>0</v>
      </c>
      <c r="Q56" s="33">
        <f t="shared" si="29"/>
        <v>0</v>
      </c>
      <c r="R56" s="34">
        <f t="shared" si="28"/>
        <v>46</v>
      </c>
    </row>
    <row r="57" spans="1:20" ht="12.75" hidden="1" outlineLevel="3">
      <c r="A57" s="23" t="s">
        <v>15</v>
      </c>
      <c r="B57" s="63">
        <v>730.56</v>
      </c>
      <c r="C57" s="63">
        <v>730.8</v>
      </c>
      <c r="D57" s="63">
        <v>730.56</v>
      </c>
      <c r="E57" s="35">
        <f aca="true" t="shared" si="30" ref="E57:E66">SUM(B57:D57)</f>
        <v>2191.92</v>
      </c>
      <c r="F57" s="37">
        <v>733.2</v>
      </c>
      <c r="G57" s="37">
        <v>735.72</v>
      </c>
      <c r="H57" s="37">
        <v>736.92</v>
      </c>
      <c r="I57" s="35">
        <f aca="true" t="shared" si="31" ref="I57:I66">SUM(F57:H57)</f>
        <v>2205.84</v>
      </c>
      <c r="J57" s="37">
        <v>739.08</v>
      </c>
      <c r="K57" s="37">
        <v>741.84</v>
      </c>
      <c r="L57" s="37">
        <v>761.04</v>
      </c>
      <c r="M57" s="35">
        <f aca="true" t="shared" si="32" ref="M57:M66">SUM(J57:L57)</f>
        <v>2241.96</v>
      </c>
      <c r="N57" s="37">
        <v>784.68</v>
      </c>
      <c r="O57" s="37">
        <v>786.24</v>
      </c>
      <c r="P57" s="38">
        <v>780.96</v>
      </c>
      <c r="Q57" s="35">
        <f aca="true" t="shared" si="33" ref="Q57:Q66">SUM(N57:P57)</f>
        <v>2351.88</v>
      </c>
      <c r="R57" s="34">
        <f t="shared" si="28"/>
        <v>8991.6</v>
      </c>
      <c r="T57" s="54"/>
    </row>
    <row r="58" spans="1:18" ht="12.75" hidden="1" outlineLevel="3">
      <c r="A58" s="23" t="s">
        <v>51</v>
      </c>
      <c r="B58" s="63">
        <v>132</v>
      </c>
      <c r="C58" s="63">
        <v>132</v>
      </c>
      <c r="D58" s="63">
        <v>132</v>
      </c>
      <c r="E58" s="35">
        <f t="shared" si="30"/>
        <v>396</v>
      </c>
      <c r="F58" s="37">
        <v>132</v>
      </c>
      <c r="G58" s="37">
        <v>132</v>
      </c>
      <c r="H58" s="37">
        <v>132</v>
      </c>
      <c r="I58" s="35">
        <f t="shared" si="31"/>
        <v>396</v>
      </c>
      <c r="J58" s="37">
        <v>132</v>
      </c>
      <c r="K58" s="37">
        <v>132</v>
      </c>
      <c r="L58" s="37">
        <v>132</v>
      </c>
      <c r="M58" s="35">
        <f t="shared" si="32"/>
        <v>396</v>
      </c>
      <c r="N58" s="37">
        <v>132</v>
      </c>
      <c r="O58" s="37">
        <v>132</v>
      </c>
      <c r="P58" s="38">
        <v>132</v>
      </c>
      <c r="Q58" s="35">
        <f t="shared" si="33"/>
        <v>396</v>
      </c>
      <c r="R58" s="34">
        <f t="shared" si="28"/>
        <v>1584</v>
      </c>
    </row>
    <row r="59" spans="1:18" ht="12.75" hidden="1" outlineLevel="3">
      <c r="A59" s="23" t="s">
        <v>17</v>
      </c>
      <c r="B59" s="63">
        <v>428.27</v>
      </c>
      <c r="C59" s="63">
        <v>662.18</v>
      </c>
      <c r="D59" s="63">
        <v>403.41</v>
      </c>
      <c r="E59" s="35">
        <f t="shared" si="30"/>
        <v>1493.86</v>
      </c>
      <c r="F59" s="37">
        <v>366.12</v>
      </c>
      <c r="G59" s="37">
        <v>190.97</v>
      </c>
      <c r="H59" s="37">
        <v>195.49</v>
      </c>
      <c r="I59" s="35">
        <f t="shared" si="31"/>
        <v>752.58</v>
      </c>
      <c r="J59" s="37">
        <v>177.41</v>
      </c>
      <c r="K59" s="37">
        <v>207.92</v>
      </c>
      <c r="L59" s="37">
        <v>351.43</v>
      </c>
      <c r="M59" s="35">
        <f t="shared" si="32"/>
        <v>736.76</v>
      </c>
      <c r="N59" s="37">
        <v>472.34</v>
      </c>
      <c r="O59" s="37">
        <v>181.93</v>
      </c>
      <c r="P59" s="38">
        <v>155.94</v>
      </c>
      <c r="Q59" s="35">
        <f t="shared" si="33"/>
        <v>810.21</v>
      </c>
      <c r="R59" s="34">
        <f t="shared" si="28"/>
        <v>3793.41</v>
      </c>
    </row>
    <row r="60" spans="1:18" ht="12.75" hidden="1" outlineLevel="3">
      <c r="A60" s="25" t="s">
        <v>18</v>
      </c>
      <c r="B60" s="62">
        <v>15.23</v>
      </c>
      <c r="C60" s="62">
        <v>39.7</v>
      </c>
      <c r="D60" s="62">
        <v>51.99</v>
      </c>
      <c r="E60" s="35">
        <f t="shared" si="30"/>
        <v>106.92000000000002</v>
      </c>
      <c r="F60" s="62">
        <v>49.36</v>
      </c>
      <c r="G60" s="62">
        <v>12.43</v>
      </c>
      <c r="H60" s="62">
        <v>11.11</v>
      </c>
      <c r="I60" s="35">
        <f t="shared" si="31"/>
        <v>72.9</v>
      </c>
      <c r="J60" s="62">
        <v>11.08</v>
      </c>
      <c r="K60" s="62">
        <v>16.66</v>
      </c>
      <c r="L60" s="62">
        <v>17.5</v>
      </c>
      <c r="M60" s="35">
        <f t="shared" si="32"/>
        <v>45.24</v>
      </c>
      <c r="N60" s="62">
        <v>27.46</v>
      </c>
      <c r="O60" s="62">
        <v>37.06</v>
      </c>
      <c r="P60" s="62">
        <v>117.53</v>
      </c>
      <c r="Q60" s="35">
        <f t="shared" si="33"/>
        <v>182.05</v>
      </c>
      <c r="R60" s="34">
        <f t="shared" si="28"/>
        <v>407.11000000000007</v>
      </c>
    </row>
    <row r="61" spans="1:18" ht="12.75" hidden="1" outlineLevel="3">
      <c r="A61" s="23" t="s">
        <v>19</v>
      </c>
      <c r="B61" s="63">
        <v>2.79</v>
      </c>
      <c r="C61" s="63">
        <v>9.3</v>
      </c>
      <c r="D61" s="63">
        <v>6.51</v>
      </c>
      <c r="E61" s="35">
        <f t="shared" si="30"/>
        <v>18.6</v>
      </c>
      <c r="F61" s="37">
        <v>1.86</v>
      </c>
      <c r="G61" s="37">
        <v>0.93</v>
      </c>
      <c r="H61" s="37">
        <v>0.93</v>
      </c>
      <c r="I61" s="35">
        <f t="shared" si="31"/>
        <v>3.72</v>
      </c>
      <c r="J61" s="37">
        <v>1.86</v>
      </c>
      <c r="K61" s="37">
        <v>0.93</v>
      </c>
      <c r="L61" s="37"/>
      <c r="M61" s="35">
        <f t="shared" si="32"/>
        <v>2.79</v>
      </c>
      <c r="N61" s="37">
        <v>0.93</v>
      </c>
      <c r="O61" s="37"/>
      <c r="P61" s="38"/>
      <c r="Q61" s="35">
        <f t="shared" si="33"/>
        <v>0.93</v>
      </c>
      <c r="R61" s="34">
        <f t="shared" si="28"/>
        <v>26.040000000000003</v>
      </c>
    </row>
    <row r="62" spans="1:18" ht="12.75" hidden="1" outlineLevel="3">
      <c r="A62" s="23" t="s">
        <v>20</v>
      </c>
      <c r="B62" s="63">
        <v>321</v>
      </c>
      <c r="C62" s="63">
        <f>321+0.48+197.75</f>
        <v>519.23</v>
      </c>
      <c r="D62" s="63">
        <f>283.5+1.08+350.3</f>
        <v>634.88</v>
      </c>
      <c r="E62" s="35">
        <f t="shared" si="30"/>
        <v>1475.1100000000001</v>
      </c>
      <c r="F62" s="37">
        <f>293+0.66</f>
        <v>293.66</v>
      </c>
      <c r="G62" s="37">
        <v>113.5</v>
      </c>
      <c r="H62" s="37">
        <v>136.5</v>
      </c>
      <c r="I62" s="35">
        <f t="shared" si="31"/>
        <v>543.6600000000001</v>
      </c>
      <c r="J62" s="37">
        <v>98.5</v>
      </c>
      <c r="K62" s="37">
        <v>104</v>
      </c>
      <c r="L62" s="37">
        <v>107</v>
      </c>
      <c r="M62" s="35">
        <f t="shared" si="32"/>
        <v>309.5</v>
      </c>
      <c r="N62" s="37">
        <v>189</v>
      </c>
      <c r="O62" s="37">
        <v>82.5</v>
      </c>
      <c r="P62" s="38">
        <v>87.5</v>
      </c>
      <c r="Q62" s="35">
        <f t="shared" si="33"/>
        <v>359</v>
      </c>
      <c r="R62" s="34">
        <f t="shared" si="28"/>
        <v>2687.2700000000004</v>
      </c>
    </row>
    <row r="63" spans="1:18" ht="12.75" hidden="1" outlineLevel="3">
      <c r="A63" s="23" t="s">
        <v>66</v>
      </c>
      <c r="B63" s="63"/>
      <c r="C63" s="63"/>
      <c r="D63" s="63"/>
      <c r="E63" s="35"/>
      <c r="F63" s="37"/>
      <c r="G63" s="37">
        <v>0.48</v>
      </c>
      <c r="H63" s="37">
        <v>0.36</v>
      </c>
      <c r="I63" s="35"/>
      <c r="J63" s="37">
        <v>0.12</v>
      </c>
      <c r="K63" s="37">
        <v>0.12</v>
      </c>
      <c r="L63" s="37">
        <f>0.06+1.13</f>
        <v>1.19</v>
      </c>
      <c r="M63" s="35">
        <f t="shared" si="32"/>
        <v>1.43</v>
      </c>
      <c r="N63" s="37">
        <v>0.06</v>
      </c>
      <c r="O63" s="37"/>
      <c r="P63" s="38">
        <v>0.24</v>
      </c>
      <c r="Q63" s="35">
        <f t="shared" si="33"/>
        <v>0.3</v>
      </c>
      <c r="R63" s="34"/>
    </row>
    <row r="64" spans="1:18" ht="12.75" hidden="1" outlineLevel="3">
      <c r="A64" s="23" t="s">
        <v>21</v>
      </c>
      <c r="B64" s="63"/>
      <c r="C64" s="63"/>
      <c r="D64" s="63"/>
      <c r="E64" s="35">
        <f t="shared" si="30"/>
        <v>0</v>
      </c>
      <c r="F64" s="37"/>
      <c r="G64" s="37"/>
      <c r="H64" s="37"/>
      <c r="I64" s="35">
        <f t="shared" si="31"/>
        <v>0</v>
      </c>
      <c r="J64" s="37"/>
      <c r="K64" s="37"/>
      <c r="L64" s="37"/>
      <c r="M64" s="35">
        <f t="shared" si="32"/>
        <v>0</v>
      </c>
      <c r="N64" s="37"/>
      <c r="O64" s="37"/>
      <c r="P64" s="38"/>
      <c r="Q64" s="35">
        <f t="shared" si="33"/>
        <v>0</v>
      </c>
      <c r="R64" s="34">
        <f t="shared" si="28"/>
        <v>0</v>
      </c>
    </row>
    <row r="65" spans="1:18" ht="12.75" hidden="1" outlineLevel="3">
      <c r="A65" s="23" t="s">
        <v>22</v>
      </c>
      <c r="B65" s="63">
        <v>8.52</v>
      </c>
      <c r="C65" s="62">
        <v>72.42</v>
      </c>
      <c r="D65" s="63">
        <v>34.08</v>
      </c>
      <c r="E65" s="35">
        <f t="shared" si="30"/>
        <v>115.02</v>
      </c>
      <c r="F65" s="37">
        <v>34.08</v>
      </c>
      <c r="G65" s="37">
        <v>29.82</v>
      </c>
      <c r="H65" s="37">
        <v>149.1</v>
      </c>
      <c r="I65" s="35">
        <f t="shared" si="31"/>
        <v>213</v>
      </c>
      <c r="J65" s="37">
        <v>115.02</v>
      </c>
      <c r="K65" s="37">
        <v>110.76</v>
      </c>
      <c r="L65" s="37">
        <v>72.42</v>
      </c>
      <c r="M65" s="35">
        <f t="shared" si="32"/>
        <v>298.2</v>
      </c>
      <c r="N65" s="37">
        <v>93.72</v>
      </c>
      <c r="O65" s="37">
        <v>55.38</v>
      </c>
      <c r="P65" s="38">
        <v>97.98</v>
      </c>
      <c r="Q65" s="35">
        <f t="shared" si="33"/>
        <v>247.07999999999998</v>
      </c>
      <c r="R65" s="34">
        <f t="shared" si="28"/>
        <v>873.3</v>
      </c>
    </row>
    <row r="66" spans="1:18" ht="12.75" hidden="1" outlineLevel="3">
      <c r="A66" s="23" t="s">
        <v>61</v>
      </c>
      <c r="B66" s="62"/>
      <c r="D66" s="62"/>
      <c r="E66" s="35">
        <f t="shared" si="30"/>
        <v>0</v>
      </c>
      <c r="F66" s="38"/>
      <c r="G66" s="38"/>
      <c r="H66" s="38"/>
      <c r="I66" s="35">
        <f t="shared" si="31"/>
        <v>0</v>
      </c>
      <c r="J66" s="38"/>
      <c r="K66" s="38"/>
      <c r="L66" s="38"/>
      <c r="M66" s="35">
        <f t="shared" si="32"/>
        <v>0</v>
      </c>
      <c r="N66" s="38"/>
      <c r="O66" s="38"/>
      <c r="P66" s="38"/>
      <c r="Q66" s="35">
        <f t="shared" si="33"/>
        <v>0</v>
      </c>
      <c r="R66" s="34">
        <f t="shared" si="28"/>
        <v>0</v>
      </c>
    </row>
    <row r="67" spans="1:18" ht="12.75" hidden="1" outlineLevel="2">
      <c r="A67" s="28" t="s">
        <v>50</v>
      </c>
      <c r="B67" s="43">
        <f aca="true" t="shared" si="34" ref="B67:Q67">SUM(B57:B66)</f>
        <v>1638.37</v>
      </c>
      <c r="C67" s="43">
        <f t="shared" si="34"/>
        <v>2165.63</v>
      </c>
      <c r="D67" s="43">
        <f t="shared" si="34"/>
        <v>1993.4299999999998</v>
      </c>
      <c r="E67" s="43">
        <f t="shared" si="34"/>
        <v>5797.43</v>
      </c>
      <c r="F67" s="43">
        <f t="shared" si="34"/>
        <v>1610.28</v>
      </c>
      <c r="G67" s="43">
        <f t="shared" si="34"/>
        <v>1215.8500000000001</v>
      </c>
      <c r="H67" s="43">
        <f t="shared" si="34"/>
        <v>1362.4099999999996</v>
      </c>
      <c r="I67" s="43">
        <f t="shared" si="34"/>
        <v>4187.7</v>
      </c>
      <c r="J67" s="43">
        <f t="shared" si="34"/>
        <v>1275.0699999999997</v>
      </c>
      <c r="K67" s="43">
        <f t="shared" si="34"/>
        <v>1314.23</v>
      </c>
      <c r="L67" s="43">
        <f t="shared" si="34"/>
        <v>1442.5800000000002</v>
      </c>
      <c r="M67" s="43">
        <f t="shared" si="34"/>
        <v>4031.8799999999997</v>
      </c>
      <c r="N67" s="43">
        <f t="shared" si="34"/>
        <v>1700.19</v>
      </c>
      <c r="O67" s="43">
        <f t="shared" si="34"/>
        <v>1275.1100000000001</v>
      </c>
      <c r="P67" s="43">
        <f t="shared" si="34"/>
        <v>1372.15</v>
      </c>
      <c r="Q67" s="43">
        <f t="shared" si="34"/>
        <v>4347.45</v>
      </c>
      <c r="R67" s="44">
        <f t="shared" si="28"/>
        <v>18364.46</v>
      </c>
    </row>
    <row r="68" spans="1:21" ht="13.5" outlineLevel="1" collapsed="1" thickBot="1">
      <c r="A68" s="26" t="s">
        <v>48</v>
      </c>
      <c r="B68" s="46">
        <f aca="true" t="shared" si="35" ref="B68:R68">B67+B56</f>
        <v>1638.37</v>
      </c>
      <c r="C68" s="46">
        <f t="shared" si="35"/>
        <v>2174.08</v>
      </c>
      <c r="D68" s="46">
        <f t="shared" si="35"/>
        <v>1993.4299999999998</v>
      </c>
      <c r="E68" s="45">
        <f t="shared" si="35"/>
        <v>5805.88</v>
      </c>
      <c r="F68" s="46">
        <f t="shared" si="35"/>
        <v>1610.28</v>
      </c>
      <c r="G68" s="46">
        <f t="shared" si="35"/>
        <v>1215.8500000000001</v>
      </c>
      <c r="H68" s="46">
        <f t="shared" si="35"/>
        <v>1381.5399999999997</v>
      </c>
      <c r="I68" s="45">
        <f t="shared" si="35"/>
        <v>4206.83</v>
      </c>
      <c r="J68" s="46">
        <f t="shared" si="35"/>
        <v>1275.0699999999997</v>
      </c>
      <c r="K68" s="46">
        <f t="shared" si="35"/>
        <v>1314.23</v>
      </c>
      <c r="L68" s="46">
        <f t="shared" si="35"/>
        <v>1461.0000000000002</v>
      </c>
      <c r="M68" s="45">
        <f t="shared" si="35"/>
        <v>4050.2999999999997</v>
      </c>
      <c r="N68" s="46">
        <f t="shared" si="35"/>
        <v>1700.19</v>
      </c>
      <c r="O68" s="46">
        <f t="shared" si="35"/>
        <v>1275.1100000000001</v>
      </c>
      <c r="P68" s="46">
        <f t="shared" si="35"/>
        <v>1372.15</v>
      </c>
      <c r="Q68" s="45">
        <f t="shared" si="35"/>
        <v>4347.45</v>
      </c>
      <c r="R68" s="47">
        <f t="shared" si="35"/>
        <v>18410.46</v>
      </c>
      <c r="S68" s="65">
        <f>((B57/0.12)+(C57/0.12)+(D57/0.12)+(F57/0.12)+(G57/0.12)+(H57/0.12)+(J57/0.12)+(K57/0.12)+(L57/0.12)+(N57/0.12)+(O57/0.12)+(P57/0.12))/12</f>
        <v>6244.166666666667</v>
      </c>
      <c r="T68" s="54">
        <f>IF(R68&gt;0,R68/S68,0)</f>
        <v>2.9484254637661813</v>
      </c>
      <c r="U68" s="66">
        <f>IF(R59&gt;0,R59/R68,0)</f>
        <v>0.20604645402667832</v>
      </c>
    </row>
    <row r="69" spans="1:18" ht="13.5" outlineLevel="1" thickTop="1">
      <c r="A69" s="16" t="s">
        <v>29</v>
      </c>
      <c r="B69" s="17"/>
      <c r="C69" s="17"/>
      <c r="D69" s="17"/>
      <c r="E69" s="14"/>
      <c r="F69" s="17"/>
      <c r="G69" s="17"/>
      <c r="H69" s="17"/>
      <c r="I69" s="14"/>
      <c r="J69" s="17"/>
      <c r="K69" s="17"/>
      <c r="L69" s="17"/>
      <c r="M69" s="14"/>
      <c r="N69" s="17"/>
      <c r="O69" s="17"/>
      <c r="P69" s="17"/>
      <c r="Q69" s="14"/>
      <c r="R69" s="27"/>
    </row>
    <row r="70" spans="1:18" ht="12.75" hidden="1" outlineLevel="3">
      <c r="A70" s="19" t="s">
        <v>40</v>
      </c>
      <c r="B70" s="20"/>
      <c r="C70" s="20"/>
      <c r="D70" s="20"/>
      <c r="E70" s="67">
        <f aca="true" t="shared" si="36" ref="E70:E77">SUM(B70:D70)</f>
        <v>0</v>
      </c>
      <c r="F70" s="20"/>
      <c r="G70" s="20"/>
      <c r="H70" s="20"/>
      <c r="I70" s="67">
        <f aca="true" t="shared" si="37" ref="I70:I77">SUM(F70:H70)</f>
        <v>0</v>
      </c>
      <c r="J70" s="20"/>
      <c r="K70" s="20"/>
      <c r="L70" s="20"/>
      <c r="M70" s="67">
        <f aca="true" t="shared" si="38" ref="M70:M77">SUM(J70:L70)</f>
        <v>0</v>
      </c>
      <c r="N70" s="20"/>
      <c r="O70" s="20"/>
      <c r="P70" s="20"/>
      <c r="Q70" s="67">
        <f aca="true" t="shared" si="39" ref="Q70:Q77">SUM(N70:P70)</f>
        <v>0</v>
      </c>
      <c r="R70" s="21">
        <f aca="true" t="shared" si="40" ref="R70:R89">Q70+M70+I70+E70</f>
        <v>0</v>
      </c>
    </row>
    <row r="71" spans="1:18" ht="12.75" hidden="1" outlineLevel="3">
      <c r="A71" s="19" t="s">
        <v>41</v>
      </c>
      <c r="B71" s="20"/>
      <c r="C71" s="20"/>
      <c r="D71" s="20"/>
      <c r="E71" s="67">
        <f t="shared" si="36"/>
        <v>0</v>
      </c>
      <c r="F71" s="20"/>
      <c r="G71" s="20"/>
      <c r="H71" s="20"/>
      <c r="I71" s="67">
        <f t="shared" si="37"/>
        <v>0</v>
      </c>
      <c r="J71" s="20"/>
      <c r="K71" s="20"/>
      <c r="L71" s="20"/>
      <c r="M71" s="67">
        <f t="shared" si="38"/>
        <v>0</v>
      </c>
      <c r="N71" s="20"/>
      <c r="O71" s="20"/>
      <c r="P71" s="20"/>
      <c r="Q71" s="67">
        <f t="shared" si="39"/>
        <v>0</v>
      </c>
      <c r="R71" s="21">
        <f t="shared" si="40"/>
        <v>0</v>
      </c>
    </row>
    <row r="72" spans="1:18" ht="12.75" hidden="1" outlineLevel="3">
      <c r="A72" s="19" t="s">
        <v>42</v>
      </c>
      <c r="B72" s="20"/>
      <c r="C72" s="20"/>
      <c r="D72" s="20"/>
      <c r="E72" s="67">
        <f t="shared" si="36"/>
        <v>0</v>
      </c>
      <c r="F72" s="20"/>
      <c r="G72" s="20"/>
      <c r="H72" s="20"/>
      <c r="I72" s="67">
        <f t="shared" si="37"/>
        <v>0</v>
      </c>
      <c r="J72" s="20"/>
      <c r="K72" s="20"/>
      <c r="L72" s="20"/>
      <c r="M72" s="67">
        <f t="shared" si="38"/>
        <v>0</v>
      </c>
      <c r="N72" s="20"/>
      <c r="O72" s="20"/>
      <c r="P72" s="20"/>
      <c r="Q72" s="67">
        <f t="shared" si="39"/>
        <v>0</v>
      </c>
      <c r="R72" s="21">
        <f t="shared" si="40"/>
        <v>0</v>
      </c>
    </row>
    <row r="73" spans="1:18" ht="12.75" hidden="1" outlineLevel="3">
      <c r="A73" s="19" t="s">
        <v>43</v>
      </c>
      <c r="B73" s="20"/>
      <c r="C73" s="20"/>
      <c r="D73" s="20"/>
      <c r="E73" s="67">
        <f t="shared" si="36"/>
        <v>0</v>
      </c>
      <c r="F73" s="20"/>
      <c r="G73" s="20"/>
      <c r="H73" s="20"/>
      <c r="I73" s="67">
        <f t="shared" si="37"/>
        <v>0</v>
      </c>
      <c r="J73" s="20"/>
      <c r="K73" s="20"/>
      <c r="L73" s="20"/>
      <c r="M73" s="67">
        <f t="shared" si="38"/>
        <v>0</v>
      </c>
      <c r="N73" s="20"/>
      <c r="O73" s="20"/>
      <c r="P73" s="20"/>
      <c r="Q73" s="67">
        <f t="shared" si="39"/>
        <v>0</v>
      </c>
      <c r="R73" s="21">
        <f t="shared" si="40"/>
        <v>0</v>
      </c>
    </row>
    <row r="74" spans="1:18" ht="12.75" hidden="1" outlineLevel="3">
      <c r="A74" s="19" t="s">
        <v>44</v>
      </c>
      <c r="B74" s="20"/>
      <c r="C74" s="20"/>
      <c r="D74" s="20"/>
      <c r="E74" s="67">
        <f t="shared" si="36"/>
        <v>0</v>
      </c>
      <c r="F74" s="20"/>
      <c r="G74" s="20"/>
      <c r="H74" s="20"/>
      <c r="I74" s="67">
        <f t="shared" si="37"/>
        <v>0</v>
      </c>
      <c r="J74" s="20"/>
      <c r="K74" s="20"/>
      <c r="L74" s="20"/>
      <c r="M74" s="67">
        <f t="shared" si="38"/>
        <v>0</v>
      </c>
      <c r="N74" s="20"/>
      <c r="O74" s="20"/>
      <c r="P74" s="20"/>
      <c r="Q74" s="67">
        <f t="shared" si="39"/>
        <v>0</v>
      </c>
      <c r="R74" s="21">
        <f t="shared" si="40"/>
        <v>0</v>
      </c>
    </row>
    <row r="75" spans="1:18" ht="12.75" hidden="1" outlineLevel="3">
      <c r="A75" s="19" t="s">
        <v>45</v>
      </c>
      <c r="B75" s="62"/>
      <c r="C75" s="62"/>
      <c r="D75" s="62"/>
      <c r="E75" s="35">
        <f t="shared" si="36"/>
        <v>0</v>
      </c>
      <c r="F75" s="62"/>
      <c r="G75" s="62"/>
      <c r="H75" s="62"/>
      <c r="I75" s="35">
        <f t="shared" si="37"/>
        <v>0</v>
      </c>
      <c r="J75" s="62"/>
      <c r="K75" s="62"/>
      <c r="L75" s="62"/>
      <c r="M75" s="35">
        <f t="shared" si="38"/>
        <v>0</v>
      </c>
      <c r="N75" s="62"/>
      <c r="O75" s="62"/>
      <c r="P75" s="62"/>
      <c r="Q75" s="35">
        <f t="shared" si="39"/>
        <v>0</v>
      </c>
      <c r="R75" s="34">
        <f t="shared" si="40"/>
        <v>0</v>
      </c>
    </row>
    <row r="76" spans="1:18" ht="12.75" hidden="1" outlineLevel="3">
      <c r="A76" s="19" t="s">
        <v>46</v>
      </c>
      <c r="B76" s="20"/>
      <c r="C76" s="20"/>
      <c r="D76" s="20"/>
      <c r="E76" s="67">
        <f t="shared" si="36"/>
        <v>0</v>
      </c>
      <c r="F76" s="20"/>
      <c r="G76" s="20"/>
      <c r="H76" s="20"/>
      <c r="I76" s="67">
        <f t="shared" si="37"/>
        <v>0</v>
      </c>
      <c r="J76" s="20"/>
      <c r="K76" s="20"/>
      <c r="L76" s="20"/>
      <c r="M76" s="67">
        <f t="shared" si="38"/>
        <v>0</v>
      </c>
      <c r="N76" s="20"/>
      <c r="O76" s="20"/>
      <c r="P76" s="20"/>
      <c r="Q76" s="67">
        <f t="shared" si="39"/>
        <v>0</v>
      </c>
      <c r="R76" s="21">
        <f t="shared" si="40"/>
        <v>0</v>
      </c>
    </row>
    <row r="77" spans="1:18" ht="12.75" hidden="1" outlineLevel="3">
      <c r="A77" s="19" t="s">
        <v>58</v>
      </c>
      <c r="B77" s="62"/>
      <c r="C77" s="62">
        <v>1.28</v>
      </c>
      <c r="D77" s="62"/>
      <c r="E77" s="59">
        <f t="shared" si="36"/>
        <v>1.28</v>
      </c>
      <c r="F77" s="52"/>
      <c r="G77" s="52"/>
      <c r="H77" s="52">
        <v>3.15</v>
      </c>
      <c r="I77" s="59">
        <f t="shared" si="37"/>
        <v>3.15</v>
      </c>
      <c r="J77" s="52"/>
      <c r="K77" s="52"/>
      <c r="L77" s="52">
        <v>2.96</v>
      </c>
      <c r="M77" s="59">
        <f t="shared" si="38"/>
        <v>2.96</v>
      </c>
      <c r="N77" s="52"/>
      <c r="O77" s="52"/>
      <c r="P77" s="52"/>
      <c r="Q77" s="59">
        <f t="shared" si="39"/>
        <v>0</v>
      </c>
      <c r="R77" s="60">
        <f t="shared" si="40"/>
        <v>7.39</v>
      </c>
    </row>
    <row r="78" spans="1:18" ht="12.75" hidden="1" outlineLevel="2">
      <c r="A78" s="22" t="s">
        <v>47</v>
      </c>
      <c r="B78" s="63">
        <f aca="true" t="shared" si="41" ref="B78:Q78">SUM(B70:B77)</f>
        <v>0</v>
      </c>
      <c r="C78" s="63">
        <f t="shared" si="41"/>
        <v>1.28</v>
      </c>
      <c r="D78" s="63">
        <f t="shared" si="41"/>
        <v>0</v>
      </c>
      <c r="E78" s="33">
        <f t="shared" si="41"/>
        <v>1.28</v>
      </c>
      <c r="F78" s="33">
        <f t="shared" si="41"/>
        <v>0</v>
      </c>
      <c r="G78" s="33">
        <f t="shared" si="41"/>
        <v>0</v>
      </c>
      <c r="H78" s="33">
        <f t="shared" si="41"/>
        <v>3.15</v>
      </c>
      <c r="I78" s="33">
        <f t="shared" si="41"/>
        <v>3.15</v>
      </c>
      <c r="J78" s="33">
        <f t="shared" si="41"/>
        <v>0</v>
      </c>
      <c r="K78" s="33">
        <f t="shared" si="41"/>
        <v>0</v>
      </c>
      <c r="L78" s="33">
        <f t="shared" si="41"/>
        <v>2.96</v>
      </c>
      <c r="M78" s="33">
        <f t="shared" si="41"/>
        <v>2.96</v>
      </c>
      <c r="N78" s="33">
        <f t="shared" si="41"/>
        <v>0</v>
      </c>
      <c r="O78" s="33">
        <f t="shared" si="41"/>
        <v>0</v>
      </c>
      <c r="P78" s="33">
        <f t="shared" si="41"/>
        <v>0</v>
      </c>
      <c r="Q78" s="33">
        <f t="shared" si="41"/>
        <v>0</v>
      </c>
      <c r="R78" s="34">
        <f t="shared" si="40"/>
        <v>7.39</v>
      </c>
    </row>
    <row r="79" spans="1:18" ht="12.75" hidden="1" outlineLevel="3">
      <c r="A79" s="23" t="s">
        <v>15</v>
      </c>
      <c r="B79" s="63">
        <v>114.6</v>
      </c>
      <c r="C79" s="63">
        <v>116.04</v>
      </c>
      <c r="D79" s="63">
        <v>116.16</v>
      </c>
      <c r="E79" s="35">
        <f aca="true" t="shared" si="42" ref="E79:E88">SUM(B79:D79)</f>
        <v>346.79999999999995</v>
      </c>
      <c r="F79" s="37">
        <v>119.04</v>
      </c>
      <c r="G79" s="37">
        <v>121.08</v>
      </c>
      <c r="H79" s="37">
        <v>119.16</v>
      </c>
      <c r="I79" s="35">
        <f aca="true" t="shared" si="43" ref="I79:I88">SUM(F79:H79)</f>
        <v>359.28</v>
      </c>
      <c r="J79" s="37">
        <v>117.96</v>
      </c>
      <c r="K79" s="37">
        <v>119.04</v>
      </c>
      <c r="L79" s="37">
        <v>124.08</v>
      </c>
      <c r="M79" s="35">
        <f aca="true" t="shared" si="44" ref="M79:M88">SUM(J79:L79)</f>
        <v>361.08</v>
      </c>
      <c r="N79" s="37">
        <v>127.8</v>
      </c>
      <c r="O79" s="37">
        <v>129.84</v>
      </c>
      <c r="P79" s="38">
        <v>128.52</v>
      </c>
      <c r="Q79" s="35">
        <f aca="true" t="shared" si="45" ref="Q79:Q88">SUM(N79:P79)</f>
        <v>386.15999999999997</v>
      </c>
      <c r="R79" s="34">
        <f t="shared" si="40"/>
        <v>1453.32</v>
      </c>
    </row>
    <row r="80" spans="1:18" ht="12.75" hidden="1" outlineLevel="3">
      <c r="A80" s="23" t="s">
        <v>16</v>
      </c>
      <c r="B80" s="62">
        <v>19</v>
      </c>
      <c r="C80" s="62">
        <v>19</v>
      </c>
      <c r="D80" s="62">
        <v>19</v>
      </c>
      <c r="E80" s="35">
        <f t="shared" si="42"/>
        <v>57</v>
      </c>
      <c r="F80" s="62">
        <v>19</v>
      </c>
      <c r="G80" s="62">
        <v>19</v>
      </c>
      <c r="H80" s="62">
        <v>19</v>
      </c>
      <c r="I80" s="35">
        <f t="shared" si="43"/>
        <v>57</v>
      </c>
      <c r="J80" s="62">
        <v>19</v>
      </c>
      <c r="K80" s="62">
        <v>19</v>
      </c>
      <c r="L80" s="62">
        <v>19</v>
      </c>
      <c r="M80" s="35">
        <f t="shared" si="44"/>
        <v>57</v>
      </c>
      <c r="N80" s="62">
        <v>19</v>
      </c>
      <c r="O80" s="62">
        <v>19</v>
      </c>
      <c r="P80" s="62">
        <v>19</v>
      </c>
      <c r="Q80" s="35">
        <f t="shared" si="45"/>
        <v>57</v>
      </c>
      <c r="R80" s="34">
        <f t="shared" si="40"/>
        <v>228</v>
      </c>
    </row>
    <row r="81" spans="1:18" ht="12.75" hidden="1" outlineLevel="3">
      <c r="A81" s="23" t="s">
        <v>17</v>
      </c>
      <c r="B81" s="63">
        <v>50.85</v>
      </c>
      <c r="C81" s="63">
        <v>84.75</v>
      </c>
      <c r="D81" s="63">
        <v>65.54</v>
      </c>
      <c r="E81" s="35">
        <f t="shared" si="42"/>
        <v>201.14</v>
      </c>
      <c r="F81" s="37">
        <v>49.72</v>
      </c>
      <c r="G81" s="37">
        <v>54.24</v>
      </c>
      <c r="H81" s="37">
        <v>32.77</v>
      </c>
      <c r="I81" s="35">
        <f t="shared" si="43"/>
        <v>136.73000000000002</v>
      </c>
      <c r="J81" s="37">
        <v>24.86</v>
      </c>
      <c r="K81" s="37">
        <v>39.55</v>
      </c>
      <c r="L81" s="37">
        <v>73.45</v>
      </c>
      <c r="M81" s="35">
        <f t="shared" si="44"/>
        <v>137.86</v>
      </c>
      <c r="N81" s="37">
        <v>73.45</v>
      </c>
      <c r="O81" s="37">
        <v>44.07</v>
      </c>
      <c r="P81" s="38">
        <v>38.42</v>
      </c>
      <c r="Q81" s="35">
        <f t="shared" si="45"/>
        <v>155.94</v>
      </c>
      <c r="R81" s="34">
        <f t="shared" si="40"/>
        <v>631.6700000000001</v>
      </c>
    </row>
    <row r="82" spans="1:18" ht="12.75" hidden="1" outlineLevel="3">
      <c r="A82" s="25" t="s">
        <v>18</v>
      </c>
      <c r="B82" s="63">
        <v>2.3</v>
      </c>
      <c r="C82" s="63">
        <v>5.99</v>
      </c>
      <c r="D82" s="63">
        <v>8.27</v>
      </c>
      <c r="E82" s="35">
        <f t="shared" si="42"/>
        <v>16.56</v>
      </c>
      <c r="F82" s="37">
        <v>7.85</v>
      </c>
      <c r="G82" s="37">
        <v>1.98</v>
      </c>
      <c r="H82" s="37">
        <v>1.77</v>
      </c>
      <c r="I82" s="35">
        <f t="shared" si="43"/>
        <v>11.6</v>
      </c>
      <c r="J82" s="37">
        <v>1.79</v>
      </c>
      <c r="K82" s="37">
        <v>2.69</v>
      </c>
      <c r="L82" s="37">
        <v>2.83</v>
      </c>
      <c r="M82" s="35">
        <f t="shared" si="44"/>
        <v>7.3100000000000005</v>
      </c>
      <c r="N82" s="37">
        <v>4.44</v>
      </c>
      <c r="O82" s="37">
        <v>5.99</v>
      </c>
      <c r="P82" s="38">
        <v>19</v>
      </c>
      <c r="Q82" s="35">
        <f t="shared" si="45"/>
        <v>29.43</v>
      </c>
      <c r="R82" s="34">
        <f t="shared" si="40"/>
        <v>64.9</v>
      </c>
    </row>
    <row r="83" spans="1:18" ht="12.75" hidden="1" outlineLevel="3">
      <c r="A83" s="23" t="s">
        <v>19</v>
      </c>
      <c r="B83" s="63">
        <v>0.93</v>
      </c>
      <c r="C83" s="63">
        <v>0.93</v>
      </c>
      <c r="D83" s="63">
        <v>7.44</v>
      </c>
      <c r="E83" s="35">
        <f t="shared" si="42"/>
        <v>9.3</v>
      </c>
      <c r="F83" s="37"/>
      <c r="G83" s="37"/>
      <c r="H83" s="37"/>
      <c r="I83" s="35">
        <f t="shared" si="43"/>
        <v>0</v>
      </c>
      <c r="J83" s="37"/>
      <c r="K83" s="37"/>
      <c r="L83" s="37"/>
      <c r="M83" s="35">
        <f t="shared" si="44"/>
        <v>0</v>
      </c>
      <c r="N83" s="37">
        <v>0.93</v>
      </c>
      <c r="O83" s="37"/>
      <c r="P83" s="38"/>
      <c r="Q83" s="35">
        <f t="shared" si="45"/>
        <v>0.93</v>
      </c>
      <c r="R83" s="34">
        <f t="shared" si="40"/>
        <v>10.23</v>
      </c>
    </row>
    <row r="84" spans="1:18" ht="12.75" hidden="1" outlineLevel="3">
      <c r="A84" s="23" t="s">
        <v>20</v>
      </c>
      <c r="B84" s="63">
        <v>38.5</v>
      </c>
      <c r="C84" s="63">
        <f>38.5+21.47</f>
        <v>59.97</v>
      </c>
      <c r="D84" s="63">
        <f>42+0.24+55.37</f>
        <v>97.61</v>
      </c>
      <c r="E84" s="35">
        <f t="shared" si="42"/>
        <v>196.07999999999998</v>
      </c>
      <c r="F84" s="37">
        <f>36.5+0.12</f>
        <v>36.62</v>
      </c>
      <c r="G84" s="37">
        <v>9.5</v>
      </c>
      <c r="H84" s="37">
        <v>12</v>
      </c>
      <c r="I84" s="35">
        <f t="shared" si="43"/>
        <v>58.12</v>
      </c>
      <c r="J84" s="37">
        <v>12</v>
      </c>
      <c r="K84" s="37">
        <v>11.5</v>
      </c>
      <c r="L84" s="37">
        <v>29.5</v>
      </c>
      <c r="M84" s="35">
        <f t="shared" si="44"/>
        <v>53</v>
      </c>
      <c r="N84" s="37">
        <v>15</v>
      </c>
      <c r="O84" s="37">
        <v>7.5</v>
      </c>
      <c r="P84" s="38">
        <v>11.5</v>
      </c>
      <c r="Q84" s="35">
        <f t="shared" si="45"/>
        <v>34</v>
      </c>
      <c r="R84" s="34">
        <f t="shared" si="40"/>
        <v>341.2</v>
      </c>
    </row>
    <row r="85" spans="1:18" ht="12.75" hidden="1" outlineLevel="3">
      <c r="A85" s="23" t="s">
        <v>66</v>
      </c>
      <c r="B85" s="63"/>
      <c r="C85" s="63"/>
      <c r="D85" s="63"/>
      <c r="E85" s="35"/>
      <c r="F85" s="37"/>
      <c r="G85" s="37"/>
      <c r="H85" s="37"/>
      <c r="I85" s="35"/>
      <c r="J85" s="37"/>
      <c r="K85" s="37"/>
      <c r="L85" s="37"/>
      <c r="M85" s="35"/>
      <c r="N85" s="37"/>
      <c r="O85" s="37"/>
      <c r="P85" s="38"/>
      <c r="Q85" s="35"/>
      <c r="R85" s="34"/>
    </row>
    <row r="86" spans="1:18" ht="12.75" hidden="1" outlineLevel="3">
      <c r="A86" s="23" t="s">
        <v>21</v>
      </c>
      <c r="B86" s="63"/>
      <c r="C86" s="63"/>
      <c r="D86" s="63"/>
      <c r="E86" s="35">
        <f t="shared" si="42"/>
        <v>0</v>
      </c>
      <c r="F86" s="37"/>
      <c r="G86" s="37"/>
      <c r="H86" s="37"/>
      <c r="I86" s="35">
        <f t="shared" si="43"/>
        <v>0</v>
      </c>
      <c r="J86" s="37"/>
      <c r="K86" s="37"/>
      <c r="L86" s="37"/>
      <c r="M86" s="35">
        <f t="shared" si="44"/>
        <v>0</v>
      </c>
      <c r="N86" s="37"/>
      <c r="O86" s="37"/>
      <c r="P86" s="38"/>
      <c r="Q86" s="35">
        <f t="shared" si="45"/>
        <v>0</v>
      </c>
      <c r="R86" s="34">
        <f t="shared" si="40"/>
        <v>0</v>
      </c>
    </row>
    <row r="87" spans="1:18" ht="12.75" hidden="1" outlineLevel="3">
      <c r="A87" s="23" t="s">
        <v>22</v>
      </c>
      <c r="B87" s="63">
        <v>8.52</v>
      </c>
      <c r="C87" s="63">
        <v>12.78</v>
      </c>
      <c r="D87" s="63">
        <v>25.56</v>
      </c>
      <c r="E87" s="35">
        <f t="shared" si="42"/>
        <v>46.86</v>
      </c>
      <c r="F87" s="37">
        <v>4.26</v>
      </c>
      <c r="G87" s="37">
        <v>4.26</v>
      </c>
      <c r="H87" s="37">
        <v>29.82</v>
      </c>
      <c r="I87" s="35">
        <f t="shared" si="43"/>
        <v>38.34</v>
      </c>
      <c r="J87" s="37">
        <v>8.52</v>
      </c>
      <c r="K87" s="37">
        <v>34.08</v>
      </c>
      <c r="L87" s="37">
        <v>8.52</v>
      </c>
      <c r="M87" s="35">
        <f t="shared" si="44"/>
        <v>51.11999999999999</v>
      </c>
      <c r="N87" s="37">
        <v>46.86</v>
      </c>
      <c r="O87" s="37">
        <v>21.3</v>
      </c>
      <c r="P87" s="38">
        <v>17.04</v>
      </c>
      <c r="Q87" s="35">
        <f t="shared" si="45"/>
        <v>85.19999999999999</v>
      </c>
      <c r="R87" s="34">
        <f t="shared" si="40"/>
        <v>221.51999999999998</v>
      </c>
    </row>
    <row r="88" spans="1:18" ht="12.75" hidden="1" outlineLevel="3">
      <c r="A88" s="23" t="s">
        <v>61</v>
      </c>
      <c r="B88" s="62"/>
      <c r="C88" s="62"/>
      <c r="D88" s="62"/>
      <c r="E88" s="35">
        <f t="shared" si="42"/>
        <v>0</v>
      </c>
      <c r="F88" s="38"/>
      <c r="G88" s="38"/>
      <c r="H88" s="38"/>
      <c r="I88" s="35">
        <f t="shared" si="43"/>
        <v>0</v>
      </c>
      <c r="J88" s="38"/>
      <c r="K88" s="38"/>
      <c r="L88" s="38"/>
      <c r="M88" s="35">
        <f t="shared" si="44"/>
        <v>0</v>
      </c>
      <c r="N88" s="38"/>
      <c r="O88" s="38"/>
      <c r="P88" s="38"/>
      <c r="Q88" s="35">
        <f t="shared" si="45"/>
        <v>0</v>
      </c>
      <c r="R88" s="34">
        <f t="shared" si="40"/>
        <v>0</v>
      </c>
    </row>
    <row r="89" spans="1:18" ht="12.75" hidden="1" outlineLevel="2">
      <c r="A89" s="28" t="s">
        <v>50</v>
      </c>
      <c r="B89" s="43">
        <f aca="true" t="shared" si="46" ref="B89:Q89">SUM(B79:B88)</f>
        <v>234.70000000000002</v>
      </c>
      <c r="C89" s="43">
        <f t="shared" si="46"/>
        <v>299.46000000000004</v>
      </c>
      <c r="D89" s="43">
        <f t="shared" si="46"/>
        <v>339.58</v>
      </c>
      <c r="E89" s="43">
        <f t="shared" si="46"/>
        <v>873.7399999999999</v>
      </c>
      <c r="F89" s="43">
        <f t="shared" si="46"/>
        <v>236.49</v>
      </c>
      <c r="G89" s="43">
        <f t="shared" si="46"/>
        <v>210.05999999999997</v>
      </c>
      <c r="H89" s="43">
        <f t="shared" si="46"/>
        <v>214.52</v>
      </c>
      <c r="I89" s="43">
        <f t="shared" si="46"/>
        <v>661.07</v>
      </c>
      <c r="J89" s="43">
        <f t="shared" si="46"/>
        <v>184.13</v>
      </c>
      <c r="K89" s="43">
        <f t="shared" si="46"/>
        <v>225.86</v>
      </c>
      <c r="L89" s="43">
        <f t="shared" si="46"/>
        <v>257.38</v>
      </c>
      <c r="M89" s="43">
        <f t="shared" si="46"/>
        <v>667.37</v>
      </c>
      <c r="N89" s="43">
        <f t="shared" si="46"/>
        <v>287.48</v>
      </c>
      <c r="O89" s="43">
        <f t="shared" si="46"/>
        <v>227.70000000000002</v>
      </c>
      <c r="P89" s="43">
        <f t="shared" si="46"/>
        <v>233.48</v>
      </c>
      <c r="Q89" s="43">
        <f t="shared" si="46"/>
        <v>748.6599999999999</v>
      </c>
      <c r="R89" s="44">
        <f t="shared" si="40"/>
        <v>2950.8399999999997</v>
      </c>
    </row>
    <row r="90" spans="1:21" ht="13.5" outlineLevel="1" collapsed="1" thickBot="1">
      <c r="A90" s="26" t="s">
        <v>48</v>
      </c>
      <c r="B90" s="46">
        <f aca="true" t="shared" si="47" ref="B90:R90">B89+B78</f>
        <v>234.70000000000002</v>
      </c>
      <c r="C90" s="46">
        <f t="shared" si="47"/>
        <v>300.74</v>
      </c>
      <c r="D90" s="46">
        <f t="shared" si="47"/>
        <v>339.58</v>
      </c>
      <c r="E90" s="45">
        <f t="shared" si="47"/>
        <v>875.0199999999999</v>
      </c>
      <c r="F90" s="46">
        <f t="shared" si="47"/>
        <v>236.49</v>
      </c>
      <c r="G90" s="46">
        <f t="shared" si="47"/>
        <v>210.05999999999997</v>
      </c>
      <c r="H90" s="46">
        <f t="shared" si="47"/>
        <v>217.67000000000002</v>
      </c>
      <c r="I90" s="45">
        <f t="shared" si="47"/>
        <v>664.22</v>
      </c>
      <c r="J90" s="46">
        <f t="shared" si="47"/>
        <v>184.13</v>
      </c>
      <c r="K90" s="46">
        <f t="shared" si="47"/>
        <v>225.86</v>
      </c>
      <c r="L90" s="46">
        <f t="shared" si="47"/>
        <v>260.34</v>
      </c>
      <c r="M90" s="45">
        <f t="shared" si="47"/>
        <v>670.33</v>
      </c>
      <c r="N90" s="46">
        <f t="shared" si="47"/>
        <v>287.48</v>
      </c>
      <c r="O90" s="46">
        <f t="shared" si="47"/>
        <v>227.70000000000002</v>
      </c>
      <c r="P90" s="46">
        <f t="shared" si="47"/>
        <v>233.48</v>
      </c>
      <c r="Q90" s="45">
        <f t="shared" si="47"/>
        <v>748.6599999999999</v>
      </c>
      <c r="R90" s="47">
        <f t="shared" si="47"/>
        <v>2958.2299999999996</v>
      </c>
      <c r="S90" s="65">
        <f>((B79/0.12)+(C79/0.12)+(D79/0.12)+(F79/0.12)+(G79/0.12)+(H79/0.12)+(J79/0.12)+(K79/0.12)+(L79/0.12)+(N79/0.12)+(O79/0.12)+(P79/0.12))/12</f>
        <v>1009.25</v>
      </c>
      <c r="T90" s="54">
        <f>IF(R90&gt;0,R90/S90,0)</f>
        <v>2.9311171662125335</v>
      </c>
      <c r="U90" s="66">
        <f>IF(R81&gt;0,R81/R90,0)</f>
        <v>0.213529712023744</v>
      </c>
    </row>
    <row r="91" spans="1:18" ht="13.5" outlineLevel="1" thickTop="1">
      <c r="A91" s="16" t="s">
        <v>30</v>
      </c>
      <c r="B91" s="17"/>
      <c r="C91" s="17"/>
      <c r="D91" s="17"/>
      <c r="E91" s="14"/>
      <c r="F91" s="17"/>
      <c r="G91" s="17"/>
      <c r="H91" s="17"/>
      <c r="I91" s="14"/>
      <c r="J91" s="17"/>
      <c r="K91" s="17"/>
      <c r="L91" s="17"/>
      <c r="M91" s="14"/>
      <c r="N91" s="17"/>
      <c r="O91" s="17"/>
      <c r="P91" s="17"/>
      <c r="Q91" s="14"/>
      <c r="R91" s="27"/>
    </row>
    <row r="92" spans="1:18" ht="12.75" hidden="1" outlineLevel="3">
      <c r="A92" s="19" t="s">
        <v>40</v>
      </c>
      <c r="B92" s="20"/>
      <c r="C92" s="20"/>
      <c r="D92" s="20"/>
      <c r="E92" s="67">
        <f aca="true" t="shared" si="48" ref="E92:E99">SUM(B92:D92)</f>
        <v>0</v>
      </c>
      <c r="F92" s="20"/>
      <c r="G92" s="20"/>
      <c r="H92" s="20"/>
      <c r="I92" s="67">
        <f aca="true" t="shared" si="49" ref="I92:I99">SUM(F92:H92)</f>
        <v>0</v>
      </c>
      <c r="J92" s="20"/>
      <c r="K92" s="20"/>
      <c r="L92" s="20"/>
      <c r="M92" s="67">
        <f aca="true" t="shared" si="50" ref="M92:M99">SUM(J92:L92)</f>
        <v>0</v>
      </c>
      <c r="N92" s="20"/>
      <c r="O92" s="20"/>
      <c r="P92" s="20"/>
      <c r="Q92" s="67">
        <f aca="true" t="shared" si="51" ref="Q92:Q99">SUM(N92:P92)</f>
        <v>0</v>
      </c>
      <c r="R92" s="21">
        <f aca="true" t="shared" si="52" ref="R92:R111">Q92+M92+I92+E92</f>
        <v>0</v>
      </c>
    </row>
    <row r="93" spans="1:18" ht="12.75" hidden="1" outlineLevel="3">
      <c r="A93" s="19" t="s">
        <v>41</v>
      </c>
      <c r="B93" s="20"/>
      <c r="C93" s="20"/>
      <c r="D93" s="20"/>
      <c r="E93" s="67">
        <f t="shared" si="48"/>
        <v>0</v>
      </c>
      <c r="F93" s="20"/>
      <c r="G93" s="20"/>
      <c r="H93" s="20"/>
      <c r="I93" s="67">
        <f t="shared" si="49"/>
        <v>0</v>
      </c>
      <c r="J93" s="20"/>
      <c r="K93" s="20"/>
      <c r="L93" s="20"/>
      <c r="M93" s="67">
        <f t="shared" si="50"/>
        <v>0</v>
      </c>
      <c r="N93" s="20"/>
      <c r="O93" s="20"/>
      <c r="P93" s="20"/>
      <c r="Q93" s="67">
        <f t="shared" si="51"/>
        <v>0</v>
      </c>
      <c r="R93" s="21">
        <f t="shared" si="52"/>
        <v>0</v>
      </c>
    </row>
    <row r="94" spans="1:18" ht="12.75" hidden="1" outlineLevel="3">
      <c r="A94" s="19" t="s">
        <v>42</v>
      </c>
      <c r="B94" s="20"/>
      <c r="C94" s="20"/>
      <c r="D94" s="20"/>
      <c r="E94" s="67">
        <f t="shared" si="48"/>
        <v>0</v>
      </c>
      <c r="F94" s="20"/>
      <c r="G94" s="20"/>
      <c r="H94" s="20"/>
      <c r="I94" s="67">
        <f t="shared" si="49"/>
        <v>0</v>
      </c>
      <c r="J94" s="20"/>
      <c r="K94" s="20"/>
      <c r="L94" s="20"/>
      <c r="M94" s="67">
        <f t="shared" si="50"/>
        <v>0</v>
      </c>
      <c r="N94" s="20"/>
      <c r="O94" s="20"/>
      <c r="P94" s="20"/>
      <c r="Q94" s="67">
        <f t="shared" si="51"/>
        <v>0</v>
      </c>
      <c r="R94" s="21">
        <f t="shared" si="52"/>
        <v>0</v>
      </c>
    </row>
    <row r="95" spans="1:18" ht="12.75" hidden="1" outlineLevel="3">
      <c r="A95" s="19" t="s">
        <v>43</v>
      </c>
      <c r="B95" s="20"/>
      <c r="C95" s="20"/>
      <c r="D95" s="20"/>
      <c r="E95" s="67">
        <f t="shared" si="48"/>
        <v>0</v>
      </c>
      <c r="F95" s="20"/>
      <c r="G95" s="20"/>
      <c r="H95" s="20"/>
      <c r="I95" s="67">
        <f t="shared" si="49"/>
        <v>0</v>
      </c>
      <c r="J95" s="20"/>
      <c r="K95" s="20"/>
      <c r="L95" s="20"/>
      <c r="M95" s="67">
        <f t="shared" si="50"/>
        <v>0</v>
      </c>
      <c r="N95" s="20"/>
      <c r="O95" s="20"/>
      <c r="P95" s="20"/>
      <c r="Q95" s="67">
        <f t="shared" si="51"/>
        <v>0</v>
      </c>
      <c r="R95" s="21">
        <f t="shared" si="52"/>
        <v>0</v>
      </c>
    </row>
    <row r="96" spans="1:18" ht="12.75" hidden="1" outlineLevel="3">
      <c r="A96" s="19" t="s">
        <v>44</v>
      </c>
      <c r="B96" s="20"/>
      <c r="C96" s="20"/>
      <c r="D96" s="20"/>
      <c r="E96" s="67">
        <f t="shared" si="48"/>
        <v>0</v>
      </c>
      <c r="F96" s="20"/>
      <c r="G96" s="20"/>
      <c r="H96" s="20"/>
      <c r="I96" s="67">
        <f t="shared" si="49"/>
        <v>0</v>
      </c>
      <c r="J96" s="20"/>
      <c r="K96" s="20"/>
      <c r="L96" s="20"/>
      <c r="M96" s="67">
        <f t="shared" si="50"/>
        <v>0</v>
      </c>
      <c r="N96" s="20"/>
      <c r="O96" s="20"/>
      <c r="P96" s="20"/>
      <c r="Q96" s="67">
        <f t="shared" si="51"/>
        <v>0</v>
      </c>
      <c r="R96" s="21">
        <f t="shared" si="52"/>
        <v>0</v>
      </c>
    </row>
    <row r="97" spans="1:18" ht="12.75" hidden="1" outlineLevel="3">
      <c r="A97" s="19" t="s">
        <v>45</v>
      </c>
      <c r="B97" s="62"/>
      <c r="C97" s="62"/>
      <c r="D97" s="62"/>
      <c r="E97" s="35">
        <f t="shared" si="48"/>
        <v>0</v>
      </c>
      <c r="F97" s="62"/>
      <c r="G97" s="62"/>
      <c r="H97" s="62"/>
      <c r="I97" s="35">
        <f t="shared" si="49"/>
        <v>0</v>
      </c>
      <c r="J97" s="62"/>
      <c r="K97" s="62"/>
      <c r="L97" s="62"/>
      <c r="M97" s="35">
        <f t="shared" si="50"/>
        <v>0</v>
      </c>
      <c r="N97" s="62"/>
      <c r="O97" s="62"/>
      <c r="P97" s="62"/>
      <c r="Q97" s="35">
        <f t="shared" si="51"/>
        <v>0</v>
      </c>
      <c r="R97" s="34">
        <f t="shared" si="52"/>
        <v>0</v>
      </c>
    </row>
    <row r="98" spans="1:18" ht="12.75" hidden="1" outlineLevel="3">
      <c r="A98" s="19" t="s">
        <v>46</v>
      </c>
      <c r="B98" s="20"/>
      <c r="C98" s="20"/>
      <c r="D98" s="20"/>
      <c r="E98" s="67">
        <f t="shared" si="48"/>
        <v>0</v>
      </c>
      <c r="F98" s="20"/>
      <c r="G98" s="20"/>
      <c r="H98" s="20"/>
      <c r="I98" s="67">
        <f t="shared" si="49"/>
        <v>0</v>
      </c>
      <c r="J98" s="20"/>
      <c r="K98" s="20"/>
      <c r="L98" s="20"/>
      <c r="M98" s="67">
        <f t="shared" si="50"/>
        <v>0</v>
      </c>
      <c r="N98" s="20"/>
      <c r="O98" s="20"/>
      <c r="P98" s="20"/>
      <c r="Q98" s="67">
        <f t="shared" si="51"/>
        <v>0</v>
      </c>
      <c r="R98" s="21">
        <f t="shared" si="52"/>
        <v>0</v>
      </c>
    </row>
    <row r="99" spans="1:18" ht="12.75" hidden="1" outlineLevel="3">
      <c r="A99" s="19" t="s">
        <v>58</v>
      </c>
      <c r="B99" s="62"/>
      <c r="C99" s="62">
        <v>0.5</v>
      </c>
      <c r="D99" s="62"/>
      <c r="E99" s="59">
        <f t="shared" si="48"/>
        <v>0.5</v>
      </c>
      <c r="F99" s="52"/>
      <c r="G99" s="52"/>
      <c r="H99" s="52">
        <v>1.11</v>
      </c>
      <c r="I99" s="59">
        <f t="shared" si="49"/>
        <v>1.11</v>
      </c>
      <c r="J99" s="52"/>
      <c r="K99" s="52"/>
      <c r="L99" s="52">
        <v>1.06</v>
      </c>
      <c r="M99" s="59">
        <f t="shared" si="50"/>
        <v>1.06</v>
      </c>
      <c r="N99" s="52"/>
      <c r="O99" s="52"/>
      <c r="P99" s="52"/>
      <c r="Q99" s="59">
        <f t="shared" si="51"/>
        <v>0</v>
      </c>
      <c r="R99" s="60">
        <f t="shared" si="52"/>
        <v>2.67</v>
      </c>
    </row>
    <row r="100" spans="1:18" ht="12.75" hidden="1" outlineLevel="2">
      <c r="A100" s="22" t="s">
        <v>47</v>
      </c>
      <c r="B100" s="63">
        <f aca="true" t="shared" si="53" ref="B100:Q100">SUM(B92:B99)</f>
        <v>0</v>
      </c>
      <c r="C100" s="63">
        <f t="shared" si="53"/>
        <v>0.5</v>
      </c>
      <c r="D100" s="63">
        <f t="shared" si="53"/>
        <v>0</v>
      </c>
      <c r="E100" s="33">
        <f t="shared" si="53"/>
        <v>0.5</v>
      </c>
      <c r="F100" s="33">
        <f t="shared" si="53"/>
        <v>0</v>
      </c>
      <c r="G100" s="33">
        <f t="shared" si="53"/>
        <v>0</v>
      </c>
      <c r="H100" s="33">
        <f t="shared" si="53"/>
        <v>1.11</v>
      </c>
      <c r="I100" s="33">
        <f t="shared" si="53"/>
        <v>1.11</v>
      </c>
      <c r="J100" s="33">
        <f t="shared" si="53"/>
        <v>0</v>
      </c>
      <c r="K100" s="33">
        <f t="shared" si="53"/>
        <v>0</v>
      </c>
      <c r="L100" s="33">
        <f t="shared" si="53"/>
        <v>1.06</v>
      </c>
      <c r="M100" s="33">
        <f t="shared" si="53"/>
        <v>1.06</v>
      </c>
      <c r="N100" s="33">
        <f t="shared" si="53"/>
        <v>0</v>
      </c>
      <c r="O100" s="33">
        <f t="shared" si="53"/>
        <v>0</v>
      </c>
      <c r="P100" s="33">
        <f t="shared" si="53"/>
        <v>0</v>
      </c>
      <c r="Q100" s="33">
        <f t="shared" si="53"/>
        <v>0</v>
      </c>
      <c r="R100" s="34">
        <f t="shared" si="52"/>
        <v>2.67</v>
      </c>
    </row>
    <row r="101" spans="1:18" ht="12.75" hidden="1" outlineLevel="3">
      <c r="A101" s="23" t="s">
        <v>15</v>
      </c>
      <c r="B101" s="63">
        <v>42.6</v>
      </c>
      <c r="C101" s="63">
        <v>42.72</v>
      </c>
      <c r="D101" s="63">
        <v>43.08</v>
      </c>
      <c r="E101" s="35">
        <f aca="true" t="shared" si="54" ref="E101:E110">SUM(B101:D101)</f>
        <v>128.39999999999998</v>
      </c>
      <c r="F101" s="37">
        <v>42.48</v>
      </c>
      <c r="G101" s="37">
        <v>42.72</v>
      </c>
      <c r="H101" s="37">
        <v>42.96</v>
      </c>
      <c r="I101" s="35">
        <f aca="true" t="shared" si="55" ref="I101:I110">SUM(F101:H101)</f>
        <v>128.16</v>
      </c>
      <c r="J101" s="37">
        <v>42.96</v>
      </c>
      <c r="K101" s="37">
        <v>42.6</v>
      </c>
      <c r="L101" s="37">
        <v>42.72</v>
      </c>
      <c r="M101" s="35">
        <f aca="true" t="shared" si="56" ref="M101:M110">SUM(J101:L101)</f>
        <v>128.28</v>
      </c>
      <c r="N101" s="37">
        <v>43.2</v>
      </c>
      <c r="O101" s="37">
        <v>43.56</v>
      </c>
      <c r="P101" s="38">
        <v>45</v>
      </c>
      <c r="Q101" s="35">
        <f aca="true" t="shared" si="57" ref="Q101:Q110">SUM(N101:P101)</f>
        <v>131.76</v>
      </c>
      <c r="R101" s="34">
        <f t="shared" si="52"/>
        <v>516.5999999999999</v>
      </c>
    </row>
    <row r="102" spans="1:18" ht="12.75" hidden="1" outlineLevel="3">
      <c r="A102" s="23" t="s">
        <v>16</v>
      </c>
      <c r="B102" s="62">
        <v>9</v>
      </c>
      <c r="C102" s="62">
        <v>9</v>
      </c>
      <c r="D102" s="62">
        <v>9</v>
      </c>
      <c r="E102" s="35">
        <f t="shared" si="54"/>
        <v>27</v>
      </c>
      <c r="F102" s="62">
        <v>9</v>
      </c>
      <c r="G102" s="62">
        <v>9</v>
      </c>
      <c r="H102" s="62">
        <v>9</v>
      </c>
      <c r="I102" s="35">
        <f t="shared" si="55"/>
        <v>27</v>
      </c>
      <c r="J102" s="62">
        <v>9</v>
      </c>
      <c r="K102" s="62">
        <v>9</v>
      </c>
      <c r="L102" s="62">
        <v>9</v>
      </c>
      <c r="M102" s="35">
        <f t="shared" si="56"/>
        <v>27</v>
      </c>
      <c r="N102" s="62">
        <v>9</v>
      </c>
      <c r="O102" s="62">
        <v>9</v>
      </c>
      <c r="P102" s="62">
        <v>9</v>
      </c>
      <c r="Q102" s="35">
        <f t="shared" si="57"/>
        <v>27</v>
      </c>
      <c r="R102" s="34">
        <f t="shared" si="52"/>
        <v>108</v>
      </c>
    </row>
    <row r="103" spans="1:18" ht="12.75" hidden="1" outlineLevel="3">
      <c r="A103" s="23" t="s">
        <v>17</v>
      </c>
      <c r="B103" s="63">
        <v>36.16</v>
      </c>
      <c r="C103" s="63">
        <v>67.8</v>
      </c>
      <c r="D103" s="63">
        <v>19.21</v>
      </c>
      <c r="E103" s="35">
        <f t="shared" si="54"/>
        <v>123.16999999999999</v>
      </c>
      <c r="F103" s="37">
        <v>10.17</v>
      </c>
      <c r="G103" s="37">
        <v>11.3</v>
      </c>
      <c r="H103" s="37">
        <v>7.91</v>
      </c>
      <c r="I103" s="35">
        <f t="shared" si="55"/>
        <v>29.38</v>
      </c>
      <c r="J103" s="37">
        <v>10.17</v>
      </c>
      <c r="K103" s="37">
        <v>10.17</v>
      </c>
      <c r="L103" s="37">
        <v>6.78</v>
      </c>
      <c r="M103" s="35">
        <f t="shared" si="56"/>
        <v>27.12</v>
      </c>
      <c r="N103" s="37">
        <v>18.08</v>
      </c>
      <c r="O103" s="37">
        <v>7.91</v>
      </c>
      <c r="P103" s="38">
        <v>15.82</v>
      </c>
      <c r="Q103" s="35">
        <f t="shared" si="57"/>
        <v>41.81</v>
      </c>
      <c r="R103" s="34">
        <f t="shared" si="52"/>
        <v>221.48</v>
      </c>
    </row>
    <row r="104" spans="1:18" ht="12.75" hidden="1" outlineLevel="3">
      <c r="A104" s="25" t="s">
        <v>18</v>
      </c>
      <c r="B104" s="63">
        <v>0.89</v>
      </c>
      <c r="C104" s="63">
        <v>2.33</v>
      </c>
      <c r="D104" s="63">
        <v>3.07</v>
      </c>
      <c r="E104" s="35">
        <f t="shared" si="54"/>
        <v>6.29</v>
      </c>
      <c r="F104" s="37">
        <v>2.91</v>
      </c>
      <c r="G104" s="37">
        <v>0.73</v>
      </c>
      <c r="H104" s="37">
        <v>0.66</v>
      </c>
      <c r="I104" s="35">
        <f t="shared" si="55"/>
        <v>4.3</v>
      </c>
      <c r="J104" s="37">
        <v>0.65</v>
      </c>
      <c r="K104" s="37">
        <v>0.97</v>
      </c>
      <c r="L104" s="37">
        <v>1.02</v>
      </c>
      <c r="M104" s="35">
        <f t="shared" si="56"/>
        <v>2.64</v>
      </c>
      <c r="N104" s="37">
        <v>1.6</v>
      </c>
      <c r="O104" s="37">
        <v>2.16</v>
      </c>
      <c r="P104" s="38">
        <v>6.85</v>
      </c>
      <c r="Q104" s="35">
        <f t="shared" si="57"/>
        <v>10.61</v>
      </c>
      <c r="R104" s="34">
        <f t="shared" si="52"/>
        <v>23.84</v>
      </c>
    </row>
    <row r="105" spans="1:18" ht="12.75" hidden="1" outlineLevel="3">
      <c r="A105" s="23" t="s">
        <v>19</v>
      </c>
      <c r="B105" s="63"/>
      <c r="C105" s="63"/>
      <c r="D105" s="63">
        <v>0.93</v>
      </c>
      <c r="E105" s="35">
        <f t="shared" si="54"/>
        <v>0.93</v>
      </c>
      <c r="F105" s="37"/>
      <c r="G105" s="37"/>
      <c r="H105" s="37"/>
      <c r="I105" s="35">
        <f t="shared" si="55"/>
        <v>0</v>
      </c>
      <c r="J105" s="37"/>
      <c r="K105" s="37"/>
      <c r="L105" s="37"/>
      <c r="M105" s="35">
        <f t="shared" si="56"/>
        <v>0</v>
      </c>
      <c r="N105" s="37"/>
      <c r="O105" s="37"/>
      <c r="P105" s="38"/>
      <c r="Q105" s="35">
        <f t="shared" si="57"/>
        <v>0</v>
      </c>
      <c r="R105" s="34">
        <f t="shared" si="52"/>
        <v>0.93</v>
      </c>
    </row>
    <row r="106" spans="1:18" ht="12.75" hidden="1" outlineLevel="3">
      <c r="A106" s="23" t="s">
        <v>20</v>
      </c>
      <c r="B106" s="63">
        <v>20.12</v>
      </c>
      <c r="C106" s="63">
        <v>24.52</v>
      </c>
      <c r="D106" s="63">
        <f>9.04+7.5</f>
        <v>16.54</v>
      </c>
      <c r="E106" s="35">
        <f t="shared" si="54"/>
        <v>61.18</v>
      </c>
      <c r="F106" s="37">
        <v>4</v>
      </c>
      <c r="G106" s="37">
        <v>8</v>
      </c>
      <c r="H106" s="37">
        <v>1.5</v>
      </c>
      <c r="I106" s="35">
        <f t="shared" si="55"/>
        <v>13.5</v>
      </c>
      <c r="J106" s="37">
        <v>2</v>
      </c>
      <c r="K106" s="37">
        <v>6</v>
      </c>
      <c r="L106" s="37">
        <v>4</v>
      </c>
      <c r="M106" s="35">
        <f t="shared" si="56"/>
        <v>12</v>
      </c>
      <c r="N106" s="37">
        <v>5.5</v>
      </c>
      <c r="O106" s="37">
        <v>0.5</v>
      </c>
      <c r="P106" s="38">
        <v>1</v>
      </c>
      <c r="Q106" s="35">
        <f t="shared" si="57"/>
        <v>7</v>
      </c>
      <c r="R106" s="34">
        <f t="shared" si="52"/>
        <v>93.68</v>
      </c>
    </row>
    <row r="107" spans="1:18" ht="12.75" hidden="1" outlineLevel="3">
      <c r="A107" s="23" t="s">
        <v>66</v>
      </c>
      <c r="B107" s="63"/>
      <c r="C107" s="63"/>
      <c r="D107" s="63"/>
      <c r="E107" s="35"/>
      <c r="F107" s="37"/>
      <c r="G107" s="37"/>
      <c r="H107" s="37"/>
      <c r="I107" s="35"/>
      <c r="J107" s="37"/>
      <c r="K107" s="37"/>
      <c r="L107" s="37"/>
      <c r="M107" s="35"/>
      <c r="N107" s="37"/>
      <c r="O107" s="37"/>
      <c r="P107" s="38"/>
      <c r="Q107" s="35"/>
      <c r="R107" s="34"/>
    </row>
    <row r="108" spans="1:18" ht="12.75" hidden="1" outlineLevel="3">
      <c r="A108" s="23" t="s">
        <v>21</v>
      </c>
      <c r="B108" s="63"/>
      <c r="C108" s="63"/>
      <c r="D108" s="63"/>
      <c r="E108" s="35">
        <f t="shared" si="54"/>
        <v>0</v>
      </c>
      <c r="F108" s="37"/>
      <c r="G108" s="37"/>
      <c r="H108" s="37"/>
      <c r="I108" s="35">
        <f t="shared" si="55"/>
        <v>0</v>
      </c>
      <c r="J108" s="37"/>
      <c r="K108" s="37"/>
      <c r="L108" s="37"/>
      <c r="M108" s="35">
        <f t="shared" si="56"/>
        <v>0</v>
      </c>
      <c r="N108" s="37"/>
      <c r="O108" s="37"/>
      <c r="P108" s="38"/>
      <c r="Q108" s="35">
        <f t="shared" si="57"/>
        <v>0</v>
      </c>
      <c r="R108" s="34">
        <f t="shared" si="52"/>
        <v>0</v>
      </c>
    </row>
    <row r="109" spans="1:18" ht="12.75" hidden="1" outlineLevel="3">
      <c r="A109" s="23" t="s">
        <v>22</v>
      </c>
      <c r="B109" s="63"/>
      <c r="C109" s="63">
        <v>4.26</v>
      </c>
      <c r="D109" s="63"/>
      <c r="E109" s="35">
        <f t="shared" si="54"/>
        <v>4.26</v>
      </c>
      <c r="F109" s="37"/>
      <c r="G109" s="37"/>
      <c r="H109" s="37">
        <v>4.26</v>
      </c>
      <c r="I109" s="35">
        <f t="shared" si="55"/>
        <v>4.26</v>
      </c>
      <c r="J109" s="37">
        <v>4.26</v>
      </c>
      <c r="K109" s="37">
        <v>4.26</v>
      </c>
      <c r="L109" s="37">
        <v>21.3</v>
      </c>
      <c r="M109" s="35">
        <f t="shared" si="56"/>
        <v>29.82</v>
      </c>
      <c r="N109" s="37">
        <v>4.26</v>
      </c>
      <c r="O109" s="37">
        <v>8.52</v>
      </c>
      <c r="P109" s="38">
        <v>4.26</v>
      </c>
      <c r="Q109" s="35">
        <f t="shared" si="57"/>
        <v>17.04</v>
      </c>
      <c r="R109" s="34">
        <f t="shared" si="52"/>
        <v>55.379999999999995</v>
      </c>
    </row>
    <row r="110" spans="1:18" ht="12.75" hidden="1" outlineLevel="3">
      <c r="A110" s="23" t="s">
        <v>61</v>
      </c>
      <c r="B110" s="62"/>
      <c r="C110" s="62"/>
      <c r="D110" s="62"/>
      <c r="E110" s="35">
        <f t="shared" si="54"/>
        <v>0</v>
      </c>
      <c r="F110" s="38"/>
      <c r="G110" s="38"/>
      <c r="H110" s="38"/>
      <c r="I110" s="35">
        <f t="shared" si="55"/>
        <v>0</v>
      </c>
      <c r="J110" s="38"/>
      <c r="K110" s="38"/>
      <c r="L110" s="38"/>
      <c r="M110" s="35">
        <f t="shared" si="56"/>
        <v>0</v>
      </c>
      <c r="N110" s="38"/>
      <c r="O110" s="38"/>
      <c r="P110" s="38"/>
      <c r="Q110" s="35">
        <f t="shared" si="57"/>
        <v>0</v>
      </c>
      <c r="R110" s="34">
        <f t="shared" si="52"/>
        <v>0</v>
      </c>
    </row>
    <row r="111" spans="1:18" ht="12.75" hidden="1" outlineLevel="2">
      <c r="A111" s="28" t="s">
        <v>50</v>
      </c>
      <c r="B111" s="43">
        <f aca="true" t="shared" si="58" ref="B111:Q111">SUM(B101:B110)</f>
        <v>108.77</v>
      </c>
      <c r="C111" s="43">
        <f t="shared" si="58"/>
        <v>150.63</v>
      </c>
      <c r="D111" s="43">
        <f t="shared" si="58"/>
        <v>91.82999999999998</v>
      </c>
      <c r="E111" s="43">
        <f t="shared" si="58"/>
        <v>351.22999999999996</v>
      </c>
      <c r="F111" s="43">
        <f t="shared" si="58"/>
        <v>68.56</v>
      </c>
      <c r="G111" s="43">
        <f t="shared" si="58"/>
        <v>71.75</v>
      </c>
      <c r="H111" s="43">
        <f t="shared" si="58"/>
        <v>66.29</v>
      </c>
      <c r="I111" s="43">
        <f t="shared" si="58"/>
        <v>206.6</v>
      </c>
      <c r="J111" s="43">
        <f t="shared" si="58"/>
        <v>69.04</v>
      </c>
      <c r="K111" s="43">
        <f t="shared" si="58"/>
        <v>73.00000000000001</v>
      </c>
      <c r="L111" s="43">
        <f t="shared" si="58"/>
        <v>84.82000000000001</v>
      </c>
      <c r="M111" s="43">
        <f t="shared" si="58"/>
        <v>226.85999999999999</v>
      </c>
      <c r="N111" s="43">
        <f t="shared" si="58"/>
        <v>81.64</v>
      </c>
      <c r="O111" s="43">
        <f t="shared" si="58"/>
        <v>71.64999999999999</v>
      </c>
      <c r="P111" s="43">
        <f t="shared" si="58"/>
        <v>81.92999999999999</v>
      </c>
      <c r="Q111" s="43">
        <f t="shared" si="58"/>
        <v>235.22</v>
      </c>
      <c r="R111" s="44">
        <f t="shared" si="52"/>
        <v>1019.9099999999999</v>
      </c>
    </row>
    <row r="112" spans="1:21" ht="13.5" outlineLevel="1" collapsed="1" thickBot="1">
      <c r="A112" s="26" t="s">
        <v>48</v>
      </c>
      <c r="B112" s="46">
        <f aca="true" t="shared" si="59" ref="B112:R112">B111+B100</f>
        <v>108.77</v>
      </c>
      <c r="C112" s="46">
        <f t="shared" si="59"/>
        <v>151.13</v>
      </c>
      <c r="D112" s="46">
        <f t="shared" si="59"/>
        <v>91.82999999999998</v>
      </c>
      <c r="E112" s="45">
        <f t="shared" si="59"/>
        <v>351.72999999999996</v>
      </c>
      <c r="F112" s="46">
        <f t="shared" si="59"/>
        <v>68.56</v>
      </c>
      <c r="G112" s="46">
        <f t="shared" si="59"/>
        <v>71.75</v>
      </c>
      <c r="H112" s="46">
        <f t="shared" si="59"/>
        <v>67.4</v>
      </c>
      <c r="I112" s="45">
        <f t="shared" si="59"/>
        <v>207.71</v>
      </c>
      <c r="J112" s="46">
        <f t="shared" si="59"/>
        <v>69.04</v>
      </c>
      <c r="K112" s="46">
        <f t="shared" si="59"/>
        <v>73.00000000000001</v>
      </c>
      <c r="L112" s="46">
        <f t="shared" si="59"/>
        <v>85.88000000000001</v>
      </c>
      <c r="M112" s="45">
        <f t="shared" si="59"/>
        <v>227.92</v>
      </c>
      <c r="N112" s="46">
        <f t="shared" si="59"/>
        <v>81.64</v>
      </c>
      <c r="O112" s="46">
        <f t="shared" si="59"/>
        <v>71.64999999999999</v>
      </c>
      <c r="P112" s="46">
        <f t="shared" si="59"/>
        <v>81.92999999999999</v>
      </c>
      <c r="Q112" s="45">
        <f t="shared" si="59"/>
        <v>235.22</v>
      </c>
      <c r="R112" s="47">
        <f t="shared" si="59"/>
        <v>1022.5799999999998</v>
      </c>
      <c r="S112" s="65">
        <f>((B101/0.12)+(C101/0.12)+(D101/0.12)+(F101/0.12)+(G101/0.12)+(H101/0.12)+(J101/0.12)+(K101/0.12)+(L101/0.12)+(N101/0.12)+(O101/0.12)+(P101/0.12))/12</f>
        <v>358.75</v>
      </c>
      <c r="T112" s="54">
        <f>IF(R112&gt;0,R112/S112,0)</f>
        <v>2.8503972125435535</v>
      </c>
      <c r="U112" s="66">
        <f>IF(R103&gt;0,R103/R112,0)</f>
        <v>0.21658941109742028</v>
      </c>
    </row>
    <row r="113" spans="1:18" ht="13.5" outlineLevel="1" thickTop="1">
      <c r="A113" s="16" t="s">
        <v>31</v>
      </c>
      <c r="B113" s="17"/>
      <c r="C113" s="17"/>
      <c r="D113" s="17"/>
      <c r="E113" s="14"/>
      <c r="F113" s="17"/>
      <c r="G113" s="17"/>
      <c r="H113" s="17"/>
      <c r="I113" s="14"/>
      <c r="J113" s="17"/>
      <c r="K113" s="17"/>
      <c r="L113" s="17"/>
      <c r="M113" s="14"/>
      <c r="N113" s="17"/>
      <c r="O113" s="17"/>
      <c r="P113" s="17"/>
      <c r="Q113" s="14"/>
      <c r="R113" s="27"/>
    </row>
    <row r="114" spans="1:18" ht="12.75" hidden="1" outlineLevel="3">
      <c r="A114" s="19" t="s">
        <v>40</v>
      </c>
      <c r="B114" s="20"/>
      <c r="C114" s="20"/>
      <c r="D114" s="20"/>
      <c r="E114" s="67">
        <f aca="true" t="shared" si="60" ref="E114:E121">SUM(B114:D114)</f>
        <v>0</v>
      </c>
      <c r="F114" s="20"/>
      <c r="G114" s="20"/>
      <c r="H114" s="20"/>
      <c r="I114" s="67">
        <f aca="true" t="shared" si="61" ref="I114:I121">SUM(F114:H114)</f>
        <v>0</v>
      </c>
      <c r="J114" s="20"/>
      <c r="K114" s="20"/>
      <c r="L114" s="20"/>
      <c r="M114" s="67">
        <f aca="true" t="shared" si="62" ref="M114:M121">SUM(J114:L114)</f>
        <v>0</v>
      </c>
      <c r="N114" s="20"/>
      <c r="O114" s="20"/>
      <c r="P114" s="20"/>
      <c r="Q114" s="67">
        <f aca="true" t="shared" si="63" ref="Q114:Q121">SUM(N114:P114)</f>
        <v>0</v>
      </c>
      <c r="R114" s="21">
        <f aca="true" t="shared" si="64" ref="R114:R133">Q114+M114+I114+E114</f>
        <v>0</v>
      </c>
    </row>
    <row r="115" spans="1:18" ht="12.75" hidden="1" outlineLevel="3">
      <c r="A115" s="19" t="s">
        <v>41</v>
      </c>
      <c r="B115" s="20"/>
      <c r="C115" s="20"/>
      <c r="D115" s="20"/>
      <c r="E115" s="67">
        <f t="shared" si="60"/>
        <v>0</v>
      </c>
      <c r="F115" s="20"/>
      <c r="G115" s="20"/>
      <c r="H115" s="20"/>
      <c r="I115" s="67">
        <f t="shared" si="61"/>
        <v>0</v>
      </c>
      <c r="J115" s="20"/>
      <c r="K115" s="20"/>
      <c r="L115" s="20"/>
      <c r="M115" s="67">
        <f t="shared" si="62"/>
        <v>0</v>
      </c>
      <c r="N115" s="20"/>
      <c r="O115" s="20"/>
      <c r="P115" s="20"/>
      <c r="Q115" s="67">
        <f t="shared" si="63"/>
        <v>0</v>
      </c>
      <c r="R115" s="21">
        <f t="shared" si="64"/>
        <v>0</v>
      </c>
    </row>
    <row r="116" spans="1:18" ht="12.75" hidden="1" outlineLevel="3">
      <c r="A116" s="19" t="s">
        <v>42</v>
      </c>
      <c r="B116" s="20"/>
      <c r="C116" s="20"/>
      <c r="D116" s="20"/>
      <c r="E116" s="67">
        <f t="shared" si="60"/>
        <v>0</v>
      </c>
      <c r="F116" s="20"/>
      <c r="G116" s="20"/>
      <c r="H116" s="20"/>
      <c r="I116" s="67">
        <f t="shared" si="61"/>
        <v>0</v>
      </c>
      <c r="J116" s="20"/>
      <c r="K116" s="20"/>
      <c r="L116" s="20"/>
      <c r="M116" s="67">
        <f t="shared" si="62"/>
        <v>0</v>
      </c>
      <c r="N116" s="20"/>
      <c r="O116" s="20"/>
      <c r="P116" s="20"/>
      <c r="Q116" s="67">
        <f t="shared" si="63"/>
        <v>0</v>
      </c>
      <c r="R116" s="21">
        <f t="shared" si="64"/>
        <v>0</v>
      </c>
    </row>
    <row r="117" spans="1:18" ht="12.75" hidden="1" outlineLevel="3">
      <c r="A117" s="19" t="s">
        <v>43</v>
      </c>
      <c r="B117" s="20"/>
      <c r="C117" s="20"/>
      <c r="D117" s="20"/>
      <c r="E117" s="67">
        <f t="shared" si="60"/>
        <v>0</v>
      </c>
      <c r="F117" s="20"/>
      <c r="G117" s="20"/>
      <c r="H117" s="20"/>
      <c r="I117" s="67">
        <f t="shared" si="61"/>
        <v>0</v>
      </c>
      <c r="J117" s="20"/>
      <c r="K117" s="20"/>
      <c r="L117" s="20"/>
      <c r="M117" s="67">
        <f t="shared" si="62"/>
        <v>0</v>
      </c>
      <c r="N117" s="20"/>
      <c r="O117" s="20"/>
      <c r="P117" s="20"/>
      <c r="Q117" s="67">
        <f t="shared" si="63"/>
        <v>0</v>
      </c>
      <c r="R117" s="21">
        <f t="shared" si="64"/>
        <v>0</v>
      </c>
    </row>
    <row r="118" spans="1:18" ht="12.75" hidden="1" outlineLevel="3">
      <c r="A118" s="19" t="s">
        <v>44</v>
      </c>
      <c r="B118" s="20"/>
      <c r="C118" s="20"/>
      <c r="D118" s="20"/>
      <c r="E118" s="67">
        <f t="shared" si="60"/>
        <v>0</v>
      </c>
      <c r="F118" s="20"/>
      <c r="G118" s="20"/>
      <c r="H118" s="20"/>
      <c r="I118" s="67">
        <f t="shared" si="61"/>
        <v>0</v>
      </c>
      <c r="J118" s="20"/>
      <c r="K118" s="20"/>
      <c r="L118" s="20"/>
      <c r="M118" s="67">
        <f t="shared" si="62"/>
        <v>0</v>
      </c>
      <c r="N118" s="20"/>
      <c r="O118" s="20"/>
      <c r="P118" s="20"/>
      <c r="Q118" s="67">
        <f t="shared" si="63"/>
        <v>0</v>
      </c>
      <c r="R118" s="21">
        <f t="shared" si="64"/>
        <v>0</v>
      </c>
    </row>
    <row r="119" spans="1:18" ht="12.75" hidden="1" outlineLevel="3">
      <c r="A119" s="19" t="s">
        <v>45</v>
      </c>
      <c r="B119" s="62"/>
      <c r="C119" s="62"/>
      <c r="D119" s="62"/>
      <c r="E119" s="35">
        <f t="shared" si="60"/>
        <v>0</v>
      </c>
      <c r="F119" s="62"/>
      <c r="G119" s="62"/>
      <c r="H119" s="62"/>
      <c r="I119" s="35">
        <f t="shared" si="61"/>
        <v>0</v>
      </c>
      <c r="J119" s="62"/>
      <c r="K119" s="62"/>
      <c r="L119" s="62"/>
      <c r="M119" s="35">
        <f t="shared" si="62"/>
        <v>0</v>
      </c>
      <c r="N119" s="62"/>
      <c r="O119" s="62"/>
      <c r="P119" s="62"/>
      <c r="Q119" s="35">
        <f t="shared" si="63"/>
        <v>0</v>
      </c>
      <c r="R119" s="34">
        <f t="shared" si="64"/>
        <v>0</v>
      </c>
    </row>
    <row r="120" spans="1:18" ht="12.75" hidden="1" outlineLevel="3">
      <c r="A120" s="19" t="s">
        <v>46</v>
      </c>
      <c r="B120" s="20"/>
      <c r="C120" s="20"/>
      <c r="D120" s="20"/>
      <c r="E120" s="67">
        <f t="shared" si="60"/>
        <v>0</v>
      </c>
      <c r="F120" s="20"/>
      <c r="G120" s="20"/>
      <c r="H120" s="20"/>
      <c r="I120" s="67">
        <f t="shared" si="61"/>
        <v>0</v>
      </c>
      <c r="J120" s="20"/>
      <c r="K120" s="20"/>
      <c r="L120" s="20"/>
      <c r="M120" s="67">
        <f t="shared" si="62"/>
        <v>0</v>
      </c>
      <c r="N120" s="20"/>
      <c r="O120" s="20"/>
      <c r="P120" s="20"/>
      <c r="Q120" s="67">
        <f t="shared" si="63"/>
        <v>0</v>
      </c>
      <c r="R120" s="21">
        <f t="shared" si="64"/>
        <v>0</v>
      </c>
    </row>
    <row r="121" spans="1:18" ht="12.75" hidden="1" outlineLevel="3">
      <c r="A121" s="19" t="s">
        <v>58</v>
      </c>
      <c r="B121" s="62"/>
      <c r="C121" s="62">
        <v>0.8</v>
      </c>
      <c r="D121" s="62">
        <v>0.8</v>
      </c>
      <c r="E121" s="59">
        <f t="shared" si="60"/>
        <v>1.6</v>
      </c>
      <c r="F121" s="52"/>
      <c r="G121" s="52"/>
      <c r="H121" s="52">
        <v>1.93</v>
      </c>
      <c r="I121" s="59">
        <f t="shared" si="61"/>
        <v>1.93</v>
      </c>
      <c r="J121" s="52"/>
      <c r="K121" s="52"/>
      <c r="L121" s="52">
        <v>1.84</v>
      </c>
      <c r="M121" s="59">
        <f t="shared" si="62"/>
        <v>1.84</v>
      </c>
      <c r="N121" s="52"/>
      <c r="O121" s="52"/>
      <c r="P121" s="52"/>
      <c r="Q121" s="59">
        <f t="shared" si="63"/>
        <v>0</v>
      </c>
      <c r="R121" s="60">
        <f t="shared" si="64"/>
        <v>5.37</v>
      </c>
    </row>
    <row r="122" spans="1:18" ht="12.75" hidden="1" outlineLevel="2">
      <c r="A122" s="22" t="s">
        <v>47</v>
      </c>
      <c r="B122" s="63">
        <f aca="true" t="shared" si="65" ref="B122:Q122">SUM(B114:B121)</f>
        <v>0</v>
      </c>
      <c r="C122" s="63">
        <f t="shared" si="65"/>
        <v>0.8</v>
      </c>
      <c r="D122" s="63">
        <f t="shared" si="65"/>
        <v>0.8</v>
      </c>
      <c r="E122" s="33">
        <f t="shared" si="65"/>
        <v>1.6</v>
      </c>
      <c r="F122" s="33">
        <f t="shared" si="65"/>
        <v>0</v>
      </c>
      <c r="G122" s="33">
        <f t="shared" si="65"/>
        <v>0</v>
      </c>
      <c r="H122" s="33">
        <f t="shared" si="65"/>
        <v>1.93</v>
      </c>
      <c r="I122" s="33">
        <f t="shared" si="65"/>
        <v>1.93</v>
      </c>
      <c r="J122" s="33">
        <f t="shared" si="65"/>
        <v>0</v>
      </c>
      <c r="K122" s="33">
        <f t="shared" si="65"/>
        <v>0</v>
      </c>
      <c r="L122" s="33">
        <f t="shared" si="65"/>
        <v>1.84</v>
      </c>
      <c r="M122" s="33">
        <f t="shared" si="65"/>
        <v>1.84</v>
      </c>
      <c r="N122" s="33">
        <f t="shared" si="65"/>
        <v>0</v>
      </c>
      <c r="O122" s="33">
        <f t="shared" si="65"/>
        <v>0</v>
      </c>
      <c r="P122" s="33">
        <f t="shared" si="65"/>
        <v>0</v>
      </c>
      <c r="Q122" s="33">
        <f t="shared" si="65"/>
        <v>0</v>
      </c>
      <c r="R122" s="34">
        <f t="shared" si="64"/>
        <v>5.37</v>
      </c>
    </row>
    <row r="123" spans="1:18" ht="12.75" hidden="1" outlineLevel="3">
      <c r="A123" s="23" t="s">
        <v>15</v>
      </c>
      <c r="B123" s="63">
        <v>72.84</v>
      </c>
      <c r="C123" s="63">
        <v>74.16</v>
      </c>
      <c r="D123" s="63">
        <v>73.2</v>
      </c>
      <c r="E123" s="35">
        <f aca="true" t="shared" si="66" ref="E123:E132">SUM(B123:D123)</f>
        <v>220.2</v>
      </c>
      <c r="F123" s="37">
        <v>73.8</v>
      </c>
      <c r="G123" s="37">
        <v>74.04</v>
      </c>
      <c r="H123" s="37">
        <v>74.16</v>
      </c>
      <c r="I123" s="35">
        <f aca="true" t="shared" si="67" ref="I123:I132">SUM(F123:H123)</f>
        <v>222</v>
      </c>
      <c r="J123" s="37">
        <v>74.28</v>
      </c>
      <c r="K123" s="37">
        <v>74.04</v>
      </c>
      <c r="L123" s="37">
        <v>74.52</v>
      </c>
      <c r="M123" s="35">
        <f aca="true" t="shared" si="68" ref="M123:M132">SUM(J123:L123)</f>
        <v>222.83999999999997</v>
      </c>
      <c r="N123" s="37">
        <v>75.24</v>
      </c>
      <c r="O123" s="37">
        <v>75</v>
      </c>
      <c r="P123" s="38">
        <v>74.64</v>
      </c>
      <c r="Q123" s="35">
        <f aca="true" t="shared" si="69" ref="Q123:Q132">SUM(N123:P123)</f>
        <v>224.88</v>
      </c>
      <c r="R123" s="34">
        <f t="shared" si="64"/>
        <v>889.9200000000001</v>
      </c>
    </row>
    <row r="124" spans="1:18" ht="12.75" hidden="1" outlineLevel="3">
      <c r="A124" s="23" t="s">
        <v>16</v>
      </c>
      <c r="B124" s="62">
        <v>10</v>
      </c>
      <c r="C124" s="62">
        <v>10</v>
      </c>
      <c r="D124" s="62">
        <v>10</v>
      </c>
      <c r="E124" s="35">
        <f t="shared" si="66"/>
        <v>30</v>
      </c>
      <c r="F124" s="62">
        <v>10</v>
      </c>
      <c r="G124" s="62">
        <v>10</v>
      </c>
      <c r="H124" s="62">
        <v>10</v>
      </c>
      <c r="I124" s="35">
        <f t="shared" si="67"/>
        <v>30</v>
      </c>
      <c r="J124" s="62">
        <v>10</v>
      </c>
      <c r="K124" s="62">
        <v>10</v>
      </c>
      <c r="L124" s="62">
        <v>10</v>
      </c>
      <c r="M124" s="35">
        <f t="shared" si="68"/>
        <v>30</v>
      </c>
      <c r="N124" s="62">
        <v>10</v>
      </c>
      <c r="O124" s="62">
        <v>10</v>
      </c>
      <c r="P124" s="62">
        <v>10</v>
      </c>
      <c r="Q124" s="35">
        <f t="shared" si="69"/>
        <v>30</v>
      </c>
      <c r="R124" s="34">
        <f t="shared" si="64"/>
        <v>120</v>
      </c>
    </row>
    <row r="125" spans="1:18" ht="12.75" hidden="1" outlineLevel="3">
      <c r="A125" s="23" t="s">
        <v>17</v>
      </c>
      <c r="B125" s="63">
        <v>10.17</v>
      </c>
      <c r="C125" s="63">
        <v>45.2</v>
      </c>
      <c r="D125" s="63">
        <v>29.38</v>
      </c>
      <c r="E125" s="35">
        <f t="shared" si="66"/>
        <v>84.75</v>
      </c>
      <c r="F125" s="37">
        <v>32.77</v>
      </c>
      <c r="G125" s="37">
        <v>51.98</v>
      </c>
      <c r="H125" s="37">
        <v>10.17</v>
      </c>
      <c r="I125" s="35">
        <f t="shared" si="67"/>
        <v>94.92</v>
      </c>
      <c r="J125" s="37">
        <v>10.17</v>
      </c>
      <c r="K125" s="37">
        <v>32.77</v>
      </c>
      <c r="L125" s="37">
        <v>22.6</v>
      </c>
      <c r="M125" s="35">
        <f t="shared" si="68"/>
        <v>65.54</v>
      </c>
      <c r="N125" s="37">
        <v>28.25</v>
      </c>
      <c r="O125" s="37">
        <v>14.69</v>
      </c>
      <c r="P125" s="38">
        <v>9.04</v>
      </c>
      <c r="Q125" s="35">
        <f t="shared" si="69"/>
        <v>51.98</v>
      </c>
      <c r="R125" s="34">
        <f t="shared" si="64"/>
        <v>297.19</v>
      </c>
    </row>
    <row r="126" spans="1:18" ht="12.75" hidden="1" outlineLevel="3">
      <c r="A126" s="25" t="s">
        <v>18</v>
      </c>
      <c r="B126" s="62">
        <v>1.44</v>
      </c>
      <c r="C126" s="62">
        <v>3.76</v>
      </c>
      <c r="D126" s="62">
        <v>5.21</v>
      </c>
      <c r="E126" s="35">
        <f t="shared" si="66"/>
        <v>10.41</v>
      </c>
      <c r="F126" s="62">
        <v>4.95</v>
      </c>
      <c r="G126" s="62">
        <v>1.25</v>
      </c>
      <c r="H126" s="62">
        <v>1.11</v>
      </c>
      <c r="I126" s="35">
        <f t="shared" si="67"/>
        <v>7.3100000000000005</v>
      </c>
      <c r="J126" s="62">
        <v>1.12</v>
      </c>
      <c r="K126" s="62">
        <v>1.68</v>
      </c>
      <c r="L126" s="62">
        <v>1.76</v>
      </c>
      <c r="M126" s="35">
        <f t="shared" si="68"/>
        <v>4.56</v>
      </c>
      <c r="N126" s="62">
        <v>2.76</v>
      </c>
      <c r="O126" s="62">
        <v>3.73</v>
      </c>
      <c r="P126" s="62">
        <v>11.83</v>
      </c>
      <c r="Q126" s="35">
        <f t="shared" si="69"/>
        <v>18.32</v>
      </c>
      <c r="R126" s="34">
        <f t="shared" si="64"/>
        <v>40.599999999999994</v>
      </c>
    </row>
    <row r="127" spans="1:18" ht="12.75" hidden="1" outlineLevel="3">
      <c r="A127" s="23" t="s">
        <v>19</v>
      </c>
      <c r="B127" s="63"/>
      <c r="C127" s="63">
        <v>0.93</v>
      </c>
      <c r="D127" s="63"/>
      <c r="E127" s="35">
        <f t="shared" si="66"/>
        <v>0.93</v>
      </c>
      <c r="F127" s="37"/>
      <c r="G127" s="37"/>
      <c r="H127" s="37"/>
      <c r="I127" s="35">
        <f t="shared" si="67"/>
        <v>0</v>
      </c>
      <c r="J127" s="37"/>
      <c r="K127" s="37">
        <v>1.86</v>
      </c>
      <c r="L127" s="37"/>
      <c r="M127" s="35">
        <f t="shared" si="68"/>
        <v>1.86</v>
      </c>
      <c r="N127" s="37"/>
      <c r="O127" s="37"/>
      <c r="P127" s="38"/>
      <c r="Q127" s="35">
        <f t="shared" si="69"/>
        <v>0</v>
      </c>
      <c r="R127" s="34">
        <f t="shared" si="64"/>
        <v>2.79</v>
      </c>
    </row>
    <row r="128" spans="1:18" ht="12.75" hidden="1" outlineLevel="3">
      <c r="A128" s="23" t="s">
        <v>20</v>
      </c>
      <c r="B128" s="63"/>
      <c r="C128" s="63"/>
      <c r="D128" s="63"/>
      <c r="E128" s="35">
        <f t="shared" si="66"/>
        <v>0</v>
      </c>
      <c r="F128" s="37"/>
      <c r="G128" s="37"/>
      <c r="H128" s="37"/>
      <c r="I128" s="35">
        <f t="shared" si="67"/>
        <v>0</v>
      </c>
      <c r="J128" s="37"/>
      <c r="K128" s="37"/>
      <c r="L128" s="37"/>
      <c r="M128" s="35">
        <f t="shared" si="68"/>
        <v>0</v>
      </c>
      <c r="N128" s="37"/>
      <c r="O128" s="37"/>
      <c r="P128" s="38"/>
      <c r="Q128" s="35">
        <f t="shared" si="69"/>
        <v>0</v>
      </c>
      <c r="R128" s="34">
        <f t="shared" si="64"/>
        <v>0</v>
      </c>
    </row>
    <row r="129" spans="1:18" ht="12.75" hidden="1" outlineLevel="3">
      <c r="A129" s="23" t="s">
        <v>66</v>
      </c>
      <c r="B129" s="63"/>
      <c r="C129" s="63"/>
      <c r="D129" s="63"/>
      <c r="E129" s="35"/>
      <c r="F129" s="37"/>
      <c r="G129" s="37"/>
      <c r="H129" s="37"/>
      <c r="I129" s="35"/>
      <c r="J129" s="37"/>
      <c r="K129" s="37"/>
      <c r="L129" s="37"/>
      <c r="M129" s="35"/>
      <c r="N129" s="37"/>
      <c r="O129" s="37"/>
      <c r="P129" s="38"/>
      <c r="Q129" s="35"/>
      <c r="R129" s="34"/>
    </row>
    <row r="130" spans="1:18" ht="12.75" hidden="1" outlineLevel="3">
      <c r="A130" s="23" t="s">
        <v>21</v>
      </c>
      <c r="B130" s="63"/>
      <c r="C130" s="63"/>
      <c r="D130" s="63"/>
      <c r="E130" s="35">
        <f t="shared" si="66"/>
        <v>0</v>
      </c>
      <c r="F130" s="37"/>
      <c r="G130" s="37"/>
      <c r="H130" s="37"/>
      <c r="I130" s="35">
        <f t="shared" si="67"/>
        <v>0</v>
      </c>
      <c r="J130" s="37"/>
      <c r="K130" s="37"/>
      <c r="L130" s="37"/>
      <c r="M130" s="35">
        <f t="shared" si="68"/>
        <v>0</v>
      </c>
      <c r="N130" s="37"/>
      <c r="O130" s="37"/>
      <c r="P130" s="38"/>
      <c r="Q130" s="35">
        <f t="shared" si="69"/>
        <v>0</v>
      </c>
      <c r="R130" s="34">
        <f t="shared" si="64"/>
        <v>0</v>
      </c>
    </row>
    <row r="131" spans="1:18" ht="12.75" hidden="1" outlineLevel="3">
      <c r="A131" s="23" t="s">
        <v>22</v>
      </c>
      <c r="B131" s="63"/>
      <c r="C131" s="63"/>
      <c r="D131" s="63"/>
      <c r="E131" s="35">
        <f t="shared" si="66"/>
        <v>0</v>
      </c>
      <c r="F131" s="37">
        <v>25.56</v>
      </c>
      <c r="G131" s="37">
        <v>17.04</v>
      </c>
      <c r="H131" s="37"/>
      <c r="I131" s="35">
        <f t="shared" si="67"/>
        <v>42.599999999999994</v>
      </c>
      <c r="J131" s="37"/>
      <c r="K131" s="37"/>
      <c r="L131" s="37"/>
      <c r="M131" s="35">
        <f t="shared" si="68"/>
        <v>0</v>
      </c>
      <c r="N131" s="37">
        <v>8.52</v>
      </c>
      <c r="O131" s="37">
        <v>8.52</v>
      </c>
      <c r="P131" s="38">
        <v>4.26</v>
      </c>
      <c r="Q131" s="35">
        <f t="shared" si="69"/>
        <v>21.299999999999997</v>
      </c>
      <c r="R131" s="34">
        <f t="shared" si="64"/>
        <v>63.89999999999999</v>
      </c>
    </row>
    <row r="132" spans="1:18" ht="12.75" hidden="1" outlineLevel="3">
      <c r="A132" s="23" t="s">
        <v>61</v>
      </c>
      <c r="B132" s="62"/>
      <c r="C132" s="62"/>
      <c r="D132" s="62"/>
      <c r="E132" s="35">
        <f t="shared" si="66"/>
        <v>0</v>
      </c>
      <c r="F132" s="38"/>
      <c r="G132" s="38"/>
      <c r="H132" s="38"/>
      <c r="I132" s="35">
        <f t="shared" si="67"/>
        <v>0</v>
      </c>
      <c r="J132" s="38"/>
      <c r="K132" s="38"/>
      <c r="L132" s="38"/>
      <c r="M132" s="35">
        <f t="shared" si="68"/>
        <v>0</v>
      </c>
      <c r="N132" s="38"/>
      <c r="O132" s="38"/>
      <c r="P132" s="38"/>
      <c r="Q132" s="35">
        <f t="shared" si="69"/>
        <v>0</v>
      </c>
      <c r="R132" s="34">
        <f t="shared" si="64"/>
        <v>0</v>
      </c>
    </row>
    <row r="133" spans="1:18" ht="12.75" hidden="1" outlineLevel="2">
      <c r="A133" s="28" t="s">
        <v>50</v>
      </c>
      <c r="B133" s="43">
        <f aca="true" t="shared" si="70" ref="B133:Q133">SUM(B123:B132)</f>
        <v>94.45</v>
      </c>
      <c r="C133" s="43">
        <f t="shared" si="70"/>
        <v>134.05</v>
      </c>
      <c r="D133" s="43">
        <f t="shared" si="70"/>
        <v>117.78999999999999</v>
      </c>
      <c r="E133" s="43">
        <f t="shared" si="70"/>
        <v>346.29</v>
      </c>
      <c r="F133" s="43">
        <f t="shared" si="70"/>
        <v>147.07999999999998</v>
      </c>
      <c r="G133" s="43">
        <f t="shared" si="70"/>
        <v>154.31</v>
      </c>
      <c r="H133" s="43">
        <f t="shared" si="70"/>
        <v>95.44</v>
      </c>
      <c r="I133" s="43">
        <f t="shared" si="70"/>
        <v>396.83000000000004</v>
      </c>
      <c r="J133" s="43">
        <f t="shared" si="70"/>
        <v>95.57000000000001</v>
      </c>
      <c r="K133" s="43">
        <f t="shared" si="70"/>
        <v>120.35000000000001</v>
      </c>
      <c r="L133" s="43">
        <f t="shared" si="70"/>
        <v>108.88000000000001</v>
      </c>
      <c r="M133" s="43">
        <f t="shared" si="70"/>
        <v>324.8</v>
      </c>
      <c r="N133" s="43">
        <f t="shared" si="70"/>
        <v>124.77</v>
      </c>
      <c r="O133" s="43">
        <f t="shared" si="70"/>
        <v>111.94</v>
      </c>
      <c r="P133" s="43">
        <f t="shared" si="70"/>
        <v>109.77000000000001</v>
      </c>
      <c r="Q133" s="43">
        <f t="shared" si="70"/>
        <v>346.48</v>
      </c>
      <c r="R133" s="44">
        <f t="shared" si="64"/>
        <v>1414.4</v>
      </c>
    </row>
    <row r="134" spans="1:21" ht="13.5" outlineLevel="1" collapsed="1" thickBot="1">
      <c r="A134" s="22" t="s">
        <v>48</v>
      </c>
      <c r="B134" s="46">
        <f aca="true" t="shared" si="71" ref="B134:R134">B133+B122</f>
        <v>94.45</v>
      </c>
      <c r="C134" s="46">
        <f t="shared" si="71"/>
        <v>134.85000000000002</v>
      </c>
      <c r="D134" s="46">
        <f t="shared" si="71"/>
        <v>118.58999999999999</v>
      </c>
      <c r="E134" s="45">
        <f t="shared" si="71"/>
        <v>347.89000000000004</v>
      </c>
      <c r="F134" s="46">
        <f t="shared" si="71"/>
        <v>147.07999999999998</v>
      </c>
      <c r="G134" s="46">
        <f t="shared" si="71"/>
        <v>154.31</v>
      </c>
      <c r="H134" s="46">
        <f t="shared" si="71"/>
        <v>97.37</v>
      </c>
      <c r="I134" s="45">
        <f t="shared" si="71"/>
        <v>398.76000000000005</v>
      </c>
      <c r="J134" s="46">
        <f t="shared" si="71"/>
        <v>95.57000000000001</v>
      </c>
      <c r="K134" s="46">
        <f t="shared" si="71"/>
        <v>120.35000000000001</v>
      </c>
      <c r="L134" s="46">
        <f t="shared" si="71"/>
        <v>110.72000000000001</v>
      </c>
      <c r="M134" s="45">
        <f t="shared" si="71"/>
        <v>326.64</v>
      </c>
      <c r="N134" s="46">
        <f t="shared" si="71"/>
        <v>124.77</v>
      </c>
      <c r="O134" s="46">
        <f t="shared" si="71"/>
        <v>111.94</v>
      </c>
      <c r="P134" s="46">
        <f t="shared" si="71"/>
        <v>109.77000000000001</v>
      </c>
      <c r="Q134" s="45">
        <f t="shared" si="71"/>
        <v>346.48</v>
      </c>
      <c r="R134" s="47">
        <f t="shared" si="71"/>
        <v>1419.77</v>
      </c>
      <c r="S134" s="65">
        <f>((B123/0.12)+(C123/0.12)+(D123/0.12)+(F123/0.12)+(G123/0.12)+(H123/0.12)+(J123/0.12)+(K123/0.12)+(L123/0.12)+(N123/0.12)+(O123/0.12)+(P123/0.12))/12</f>
        <v>618</v>
      </c>
      <c r="T134" s="54">
        <f>IF(R134&gt;0,R134/S134,0)</f>
        <v>2.2973624595469255</v>
      </c>
      <c r="U134" s="66">
        <f>IF(R125&gt;0,R125/R134,0)</f>
        <v>0.20932263676510984</v>
      </c>
    </row>
    <row r="135" spans="1:18" ht="13.5" outlineLevel="1" thickTop="1">
      <c r="A135" s="16" t="s">
        <v>32</v>
      </c>
      <c r="B135" s="17"/>
      <c r="C135" s="17"/>
      <c r="D135" s="17"/>
      <c r="E135" s="14"/>
      <c r="F135" s="17"/>
      <c r="G135" s="17"/>
      <c r="H135" s="17"/>
      <c r="I135" s="14"/>
      <c r="J135" s="17"/>
      <c r="K135" s="17"/>
      <c r="L135" s="17"/>
      <c r="M135" s="14"/>
      <c r="N135" s="17"/>
      <c r="O135" s="17"/>
      <c r="P135" s="17"/>
      <c r="Q135" s="14"/>
      <c r="R135" s="27"/>
    </row>
    <row r="136" spans="1:18" ht="12.75" hidden="1" outlineLevel="3">
      <c r="A136" s="19" t="s">
        <v>40</v>
      </c>
      <c r="B136" s="20"/>
      <c r="C136" s="20"/>
      <c r="D136" s="20"/>
      <c r="E136" s="67">
        <f aca="true" t="shared" si="72" ref="E136:E143">SUM(B136:D136)</f>
        <v>0</v>
      </c>
      <c r="F136" s="20"/>
      <c r="G136" s="20"/>
      <c r="H136" s="20"/>
      <c r="I136" s="67">
        <f aca="true" t="shared" si="73" ref="I136:I143">SUM(F136:H136)</f>
        <v>0</v>
      </c>
      <c r="J136" s="20"/>
      <c r="K136" s="20"/>
      <c r="L136" s="20"/>
      <c r="M136" s="67">
        <f aca="true" t="shared" si="74" ref="M136:M143">SUM(J136:L136)</f>
        <v>0</v>
      </c>
      <c r="N136" s="20"/>
      <c r="O136" s="20"/>
      <c r="P136" s="20"/>
      <c r="Q136" s="67">
        <f aca="true" t="shared" si="75" ref="Q136:Q143">SUM(N136:P136)</f>
        <v>0</v>
      </c>
      <c r="R136" s="21">
        <f aca="true" t="shared" si="76" ref="R136:R155">Q136+M136+I136+E136</f>
        <v>0</v>
      </c>
    </row>
    <row r="137" spans="1:18" ht="12.75" hidden="1" outlineLevel="3">
      <c r="A137" s="19" t="s">
        <v>41</v>
      </c>
      <c r="B137" s="20"/>
      <c r="C137" s="20"/>
      <c r="D137" s="20"/>
      <c r="E137" s="67">
        <f t="shared" si="72"/>
        <v>0</v>
      </c>
      <c r="F137" s="20"/>
      <c r="G137" s="20"/>
      <c r="H137" s="20"/>
      <c r="I137" s="67">
        <f t="shared" si="73"/>
        <v>0</v>
      </c>
      <c r="J137" s="20"/>
      <c r="K137" s="20"/>
      <c r="L137" s="20"/>
      <c r="M137" s="67">
        <f t="shared" si="74"/>
        <v>0</v>
      </c>
      <c r="N137" s="20"/>
      <c r="O137" s="20"/>
      <c r="P137" s="20"/>
      <c r="Q137" s="67">
        <f t="shared" si="75"/>
        <v>0</v>
      </c>
      <c r="R137" s="21">
        <f t="shared" si="76"/>
        <v>0</v>
      </c>
    </row>
    <row r="138" spans="1:18" ht="12.75" hidden="1" outlineLevel="3">
      <c r="A138" s="19" t="s">
        <v>42</v>
      </c>
      <c r="B138" s="20"/>
      <c r="C138" s="20"/>
      <c r="D138" s="20"/>
      <c r="E138" s="67">
        <f t="shared" si="72"/>
        <v>0</v>
      </c>
      <c r="F138" s="20"/>
      <c r="G138" s="20"/>
      <c r="H138" s="20"/>
      <c r="I138" s="67">
        <f t="shared" si="73"/>
        <v>0</v>
      </c>
      <c r="J138" s="20"/>
      <c r="K138" s="20"/>
      <c r="L138" s="20"/>
      <c r="M138" s="67">
        <f t="shared" si="74"/>
        <v>0</v>
      </c>
      <c r="N138" s="20"/>
      <c r="O138" s="20"/>
      <c r="P138" s="20"/>
      <c r="Q138" s="67">
        <f t="shared" si="75"/>
        <v>0</v>
      </c>
      <c r="R138" s="21">
        <f t="shared" si="76"/>
        <v>0</v>
      </c>
    </row>
    <row r="139" spans="1:18" ht="12.75" hidden="1" outlineLevel="3">
      <c r="A139" s="19" t="s">
        <v>43</v>
      </c>
      <c r="B139" s="20"/>
      <c r="C139" s="20"/>
      <c r="D139" s="20"/>
      <c r="E139" s="67">
        <f t="shared" si="72"/>
        <v>0</v>
      </c>
      <c r="F139" s="20"/>
      <c r="G139" s="20"/>
      <c r="H139" s="20"/>
      <c r="I139" s="67">
        <f t="shared" si="73"/>
        <v>0</v>
      </c>
      <c r="J139" s="20"/>
      <c r="K139" s="20"/>
      <c r="L139" s="20"/>
      <c r="M139" s="67">
        <f t="shared" si="74"/>
        <v>0</v>
      </c>
      <c r="N139" s="20"/>
      <c r="O139" s="20"/>
      <c r="P139" s="20"/>
      <c r="Q139" s="67">
        <f t="shared" si="75"/>
        <v>0</v>
      </c>
      <c r="R139" s="21">
        <f t="shared" si="76"/>
        <v>0</v>
      </c>
    </row>
    <row r="140" spans="1:18" ht="12.75" hidden="1" outlineLevel="3">
      <c r="A140" s="19" t="s">
        <v>44</v>
      </c>
      <c r="B140" s="20"/>
      <c r="C140" s="20"/>
      <c r="D140" s="20"/>
      <c r="E140" s="67">
        <f t="shared" si="72"/>
        <v>0</v>
      </c>
      <c r="F140" s="20"/>
      <c r="G140" s="20"/>
      <c r="H140" s="20"/>
      <c r="I140" s="67">
        <f t="shared" si="73"/>
        <v>0</v>
      </c>
      <c r="J140" s="20"/>
      <c r="K140" s="20"/>
      <c r="L140" s="20"/>
      <c r="M140" s="67">
        <f t="shared" si="74"/>
        <v>0</v>
      </c>
      <c r="N140" s="20"/>
      <c r="O140" s="20"/>
      <c r="P140" s="20"/>
      <c r="Q140" s="67">
        <f t="shared" si="75"/>
        <v>0</v>
      </c>
      <c r="R140" s="21">
        <f t="shared" si="76"/>
        <v>0</v>
      </c>
    </row>
    <row r="141" spans="1:18" ht="12.75" hidden="1" outlineLevel="3">
      <c r="A141" s="19" t="s">
        <v>45</v>
      </c>
      <c r="B141" s="62"/>
      <c r="C141" s="62"/>
      <c r="D141" s="62"/>
      <c r="E141" s="35">
        <f t="shared" si="72"/>
        <v>0</v>
      </c>
      <c r="F141" s="62"/>
      <c r="G141" s="62"/>
      <c r="H141" s="62"/>
      <c r="I141" s="35">
        <f t="shared" si="73"/>
        <v>0</v>
      </c>
      <c r="J141" s="62"/>
      <c r="K141" s="62"/>
      <c r="L141" s="62"/>
      <c r="M141" s="35">
        <f t="shared" si="74"/>
        <v>0</v>
      </c>
      <c r="N141" s="62"/>
      <c r="O141" s="62"/>
      <c r="P141" s="62"/>
      <c r="Q141" s="35">
        <f t="shared" si="75"/>
        <v>0</v>
      </c>
      <c r="R141" s="34">
        <f t="shared" si="76"/>
        <v>0</v>
      </c>
    </row>
    <row r="142" spans="1:18" ht="12.75" hidden="1" outlineLevel="3">
      <c r="A142" s="19" t="s">
        <v>46</v>
      </c>
      <c r="B142" s="20"/>
      <c r="C142" s="20"/>
      <c r="D142" s="20"/>
      <c r="E142" s="67">
        <f t="shared" si="72"/>
        <v>0</v>
      </c>
      <c r="F142" s="20"/>
      <c r="G142" s="20"/>
      <c r="H142" s="20"/>
      <c r="I142" s="67">
        <f t="shared" si="73"/>
        <v>0</v>
      </c>
      <c r="J142" s="20"/>
      <c r="K142" s="20"/>
      <c r="L142" s="20"/>
      <c r="M142" s="67">
        <f t="shared" si="74"/>
        <v>0</v>
      </c>
      <c r="N142" s="20"/>
      <c r="O142" s="20"/>
      <c r="P142" s="20"/>
      <c r="Q142" s="67">
        <f t="shared" si="75"/>
        <v>0</v>
      </c>
      <c r="R142" s="21">
        <f t="shared" si="76"/>
        <v>0</v>
      </c>
    </row>
    <row r="143" spans="1:18" ht="12.75" hidden="1" outlineLevel="3">
      <c r="A143" s="19" t="s">
        <v>58</v>
      </c>
      <c r="B143" s="62"/>
      <c r="C143" s="62">
        <v>1.2</v>
      </c>
      <c r="D143" s="62"/>
      <c r="E143" s="59">
        <f t="shared" si="72"/>
        <v>1.2</v>
      </c>
      <c r="F143" s="52"/>
      <c r="G143" s="52"/>
      <c r="H143" s="52">
        <v>2.72</v>
      </c>
      <c r="I143" s="59">
        <f t="shared" si="73"/>
        <v>2.72</v>
      </c>
      <c r="J143" s="52"/>
      <c r="K143" s="52"/>
      <c r="L143" s="52">
        <v>2.6</v>
      </c>
      <c r="M143" s="59">
        <f t="shared" si="74"/>
        <v>2.6</v>
      </c>
      <c r="N143" s="52"/>
      <c r="O143" s="52"/>
      <c r="P143" s="52"/>
      <c r="Q143" s="59">
        <f t="shared" si="75"/>
        <v>0</v>
      </c>
      <c r="R143" s="60">
        <f t="shared" si="76"/>
        <v>6.5200000000000005</v>
      </c>
    </row>
    <row r="144" spans="1:18" ht="12.75" hidden="1" outlineLevel="2">
      <c r="A144" s="22" t="s">
        <v>47</v>
      </c>
      <c r="B144" s="63">
        <f aca="true" t="shared" si="77" ref="B144:Q144">SUM(B136:B143)</f>
        <v>0</v>
      </c>
      <c r="C144" s="63">
        <f t="shared" si="77"/>
        <v>1.2</v>
      </c>
      <c r="D144" s="63">
        <f t="shared" si="77"/>
        <v>0</v>
      </c>
      <c r="E144" s="33">
        <f t="shared" si="77"/>
        <v>1.2</v>
      </c>
      <c r="F144" s="33">
        <f t="shared" si="77"/>
        <v>0</v>
      </c>
      <c r="G144" s="33">
        <f t="shared" si="77"/>
        <v>0</v>
      </c>
      <c r="H144" s="33">
        <f t="shared" si="77"/>
        <v>2.72</v>
      </c>
      <c r="I144" s="33">
        <f t="shared" si="77"/>
        <v>2.72</v>
      </c>
      <c r="J144" s="33">
        <f t="shared" si="77"/>
        <v>0</v>
      </c>
      <c r="K144" s="33">
        <f t="shared" si="77"/>
        <v>0</v>
      </c>
      <c r="L144" s="33">
        <f t="shared" si="77"/>
        <v>2.6</v>
      </c>
      <c r="M144" s="33">
        <f t="shared" si="77"/>
        <v>2.6</v>
      </c>
      <c r="N144" s="33">
        <f t="shared" si="77"/>
        <v>0</v>
      </c>
      <c r="O144" s="33">
        <f t="shared" si="77"/>
        <v>0</v>
      </c>
      <c r="P144" s="33">
        <f t="shared" si="77"/>
        <v>0</v>
      </c>
      <c r="Q144" s="33">
        <f t="shared" si="77"/>
        <v>0</v>
      </c>
      <c r="R144" s="34">
        <f t="shared" si="76"/>
        <v>6.5200000000000005</v>
      </c>
    </row>
    <row r="145" spans="1:18" ht="12.75" hidden="1" outlineLevel="3">
      <c r="A145" s="23" t="s">
        <v>15</v>
      </c>
      <c r="B145" s="63">
        <v>104.28</v>
      </c>
      <c r="C145" s="63">
        <v>104.28</v>
      </c>
      <c r="D145" s="63">
        <v>104.28</v>
      </c>
      <c r="E145" s="35">
        <f aca="true" t="shared" si="78" ref="E145:E154">SUM(B145:D145)</f>
        <v>312.84000000000003</v>
      </c>
      <c r="F145" s="37">
        <v>104.4</v>
      </c>
      <c r="G145" s="37">
        <v>104.76</v>
      </c>
      <c r="H145" s="37">
        <v>104.64</v>
      </c>
      <c r="I145" s="35">
        <f aca="true" t="shared" si="79" ref="I145:I154">SUM(F145:H145)</f>
        <v>313.8</v>
      </c>
      <c r="J145" s="37">
        <v>104.88</v>
      </c>
      <c r="K145" s="37">
        <v>104.88</v>
      </c>
      <c r="L145" s="37">
        <v>105.36</v>
      </c>
      <c r="M145" s="35">
        <f aca="true" t="shared" si="80" ref="M145:M154">SUM(J145:L145)</f>
        <v>315.12</v>
      </c>
      <c r="N145" s="37">
        <v>106.32</v>
      </c>
      <c r="O145" s="37">
        <v>106.56</v>
      </c>
      <c r="P145" s="38">
        <v>106.56</v>
      </c>
      <c r="Q145" s="35">
        <f aca="true" t="shared" si="81" ref="Q145:Q154">SUM(N145:P145)</f>
        <v>319.44</v>
      </c>
      <c r="R145" s="34">
        <f t="shared" si="76"/>
        <v>1261.1999999999998</v>
      </c>
    </row>
    <row r="146" spans="1:18" ht="12.75" hidden="1" outlineLevel="3">
      <c r="A146" s="23" t="s">
        <v>16</v>
      </c>
      <c r="B146" s="62">
        <v>21</v>
      </c>
      <c r="C146" s="62">
        <v>21</v>
      </c>
      <c r="D146" s="62">
        <v>21</v>
      </c>
      <c r="E146" s="35">
        <f t="shared" si="78"/>
        <v>63</v>
      </c>
      <c r="F146" s="62">
        <v>21</v>
      </c>
      <c r="G146" s="62">
        <v>21</v>
      </c>
      <c r="H146" s="62">
        <v>21</v>
      </c>
      <c r="I146" s="35">
        <f t="shared" si="79"/>
        <v>63</v>
      </c>
      <c r="J146" s="62">
        <v>21</v>
      </c>
      <c r="K146" s="62">
        <v>21</v>
      </c>
      <c r="L146" s="62">
        <v>21</v>
      </c>
      <c r="M146" s="35">
        <f t="shared" si="80"/>
        <v>63</v>
      </c>
      <c r="N146" s="62">
        <v>21</v>
      </c>
      <c r="O146" s="62">
        <v>21</v>
      </c>
      <c r="P146" s="62">
        <v>21</v>
      </c>
      <c r="Q146" s="35">
        <f t="shared" si="81"/>
        <v>63</v>
      </c>
      <c r="R146" s="34">
        <f t="shared" si="76"/>
        <v>252</v>
      </c>
    </row>
    <row r="147" spans="1:18" ht="12.75" hidden="1" outlineLevel="3">
      <c r="A147" s="23" t="s">
        <v>17</v>
      </c>
      <c r="B147" s="63">
        <v>27.12</v>
      </c>
      <c r="C147" s="63">
        <v>99.44</v>
      </c>
      <c r="D147" s="63">
        <v>24.86</v>
      </c>
      <c r="E147" s="35">
        <f t="shared" si="78"/>
        <v>151.42000000000002</v>
      </c>
      <c r="F147" s="37">
        <v>16.95</v>
      </c>
      <c r="G147" s="37">
        <v>13.56</v>
      </c>
      <c r="H147" s="37">
        <v>5.65</v>
      </c>
      <c r="I147" s="35">
        <f t="shared" si="79"/>
        <v>36.16</v>
      </c>
      <c r="J147" s="37">
        <v>9.04</v>
      </c>
      <c r="K147" s="37">
        <v>15.82</v>
      </c>
      <c r="L147" s="37">
        <v>20.34</v>
      </c>
      <c r="M147" s="35">
        <f t="shared" si="80"/>
        <v>45.2</v>
      </c>
      <c r="N147" s="37">
        <v>22.6</v>
      </c>
      <c r="O147" s="37">
        <v>13.56</v>
      </c>
      <c r="P147" s="38">
        <v>13.56</v>
      </c>
      <c r="Q147" s="35">
        <f t="shared" si="81"/>
        <v>49.720000000000006</v>
      </c>
      <c r="R147" s="34">
        <f t="shared" si="76"/>
        <v>282.5</v>
      </c>
    </row>
    <row r="148" spans="1:18" ht="12.75" hidden="1" outlineLevel="3">
      <c r="A148" s="25" t="s">
        <v>18</v>
      </c>
      <c r="B148" s="62">
        <v>2.23</v>
      </c>
      <c r="C148" s="62">
        <v>5.81</v>
      </c>
      <c r="D148" s="62">
        <v>7.42</v>
      </c>
      <c r="E148" s="35">
        <f t="shared" si="78"/>
        <v>15.459999999999999</v>
      </c>
      <c r="F148" s="62">
        <v>7.05</v>
      </c>
      <c r="G148" s="62">
        <v>1.77</v>
      </c>
      <c r="H148" s="62">
        <v>1.59</v>
      </c>
      <c r="I148" s="35">
        <f t="shared" si="79"/>
        <v>10.41</v>
      </c>
      <c r="J148" s="62">
        <v>1.57</v>
      </c>
      <c r="K148" s="62">
        <v>2.37</v>
      </c>
      <c r="L148" s="62">
        <v>2.48</v>
      </c>
      <c r="M148" s="35">
        <f t="shared" si="80"/>
        <v>6.42</v>
      </c>
      <c r="N148" s="62">
        <v>3.9</v>
      </c>
      <c r="O148" s="62">
        <v>5.26</v>
      </c>
      <c r="P148" s="62">
        <v>16.69</v>
      </c>
      <c r="Q148" s="35">
        <f t="shared" si="81"/>
        <v>25.85</v>
      </c>
      <c r="R148" s="34">
        <f t="shared" si="76"/>
        <v>58.14000000000001</v>
      </c>
    </row>
    <row r="149" spans="1:18" ht="12.75" hidden="1" outlineLevel="3">
      <c r="A149" s="23" t="s">
        <v>19</v>
      </c>
      <c r="B149" s="63">
        <v>0.93</v>
      </c>
      <c r="C149" s="63">
        <v>3.72</v>
      </c>
      <c r="D149" s="63">
        <v>2.79</v>
      </c>
      <c r="E149" s="35">
        <f t="shared" si="78"/>
        <v>7.44</v>
      </c>
      <c r="F149" s="37"/>
      <c r="G149" s="37"/>
      <c r="H149" s="37"/>
      <c r="I149" s="35">
        <f t="shared" si="79"/>
        <v>0</v>
      </c>
      <c r="J149" s="37"/>
      <c r="K149" s="37"/>
      <c r="L149" s="37"/>
      <c r="M149" s="35">
        <f t="shared" si="80"/>
        <v>0</v>
      </c>
      <c r="N149" s="37"/>
      <c r="O149" s="37"/>
      <c r="P149" s="38"/>
      <c r="Q149" s="35">
        <f t="shared" si="81"/>
        <v>0</v>
      </c>
      <c r="R149" s="34">
        <f t="shared" si="76"/>
        <v>7.44</v>
      </c>
    </row>
    <row r="150" spans="1:18" ht="12.75" hidden="1" outlineLevel="3">
      <c r="A150" s="23" t="s">
        <v>20</v>
      </c>
      <c r="B150" s="63">
        <v>31.5</v>
      </c>
      <c r="C150" s="63">
        <f>31.5+0.18+41.81</f>
        <v>73.49000000000001</v>
      </c>
      <c r="D150" s="63">
        <f>61+0.24+71.19</f>
        <v>132.43</v>
      </c>
      <c r="E150" s="35">
        <f t="shared" si="78"/>
        <v>237.42000000000002</v>
      </c>
      <c r="F150" s="37"/>
      <c r="G150" s="37">
        <v>41</v>
      </c>
      <c r="H150" s="37">
        <v>9</v>
      </c>
      <c r="I150" s="35">
        <f t="shared" si="79"/>
        <v>50</v>
      </c>
      <c r="J150" s="37">
        <v>8</v>
      </c>
      <c r="K150" s="37">
        <v>38.5</v>
      </c>
      <c r="L150" s="37">
        <v>16.5</v>
      </c>
      <c r="M150" s="35">
        <f t="shared" si="80"/>
        <v>63</v>
      </c>
      <c r="N150" s="37">
        <v>30</v>
      </c>
      <c r="O150" s="37"/>
      <c r="P150" s="38">
        <v>15</v>
      </c>
      <c r="Q150" s="35">
        <f t="shared" si="81"/>
        <v>45</v>
      </c>
      <c r="R150" s="34">
        <f t="shared" si="76"/>
        <v>395.42</v>
      </c>
    </row>
    <row r="151" spans="1:18" ht="12.75" hidden="1" outlineLevel="3">
      <c r="A151" s="23" t="s">
        <v>66</v>
      </c>
      <c r="B151" s="63"/>
      <c r="C151" s="63"/>
      <c r="D151" s="63"/>
      <c r="E151" s="35"/>
      <c r="F151" s="37"/>
      <c r="G151" s="37"/>
      <c r="H151" s="37">
        <v>0.12</v>
      </c>
      <c r="I151" s="35"/>
      <c r="J151" s="37">
        <v>0.06</v>
      </c>
      <c r="K151" s="37"/>
      <c r="L151" s="37"/>
      <c r="M151" s="35">
        <f t="shared" si="80"/>
        <v>0.06</v>
      </c>
      <c r="N151" s="37"/>
      <c r="O151" s="37"/>
      <c r="P151" s="38">
        <v>0.12</v>
      </c>
      <c r="Q151" s="35"/>
      <c r="R151" s="34"/>
    </row>
    <row r="152" spans="1:18" ht="12.75" hidden="1" outlineLevel="3">
      <c r="A152" s="23" t="s">
        <v>21</v>
      </c>
      <c r="B152" s="63"/>
      <c r="C152" s="63"/>
      <c r="D152" s="63"/>
      <c r="E152" s="35">
        <f t="shared" si="78"/>
        <v>0</v>
      </c>
      <c r="F152" s="37"/>
      <c r="G152" s="37"/>
      <c r="H152" s="37"/>
      <c r="I152" s="35">
        <f t="shared" si="79"/>
        <v>0</v>
      </c>
      <c r="J152" s="37"/>
      <c r="K152" s="37"/>
      <c r="L152" s="37"/>
      <c r="M152" s="35">
        <f t="shared" si="80"/>
        <v>0</v>
      </c>
      <c r="N152" s="37"/>
      <c r="O152" s="37"/>
      <c r="P152" s="38"/>
      <c r="Q152" s="35">
        <f t="shared" si="81"/>
        <v>0</v>
      </c>
      <c r="R152" s="34">
        <f t="shared" si="76"/>
        <v>0</v>
      </c>
    </row>
    <row r="153" spans="1:18" ht="12.75" hidden="1" outlineLevel="3">
      <c r="A153" s="23" t="s">
        <v>22</v>
      </c>
      <c r="B153" s="63">
        <v>4.26</v>
      </c>
      <c r="C153" s="63"/>
      <c r="D153" s="63">
        <v>4.26</v>
      </c>
      <c r="E153" s="35">
        <f t="shared" si="78"/>
        <v>8.52</v>
      </c>
      <c r="F153" s="37">
        <v>45</v>
      </c>
      <c r="G153" s="37"/>
      <c r="H153" s="37"/>
      <c r="I153" s="35">
        <f t="shared" si="79"/>
        <v>45</v>
      </c>
      <c r="J153" s="37"/>
      <c r="K153" s="37"/>
      <c r="L153" s="37"/>
      <c r="M153" s="35">
        <f t="shared" si="80"/>
        <v>0</v>
      </c>
      <c r="N153" s="37"/>
      <c r="O153" s="37">
        <v>11</v>
      </c>
      <c r="P153" s="38">
        <v>4.26</v>
      </c>
      <c r="Q153" s="35">
        <f t="shared" si="81"/>
        <v>15.26</v>
      </c>
      <c r="R153" s="34">
        <f t="shared" si="76"/>
        <v>68.78</v>
      </c>
    </row>
    <row r="154" spans="1:18" ht="12.75" hidden="1" outlineLevel="3">
      <c r="A154" s="23" t="s">
        <v>61</v>
      </c>
      <c r="B154" s="62"/>
      <c r="C154" s="62"/>
      <c r="D154" s="62"/>
      <c r="E154" s="35">
        <f t="shared" si="78"/>
        <v>0</v>
      </c>
      <c r="F154" s="38"/>
      <c r="G154" s="38"/>
      <c r="H154" s="38"/>
      <c r="I154" s="35">
        <f t="shared" si="79"/>
        <v>0</v>
      </c>
      <c r="J154" s="38"/>
      <c r="K154" s="38"/>
      <c r="L154" s="38"/>
      <c r="M154" s="35">
        <f t="shared" si="80"/>
        <v>0</v>
      </c>
      <c r="N154" s="38"/>
      <c r="O154" s="38"/>
      <c r="P154" s="38"/>
      <c r="Q154" s="35">
        <f t="shared" si="81"/>
        <v>0</v>
      </c>
      <c r="R154" s="34">
        <f t="shared" si="76"/>
        <v>0</v>
      </c>
    </row>
    <row r="155" spans="1:18" ht="12.75" hidden="1" outlineLevel="2">
      <c r="A155" s="28" t="s">
        <v>50</v>
      </c>
      <c r="B155" s="43">
        <f aca="true" t="shared" si="82" ref="B155:Q155">SUM(B145:B154)</f>
        <v>191.32</v>
      </c>
      <c r="C155" s="43">
        <f t="shared" si="82"/>
        <v>307.74</v>
      </c>
      <c r="D155" s="43">
        <f t="shared" si="82"/>
        <v>297.03999999999996</v>
      </c>
      <c r="E155" s="43">
        <f t="shared" si="82"/>
        <v>796.1000000000001</v>
      </c>
      <c r="F155" s="43">
        <f t="shared" si="82"/>
        <v>194.4</v>
      </c>
      <c r="G155" s="43">
        <f t="shared" si="82"/>
        <v>182.09</v>
      </c>
      <c r="H155" s="43">
        <f t="shared" si="82"/>
        <v>142</v>
      </c>
      <c r="I155" s="43">
        <f t="shared" si="82"/>
        <v>518.3700000000001</v>
      </c>
      <c r="J155" s="43">
        <f t="shared" si="82"/>
        <v>144.54999999999998</v>
      </c>
      <c r="K155" s="43">
        <f t="shared" si="82"/>
        <v>182.57</v>
      </c>
      <c r="L155" s="43">
        <f t="shared" si="82"/>
        <v>165.67999999999998</v>
      </c>
      <c r="M155" s="43">
        <f t="shared" si="82"/>
        <v>492.8</v>
      </c>
      <c r="N155" s="43">
        <f t="shared" si="82"/>
        <v>183.82</v>
      </c>
      <c r="O155" s="43">
        <f t="shared" si="82"/>
        <v>157.38</v>
      </c>
      <c r="P155" s="43">
        <f t="shared" si="82"/>
        <v>177.19</v>
      </c>
      <c r="Q155" s="43">
        <f t="shared" si="82"/>
        <v>518.2700000000001</v>
      </c>
      <c r="R155" s="44">
        <f t="shared" si="76"/>
        <v>2325.5400000000004</v>
      </c>
    </row>
    <row r="156" spans="1:21" ht="13.5" outlineLevel="1" collapsed="1" thickBot="1">
      <c r="A156" s="26" t="s">
        <v>48</v>
      </c>
      <c r="B156" s="46">
        <f aca="true" t="shared" si="83" ref="B156:R156">B155+B144</f>
        <v>191.32</v>
      </c>
      <c r="C156" s="46">
        <f t="shared" si="83"/>
        <v>308.94</v>
      </c>
      <c r="D156" s="46">
        <f t="shared" si="83"/>
        <v>297.03999999999996</v>
      </c>
      <c r="E156" s="45">
        <f t="shared" si="83"/>
        <v>797.3000000000002</v>
      </c>
      <c r="F156" s="46">
        <f t="shared" si="83"/>
        <v>194.4</v>
      </c>
      <c r="G156" s="46">
        <f t="shared" si="83"/>
        <v>182.09</v>
      </c>
      <c r="H156" s="46">
        <f t="shared" si="83"/>
        <v>144.72</v>
      </c>
      <c r="I156" s="45">
        <f t="shared" si="83"/>
        <v>521.0900000000001</v>
      </c>
      <c r="J156" s="46">
        <f t="shared" si="83"/>
        <v>144.54999999999998</v>
      </c>
      <c r="K156" s="46">
        <f t="shared" si="83"/>
        <v>182.57</v>
      </c>
      <c r="L156" s="46">
        <f t="shared" si="83"/>
        <v>168.27999999999997</v>
      </c>
      <c r="M156" s="45">
        <f t="shared" si="83"/>
        <v>495.40000000000003</v>
      </c>
      <c r="N156" s="46">
        <f t="shared" si="83"/>
        <v>183.82</v>
      </c>
      <c r="O156" s="46">
        <f t="shared" si="83"/>
        <v>157.38</v>
      </c>
      <c r="P156" s="46">
        <f t="shared" si="83"/>
        <v>177.19</v>
      </c>
      <c r="Q156" s="45">
        <f t="shared" si="83"/>
        <v>518.2700000000001</v>
      </c>
      <c r="R156" s="47">
        <f t="shared" si="83"/>
        <v>2332.0600000000004</v>
      </c>
      <c r="S156" s="65">
        <f>((B145/0.12)+(C145/0.12)+(D145/0.12)+(F145/0.12)+(G145/0.12)+(H145/0.12)+(J145/0.12)+(K145/0.12)+(L145/0.12)+(N145/0.12)+(O145/0.12)+(P145/0.12))/12</f>
        <v>875.8333333333334</v>
      </c>
      <c r="T156" s="54">
        <f>IF(R156&gt;0,R156/S156,0)</f>
        <v>2.662675547098002</v>
      </c>
      <c r="U156" s="66">
        <f>IF(R147&gt;0,R147/R156,0)</f>
        <v>0.12113753505484419</v>
      </c>
    </row>
    <row r="157" spans="1:18" ht="13.5" outlineLevel="1" thickTop="1">
      <c r="A157" s="16" t="s">
        <v>33</v>
      </c>
      <c r="B157" s="17"/>
      <c r="C157" s="17"/>
      <c r="D157" s="17"/>
      <c r="E157" s="14"/>
      <c r="F157" s="17"/>
      <c r="G157" s="17"/>
      <c r="H157" s="17"/>
      <c r="I157" s="14"/>
      <c r="J157" s="17"/>
      <c r="K157" s="17"/>
      <c r="L157" s="17"/>
      <c r="M157" s="14"/>
      <c r="N157" s="17"/>
      <c r="O157" s="17"/>
      <c r="P157" s="17"/>
      <c r="Q157" s="14"/>
      <c r="R157" s="27"/>
    </row>
    <row r="158" spans="1:18" ht="12.75" hidden="1" outlineLevel="3">
      <c r="A158" s="19" t="s">
        <v>40</v>
      </c>
      <c r="B158" s="20"/>
      <c r="C158" s="20"/>
      <c r="D158" s="20"/>
      <c r="E158" s="67">
        <f aca="true" t="shared" si="84" ref="E158:E165">SUM(B158:D158)</f>
        <v>0</v>
      </c>
      <c r="F158" s="20"/>
      <c r="G158" s="20"/>
      <c r="H158" s="20"/>
      <c r="I158" s="67">
        <f aca="true" t="shared" si="85" ref="I158:I165">SUM(F158:H158)</f>
        <v>0</v>
      </c>
      <c r="J158" s="20"/>
      <c r="K158" s="20"/>
      <c r="L158" s="20"/>
      <c r="M158" s="67">
        <f aca="true" t="shared" si="86" ref="M158:M165">SUM(J158:L158)</f>
        <v>0</v>
      </c>
      <c r="N158" s="20"/>
      <c r="O158" s="20"/>
      <c r="P158" s="20"/>
      <c r="Q158" s="67">
        <f aca="true" t="shared" si="87" ref="Q158:Q165">SUM(N158:P158)</f>
        <v>0</v>
      </c>
      <c r="R158" s="21">
        <f aca="true" t="shared" si="88" ref="R158:R177">Q158+M158+I158+E158</f>
        <v>0</v>
      </c>
    </row>
    <row r="159" spans="1:18" ht="12.75" hidden="1" outlineLevel="3">
      <c r="A159" s="19" t="s">
        <v>41</v>
      </c>
      <c r="B159" s="20"/>
      <c r="C159" s="20"/>
      <c r="D159" s="20"/>
      <c r="E159" s="67">
        <f t="shared" si="84"/>
        <v>0</v>
      </c>
      <c r="F159" s="20"/>
      <c r="G159" s="20"/>
      <c r="H159" s="20"/>
      <c r="I159" s="67">
        <f t="shared" si="85"/>
        <v>0</v>
      </c>
      <c r="J159" s="20"/>
      <c r="K159" s="20"/>
      <c r="L159" s="20"/>
      <c r="M159" s="67">
        <f t="shared" si="86"/>
        <v>0</v>
      </c>
      <c r="N159" s="20"/>
      <c r="O159" s="20"/>
      <c r="P159" s="20"/>
      <c r="Q159" s="67">
        <f t="shared" si="87"/>
        <v>0</v>
      </c>
      <c r="R159" s="21">
        <f t="shared" si="88"/>
        <v>0</v>
      </c>
    </row>
    <row r="160" spans="1:18" ht="12.75" hidden="1" outlineLevel="3">
      <c r="A160" s="19" t="s">
        <v>42</v>
      </c>
      <c r="B160" s="20"/>
      <c r="C160" s="20"/>
      <c r="D160" s="20"/>
      <c r="E160" s="67">
        <f t="shared" si="84"/>
        <v>0</v>
      </c>
      <c r="F160" s="20"/>
      <c r="G160" s="20"/>
      <c r="H160" s="20"/>
      <c r="I160" s="67">
        <f t="shared" si="85"/>
        <v>0</v>
      </c>
      <c r="J160" s="20"/>
      <c r="K160" s="20"/>
      <c r="L160" s="20"/>
      <c r="M160" s="67">
        <f t="shared" si="86"/>
        <v>0</v>
      </c>
      <c r="N160" s="20"/>
      <c r="O160" s="20"/>
      <c r="P160" s="20"/>
      <c r="Q160" s="67">
        <f t="shared" si="87"/>
        <v>0</v>
      </c>
      <c r="R160" s="21">
        <f t="shared" si="88"/>
        <v>0</v>
      </c>
    </row>
    <row r="161" spans="1:18" ht="12.75" hidden="1" outlineLevel="3">
      <c r="A161" s="19" t="s">
        <v>43</v>
      </c>
      <c r="B161" s="20"/>
      <c r="C161" s="20"/>
      <c r="D161" s="20"/>
      <c r="E161" s="67">
        <f t="shared" si="84"/>
        <v>0</v>
      </c>
      <c r="F161" s="20"/>
      <c r="G161" s="20"/>
      <c r="H161" s="20"/>
      <c r="I161" s="67">
        <f t="shared" si="85"/>
        <v>0</v>
      </c>
      <c r="J161" s="20"/>
      <c r="K161" s="20"/>
      <c r="L161" s="20"/>
      <c r="M161" s="67">
        <f t="shared" si="86"/>
        <v>0</v>
      </c>
      <c r="N161" s="20"/>
      <c r="O161" s="20"/>
      <c r="P161" s="20"/>
      <c r="Q161" s="67">
        <f t="shared" si="87"/>
        <v>0</v>
      </c>
      <c r="R161" s="21">
        <f t="shared" si="88"/>
        <v>0</v>
      </c>
    </row>
    <row r="162" spans="1:18" ht="12.75" hidden="1" outlineLevel="3">
      <c r="A162" s="19" t="s">
        <v>44</v>
      </c>
      <c r="B162" s="20"/>
      <c r="C162" s="20"/>
      <c r="D162" s="20"/>
      <c r="E162" s="67">
        <f t="shared" si="84"/>
        <v>0</v>
      </c>
      <c r="F162" s="20"/>
      <c r="G162" s="20"/>
      <c r="H162" s="20"/>
      <c r="I162" s="67">
        <f t="shared" si="85"/>
        <v>0</v>
      </c>
      <c r="J162" s="20"/>
      <c r="K162" s="20"/>
      <c r="L162" s="20"/>
      <c r="M162" s="67">
        <f t="shared" si="86"/>
        <v>0</v>
      </c>
      <c r="N162" s="20"/>
      <c r="O162" s="20"/>
      <c r="P162" s="20"/>
      <c r="Q162" s="67">
        <f t="shared" si="87"/>
        <v>0</v>
      </c>
      <c r="R162" s="21">
        <f t="shared" si="88"/>
        <v>0</v>
      </c>
    </row>
    <row r="163" spans="1:18" ht="12.75" hidden="1" outlineLevel="3">
      <c r="A163" s="19" t="s">
        <v>45</v>
      </c>
      <c r="B163" s="62"/>
      <c r="C163" s="62"/>
      <c r="D163" s="62"/>
      <c r="E163" s="35">
        <f t="shared" si="84"/>
        <v>0</v>
      </c>
      <c r="F163" s="62"/>
      <c r="G163" s="62"/>
      <c r="H163" s="62"/>
      <c r="I163" s="35">
        <f t="shared" si="85"/>
        <v>0</v>
      </c>
      <c r="J163" s="62"/>
      <c r="K163" s="62"/>
      <c r="L163" s="62"/>
      <c r="M163" s="35">
        <f t="shared" si="86"/>
        <v>0</v>
      </c>
      <c r="N163" s="62"/>
      <c r="O163" s="62"/>
      <c r="P163" s="62"/>
      <c r="Q163" s="35">
        <f t="shared" si="87"/>
        <v>0</v>
      </c>
      <c r="R163" s="34">
        <f t="shared" si="88"/>
        <v>0</v>
      </c>
    </row>
    <row r="164" spans="1:18" ht="12.75" hidden="1" outlineLevel="3">
      <c r="A164" s="19" t="s">
        <v>46</v>
      </c>
      <c r="B164" s="20"/>
      <c r="C164" s="20"/>
      <c r="D164" s="20"/>
      <c r="E164" s="67">
        <f t="shared" si="84"/>
        <v>0</v>
      </c>
      <c r="F164" s="20"/>
      <c r="G164" s="20"/>
      <c r="H164" s="20"/>
      <c r="I164" s="67">
        <f t="shared" si="85"/>
        <v>0</v>
      </c>
      <c r="J164" s="20"/>
      <c r="K164" s="20"/>
      <c r="L164" s="20"/>
      <c r="M164" s="67">
        <f t="shared" si="86"/>
        <v>0</v>
      </c>
      <c r="N164" s="20"/>
      <c r="O164" s="20"/>
      <c r="P164" s="20"/>
      <c r="Q164" s="67">
        <f t="shared" si="87"/>
        <v>0</v>
      </c>
      <c r="R164" s="21">
        <f t="shared" si="88"/>
        <v>0</v>
      </c>
    </row>
    <row r="165" spans="1:18" ht="12.75" hidden="1" outlineLevel="3">
      <c r="A165" s="19" t="s">
        <v>58</v>
      </c>
      <c r="B165" s="62"/>
      <c r="C165" s="62">
        <v>0.65</v>
      </c>
      <c r="D165" s="62"/>
      <c r="E165" s="59">
        <f t="shared" si="84"/>
        <v>0.65</v>
      </c>
      <c r="F165" s="52"/>
      <c r="G165" s="52"/>
      <c r="H165" s="52">
        <v>1.45</v>
      </c>
      <c r="I165" s="59">
        <f t="shared" si="85"/>
        <v>1.45</v>
      </c>
      <c r="J165" s="52"/>
      <c r="K165" s="52"/>
      <c r="L165" s="52">
        <v>1.38</v>
      </c>
      <c r="M165" s="59">
        <f t="shared" si="86"/>
        <v>1.38</v>
      </c>
      <c r="N165" s="52"/>
      <c r="O165" s="52"/>
      <c r="P165" s="52"/>
      <c r="Q165" s="59">
        <f t="shared" si="87"/>
        <v>0</v>
      </c>
      <c r="R165" s="60">
        <f t="shared" si="88"/>
        <v>3.48</v>
      </c>
    </row>
    <row r="166" spans="1:18" ht="12.75" hidden="1" outlineLevel="2">
      <c r="A166" s="22" t="s">
        <v>47</v>
      </c>
      <c r="B166" s="63">
        <f aca="true" t="shared" si="89" ref="B166:Q166">SUM(B158:B165)</f>
        <v>0</v>
      </c>
      <c r="C166" s="63">
        <f t="shared" si="89"/>
        <v>0.65</v>
      </c>
      <c r="D166" s="63">
        <f t="shared" si="89"/>
        <v>0</v>
      </c>
      <c r="E166" s="33">
        <f t="shared" si="89"/>
        <v>0.65</v>
      </c>
      <c r="F166" s="33">
        <f t="shared" si="89"/>
        <v>0</v>
      </c>
      <c r="G166" s="33">
        <f t="shared" si="89"/>
        <v>0</v>
      </c>
      <c r="H166" s="33">
        <f t="shared" si="89"/>
        <v>1.45</v>
      </c>
      <c r="I166" s="33">
        <f t="shared" si="89"/>
        <v>1.45</v>
      </c>
      <c r="J166" s="33">
        <f t="shared" si="89"/>
        <v>0</v>
      </c>
      <c r="K166" s="33">
        <f t="shared" si="89"/>
        <v>0</v>
      </c>
      <c r="L166" s="33">
        <f t="shared" si="89"/>
        <v>1.38</v>
      </c>
      <c r="M166" s="33">
        <f t="shared" si="89"/>
        <v>1.38</v>
      </c>
      <c r="N166" s="33">
        <f t="shared" si="89"/>
        <v>0</v>
      </c>
      <c r="O166" s="33">
        <f t="shared" si="89"/>
        <v>0</v>
      </c>
      <c r="P166" s="33">
        <f t="shared" si="89"/>
        <v>0</v>
      </c>
      <c r="Q166" s="33">
        <f t="shared" si="89"/>
        <v>0</v>
      </c>
      <c r="R166" s="34">
        <f t="shared" si="88"/>
        <v>3.48</v>
      </c>
    </row>
    <row r="167" spans="1:18" ht="12.75" hidden="1" outlineLevel="3">
      <c r="A167" s="23" t="s">
        <v>15</v>
      </c>
      <c r="B167" s="63">
        <v>54.48</v>
      </c>
      <c r="C167" s="63">
        <v>54.72</v>
      </c>
      <c r="D167" s="63">
        <v>54.84</v>
      </c>
      <c r="E167" s="35">
        <f aca="true" t="shared" si="90" ref="E167:E176">SUM(B167:D167)</f>
        <v>164.04</v>
      </c>
      <c r="F167" s="37">
        <v>55.56</v>
      </c>
      <c r="G167" s="37">
        <v>55.68</v>
      </c>
      <c r="H167" s="37">
        <v>55.68</v>
      </c>
      <c r="I167" s="35">
        <f aca="true" t="shared" si="91" ref="I167:I176">SUM(F167:H167)</f>
        <v>166.92000000000002</v>
      </c>
      <c r="J167" s="37">
        <v>55.44</v>
      </c>
      <c r="K167" s="37">
        <v>55.68</v>
      </c>
      <c r="L167" s="37">
        <v>56.88</v>
      </c>
      <c r="M167" s="35">
        <f aca="true" t="shared" si="92" ref="M167:M176">SUM(J167:L167)</f>
        <v>168</v>
      </c>
      <c r="N167" s="37">
        <v>57.6</v>
      </c>
      <c r="O167" s="37">
        <v>57.96</v>
      </c>
      <c r="P167" s="38">
        <v>58.2</v>
      </c>
      <c r="Q167" s="35">
        <f aca="true" t="shared" si="93" ref="Q167:Q176">SUM(N167:P167)</f>
        <v>173.76</v>
      </c>
      <c r="R167" s="34">
        <f t="shared" si="88"/>
        <v>672.72</v>
      </c>
    </row>
    <row r="168" spans="1:18" ht="12.75" hidden="1" outlineLevel="3">
      <c r="A168" s="23" t="s">
        <v>16</v>
      </c>
      <c r="B168" s="62">
        <v>10</v>
      </c>
      <c r="C168" s="62">
        <v>10</v>
      </c>
      <c r="D168" s="63">
        <v>10</v>
      </c>
      <c r="E168" s="35">
        <f t="shared" si="90"/>
        <v>30</v>
      </c>
      <c r="F168" s="62">
        <v>10</v>
      </c>
      <c r="G168" s="62">
        <v>10</v>
      </c>
      <c r="H168" s="62">
        <v>10</v>
      </c>
      <c r="I168" s="35">
        <f t="shared" si="91"/>
        <v>30</v>
      </c>
      <c r="J168" s="62">
        <v>10</v>
      </c>
      <c r="K168" s="62">
        <v>10</v>
      </c>
      <c r="L168" s="62">
        <v>10</v>
      </c>
      <c r="M168" s="35">
        <f t="shared" si="92"/>
        <v>30</v>
      </c>
      <c r="N168" s="62">
        <v>10</v>
      </c>
      <c r="O168" s="62">
        <v>10</v>
      </c>
      <c r="P168" s="62">
        <v>10.36</v>
      </c>
      <c r="Q168" s="35">
        <f t="shared" si="93"/>
        <v>30.36</v>
      </c>
      <c r="R168" s="34">
        <f t="shared" si="88"/>
        <v>120.36</v>
      </c>
    </row>
    <row r="169" spans="1:18" ht="12.75" hidden="1" outlineLevel="3">
      <c r="A169" s="23" t="s">
        <v>17</v>
      </c>
      <c r="B169" s="63">
        <v>18.08</v>
      </c>
      <c r="C169" s="63">
        <v>21.47</v>
      </c>
      <c r="D169" s="63">
        <v>19.21</v>
      </c>
      <c r="E169" s="35">
        <f t="shared" si="90"/>
        <v>58.76</v>
      </c>
      <c r="F169" s="37">
        <v>20.34</v>
      </c>
      <c r="G169" s="37">
        <v>16.95</v>
      </c>
      <c r="H169" s="37">
        <v>3.39</v>
      </c>
      <c r="I169" s="35">
        <f t="shared" si="91"/>
        <v>40.68</v>
      </c>
      <c r="J169" s="37">
        <v>7.91</v>
      </c>
      <c r="K169" s="37">
        <v>19.21</v>
      </c>
      <c r="L169" s="37">
        <v>20.34</v>
      </c>
      <c r="M169" s="35">
        <f t="shared" si="92"/>
        <v>47.46</v>
      </c>
      <c r="N169" s="37">
        <v>16.95</v>
      </c>
      <c r="O169" s="37">
        <v>9.04</v>
      </c>
      <c r="P169" s="38">
        <v>13.56</v>
      </c>
      <c r="Q169" s="35">
        <f t="shared" si="93"/>
        <v>39.55</v>
      </c>
      <c r="R169" s="34">
        <f t="shared" si="88"/>
        <v>186.45</v>
      </c>
    </row>
    <row r="170" spans="1:18" ht="12.75" hidden="1" outlineLevel="3">
      <c r="A170" s="25" t="s">
        <v>18</v>
      </c>
      <c r="B170" s="63">
        <v>1.11</v>
      </c>
      <c r="C170" s="63">
        <v>2.89</v>
      </c>
      <c r="D170" s="63">
        <v>3.9</v>
      </c>
      <c r="E170" s="35">
        <f t="shared" si="90"/>
        <v>7.9</v>
      </c>
      <c r="F170" s="37">
        <v>3.71</v>
      </c>
      <c r="G170" s="37">
        <v>0.93</v>
      </c>
      <c r="H170" s="37">
        <v>0.83</v>
      </c>
      <c r="I170" s="35">
        <f t="shared" si="91"/>
        <v>5.47</v>
      </c>
      <c r="J170" s="37">
        <v>0.84</v>
      </c>
      <c r="K170" s="37">
        <v>1.26</v>
      </c>
      <c r="L170" s="37">
        <v>1.32</v>
      </c>
      <c r="M170" s="35">
        <f t="shared" si="92"/>
        <v>3.42</v>
      </c>
      <c r="N170" s="37">
        <v>2.07</v>
      </c>
      <c r="O170" s="37">
        <v>2.8</v>
      </c>
      <c r="P170" s="38">
        <v>8.88</v>
      </c>
      <c r="Q170" s="35">
        <f t="shared" si="93"/>
        <v>13.75</v>
      </c>
      <c r="R170" s="34">
        <f t="shared" si="88"/>
        <v>30.54</v>
      </c>
    </row>
    <row r="171" spans="1:18" ht="12.75" hidden="1" outlineLevel="3">
      <c r="A171" s="23" t="s">
        <v>19</v>
      </c>
      <c r="B171" s="63"/>
      <c r="C171" s="63"/>
      <c r="D171" s="63">
        <v>0.93</v>
      </c>
      <c r="E171" s="35">
        <f t="shared" si="90"/>
        <v>0.93</v>
      </c>
      <c r="F171" s="37"/>
      <c r="G171" s="37"/>
      <c r="H171" s="37"/>
      <c r="I171" s="35">
        <f t="shared" si="91"/>
        <v>0</v>
      </c>
      <c r="J171" s="37"/>
      <c r="K171" s="37"/>
      <c r="L171" s="37">
        <v>0.93</v>
      </c>
      <c r="M171" s="35">
        <f t="shared" si="92"/>
        <v>0.93</v>
      </c>
      <c r="N171" s="37"/>
      <c r="O171" s="37"/>
      <c r="P171" s="38"/>
      <c r="Q171" s="35">
        <f t="shared" si="93"/>
        <v>0</v>
      </c>
      <c r="R171" s="34">
        <f t="shared" si="88"/>
        <v>1.86</v>
      </c>
    </row>
    <row r="172" spans="1:18" ht="12.75" hidden="1" outlineLevel="3">
      <c r="A172" s="23" t="s">
        <v>20</v>
      </c>
      <c r="B172" s="63"/>
      <c r="C172" s="63"/>
      <c r="D172" s="63"/>
      <c r="E172" s="35">
        <f t="shared" si="90"/>
        <v>0</v>
      </c>
      <c r="F172" s="37"/>
      <c r="G172" s="37"/>
      <c r="H172" s="37"/>
      <c r="I172" s="35">
        <f t="shared" si="91"/>
        <v>0</v>
      </c>
      <c r="J172" s="37"/>
      <c r="K172" s="37"/>
      <c r="L172" s="37"/>
      <c r="M172" s="35">
        <f t="shared" si="92"/>
        <v>0</v>
      </c>
      <c r="N172" s="37"/>
      <c r="O172" s="37"/>
      <c r="P172" s="38"/>
      <c r="Q172" s="35">
        <f t="shared" si="93"/>
        <v>0</v>
      </c>
      <c r="R172" s="34">
        <f t="shared" si="88"/>
        <v>0</v>
      </c>
    </row>
    <row r="173" spans="1:18" ht="12.75" hidden="1" outlineLevel="3">
      <c r="A173" s="23" t="s">
        <v>66</v>
      </c>
      <c r="B173" s="63"/>
      <c r="C173" s="63"/>
      <c r="D173" s="63"/>
      <c r="E173" s="35"/>
      <c r="F173" s="37"/>
      <c r="G173" s="37"/>
      <c r="H173" s="37"/>
      <c r="I173" s="35"/>
      <c r="J173" s="37"/>
      <c r="K173" s="37"/>
      <c r="L173" s="37"/>
      <c r="M173" s="35"/>
      <c r="N173" s="37"/>
      <c r="O173" s="37"/>
      <c r="P173" s="38"/>
      <c r="Q173" s="35"/>
      <c r="R173" s="34"/>
    </row>
    <row r="174" spans="1:18" ht="12.75" hidden="1" outlineLevel="3">
      <c r="A174" s="23" t="s">
        <v>21</v>
      </c>
      <c r="B174" s="63"/>
      <c r="C174" s="63"/>
      <c r="D174" s="63"/>
      <c r="E174" s="35">
        <f t="shared" si="90"/>
        <v>0</v>
      </c>
      <c r="F174" s="37"/>
      <c r="G174" s="37"/>
      <c r="H174" s="37"/>
      <c r="I174" s="35">
        <f t="shared" si="91"/>
        <v>0</v>
      </c>
      <c r="J174" s="37"/>
      <c r="K174" s="37"/>
      <c r="L174" s="37"/>
      <c r="M174" s="35">
        <f t="shared" si="92"/>
        <v>0</v>
      </c>
      <c r="N174" s="37"/>
      <c r="O174" s="37"/>
      <c r="P174" s="38"/>
      <c r="Q174" s="35">
        <f t="shared" si="93"/>
        <v>0</v>
      </c>
      <c r="R174" s="34">
        <f t="shared" si="88"/>
        <v>0</v>
      </c>
    </row>
    <row r="175" spans="1:18" ht="12.75" hidden="1" outlineLevel="3">
      <c r="A175" s="23" t="s">
        <v>22</v>
      </c>
      <c r="B175" s="63">
        <v>29.82</v>
      </c>
      <c r="C175" s="63">
        <v>21.3</v>
      </c>
      <c r="D175" s="63">
        <v>8.52</v>
      </c>
      <c r="E175" s="35">
        <f t="shared" si="90"/>
        <v>59.64</v>
      </c>
      <c r="F175" s="37">
        <v>21.3</v>
      </c>
      <c r="G175" s="37">
        <v>12.78</v>
      </c>
      <c r="H175" s="37">
        <v>8.52</v>
      </c>
      <c r="I175" s="35">
        <f t="shared" si="91"/>
        <v>42.599999999999994</v>
      </c>
      <c r="J175" s="37">
        <v>34.08</v>
      </c>
      <c r="K175" s="37">
        <v>25.56</v>
      </c>
      <c r="L175" s="37"/>
      <c r="M175" s="35">
        <f t="shared" si="92"/>
        <v>59.64</v>
      </c>
      <c r="N175" s="37">
        <v>8.52</v>
      </c>
      <c r="O175" s="37"/>
      <c r="P175" s="38">
        <v>17.04</v>
      </c>
      <c r="Q175" s="35">
        <f t="shared" si="93"/>
        <v>25.56</v>
      </c>
      <c r="R175" s="34">
        <f t="shared" si="88"/>
        <v>187.44</v>
      </c>
    </row>
    <row r="176" spans="1:18" ht="12.75" hidden="1" outlineLevel="3">
      <c r="A176" s="23" t="s">
        <v>61</v>
      </c>
      <c r="B176" s="62"/>
      <c r="C176" s="62"/>
      <c r="D176" s="62"/>
      <c r="E176" s="35">
        <f t="shared" si="90"/>
        <v>0</v>
      </c>
      <c r="F176" s="38"/>
      <c r="G176" s="38"/>
      <c r="H176" s="38"/>
      <c r="I176" s="35">
        <f t="shared" si="91"/>
        <v>0</v>
      </c>
      <c r="J176" s="38"/>
      <c r="K176" s="38"/>
      <c r="L176" s="38"/>
      <c r="M176" s="35">
        <f t="shared" si="92"/>
        <v>0</v>
      </c>
      <c r="N176" s="38"/>
      <c r="O176" s="38"/>
      <c r="P176" s="38"/>
      <c r="Q176" s="35">
        <f t="shared" si="93"/>
        <v>0</v>
      </c>
      <c r="R176" s="34">
        <f t="shared" si="88"/>
        <v>0</v>
      </c>
    </row>
    <row r="177" spans="1:18" ht="12.75" hidden="1" outlineLevel="2">
      <c r="A177" s="28" t="s">
        <v>50</v>
      </c>
      <c r="B177" s="43">
        <f aca="true" t="shared" si="94" ref="B177:Q177">SUM(B167:B176)</f>
        <v>113.48999999999998</v>
      </c>
      <c r="C177" s="43">
        <f t="shared" si="94"/>
        <v>110.38</v>
      </c>
      <c r="D177" s="43">
        <f t="shared" si="94"/>
        <v>97.40000000000002</v>
      </c>
      <c r="E177" s="43">
        <f t="shared" si="94"/>
        <v>321.27</v>
      </c>
      <c r="F177" s="43">
        <f t="shared" si="94"/>
        <v>110.91</v>
      </c>
      <c r="G177" s="43">
        <f t="shared" si="94"/>
        <v>96.34000000000002</v>
      </c>
      <c r="H177" s="43">
        <f t="shared" si="94"/>
        <v>78.42</v>
      </c>
      <c r="I177" s="43">
        <f t="shared" si="94"/>
        <v>285.67</v>
      </c>
      <c r="J177" s="43">
        <f t="shared" si="94"/>
        <v>108.27</v>
      </c>
      <c r="K177" s="43">
        <f t="shared" si="94"/>
        <v>111.71000000000002</v>
      </c>
      <c r="L177" s="43">
        <f t="shared" si="94"/>
        <v>89.47</v>
      </c>
      <c r="M177" s="43">
        <f t="shared" si="94"/>
        <v>309.45</v>
      </c>
      <c r="N177" s="43">
        <f t="shared" si="94"/>
        <v>95.13999999999999</v>
      </c>
      <c r="O177" s="43">
        <f t="shared" si="94"/>
        <v>79.8</v>
      </c>
      <c r="P177" s="43">
        <f t="shared" si="94"/>
        <v>108.03999999999999</v>
      </c>
      <c r="Q177" s="43">
        <f t="shared" si="94"/>
        <v>282.98</v>
      </c>
      <c r="R177" s="44">
        <f t="shared" si="88"/>
        <v>1199.3700000000001</v>
      </c>
    </row>
    <row r="178" spans="1:21" ht="13.5" outlineLevel="1" collapsed="1" thickBot="1">
      <c r="A178" s="26" t="s">
        <v>48</v>
      </c>
      <c r="B178" s="46">
        <f aca="true" t="shared" si="95" ref="B178:R178">B177+B166</f>
        <v>113.48999999999998</v>
      </c>
      <c r="C178" s="46">
        <f t="shared" si="95"/>
        <v>111.03</v>
      </c>
      <c r="D178" s="46">
        <f t="shared" si="95"/>
        <v>97.40000000000002</v>
      </c>
      <c r="E178" s="45">
        <f t="shared" si="95"/>
        <v>321.91999999999996</v>
      </c>
      <c r="F178" s="46">
        <f t="shared" si="95"/>
        <v>110.91</v>
      </c>
      <c r="G178" s="46">
        <f t="shared" si="95"/>
        <v>96.34000000000002</v>
      </c>
      <c r="H178" s="46">
        <f t="shared" si="95"/>
        <v>79.87</v>
      </c>
      <c r="I178" s="45">
        <f t="shared" si="95"/>
        <v>287.12</v>
      </c>
      <c r="J178" s="46">
        <f t="shared" si="95"/>
        <v>108.27</v>
      </c>
      <c r="K178" s="46">
        <f t="shared" si="95"/>
        <v>111.71000000000002</v>
      </c>
      <c r="L178" s="46">
        <f t="shared" si="95"/>
        <v>90.85</v>
      </c>
      <c r="M178" s="45">
        <f t="shared" si="95"/>
        <v>310.83</v>
      </c>
      <c r="N178" s="46">
        <f t="shared" si="95"/>
        <v>95.13999999999999</v>
      </c>
      <c r="O178" s="46">
        <f t="shared" si="95"/>
        <v>79.8</v>
      </c>
      <c r="P178" s="46">
        <f t="shared" si="95"/>
        <v>108.03999999999999</v>
      </c>
      <c r="Q178" s="45">
        <f t="shared" si="95"/>
        <v>282.98</v>
      </c>
      <c r="R178" s="47">
        <f t="shared" si="95"/>
        <v>1202.8500000000001</v>
      </c>
      <c r="S178" s="65">
        <f>((B167/0.12)+(C167/0.12)+(D167/0.12)+(F167/0.12)+(G167/0.12)+(H167/0.12)+(J167/0.12)+(K167/0.12)+(L167/0.12)+(N167/0.12)+(O167/0.12)+(P167/0.12))/12</f>
        <v>467.1666666666667</v>
      </c>
      <c r="T178" s="54">
        <f>IF(R178&gt;0,R178/S178,0)</f>
        <v>2.5747770246164827</v>
      </c>
      <c r="U178" s="66">
        <f>IF(R169&gt;0,R169/R178,0)</f>
        <v>0.15500685871056238</v>
      </c>
    </row>
    <row r="179" spans="1:18" ht="13.5" outlineLevel="1" thickTop="1">
      <c r="A179" s="16" t="s">
        <v>34</v>
      </c>
      <c r="B179" s="17"/>
      <c r="C179" s="17"/>
      <c r="D179" s="17"/>
      <c r="E179" s="14"/>
      <c r="F179" s="17"/>
      <c r="G179" s="17"/>
      <c r="H179" s="17"/>
      <c r="I179" s="14"/>
      <c r="J179" s="17"/>
      <c r="K179" s="17"/>
      <c r="L179" s="17"/>
      <c r="M179" s="14"/>
      <c r="N179" s="17"/>
      <c r="O179" s="17"/>
      <c r="P179" s="17"/>
      <c r="Q179" s="14"/>
      <c r="R179" s="27"/>
    </row>
    <row r="180" spans="1:18" ht="12.75" hidden="1" outlineLevel="3">
      <c r="A180" s="19" t="s">
        <v>40</v>
      </c>
      <c r="B180" s="20"/>
      <c r="C180" s="20"/>
      <c r="D180" s="20"/>
      <c r="E180" s="67">
        <f aca="true" t="shared" si="96" ref="E180:E187">SUM(B180:D180)</f>
        <v>0</v>
      </c>
      <c r="F180" s="20"/>
      <c r="G180" s="20"/>
      <c r="H180" s="20"/>
      <c r="I180" s="67">
        <f aca="true" t="shared" si="97" ref="I180:I187">SUM(F180:H180)</f>
        <v>0</v>
      </c>
      <c r="J180" s="20"/>
      <c r="K180" s="20"/>
      <c r="L180" s="20"/>
      <c r="M180" s="67">
        <f aca="true" t="shared" si="98" ref="M180:M187">SUM(J180:L180)</f>
        <v>0</v>
      </c>
      <c r="N180" s="20"/>
      <c r="O180" s="20"/>
      <c r="P180" s="20"/>
      <c r="Q180" s="67">
        <f aca="true" t="shared" si="99" ref="Q180:Q187">SUM(N180:P180)</f>
        <v>0</v>
      </c>
      <c r="R180" s="21">
        <f aca="true" t="shared" si="100" ref="R180:R199">Q180+M180+I180+E180</f>
        <v>0</v>
      </c>
    </row>
    <row r="181" spans="1:18" ht="12.75" hidden="1" outlineLevel="3">
      <c r="A181" s="19" t="s">
        <v>41</v>
      </c>
      <c r="B181" s="20"/>
      <c r="C181" s="20"/>
      <c r="D181" s="20"/>
      <c r="E181" s="67">
        <f t="shared" si="96"/>
        <v>0</v>
      </c>
      <c r="F181" s="20"/>
      <c r="G181" s="20"/>
      <c r="H181" s="20"/>
      <c r="I181" s="67">
        <f t="shared" si="97"/>
        <v>0</v>
      </c>
      <c r="J181" s="20"/>
      <c r="K181" s="20"/>
      <c r="L181" s="20"/>
      <c r="M181" s="67">
        <f t="shared" si="98"/>
        <v>0</v>
      </c>
      <c r="N181" s="20"/>
      <c r="O181" s="20"/>
      <c r="P181" s="20"/>
      <c r="Q181" s="67">
        <f t="shared" si="99"/>
        <v>0</v>
      </c>
      <c r="R181" s="21">
        <f t="shared" si="100"/>
        <v>0</v>
      </c>
    </row>
    <row r="182" spans="1:18" ht="12.75" hidden="1" outlineLevel="3">
      <c r="A182" s="19" t="s">
        <v>42</v>
      </c>
      <c r="B182" s="20"/>
      <c r="C182" s="20"/>
      <c r="D182" s="20"/>
      <c r="E182" s="67">
        <f t="shared" si="96"/>
        <v>0</v>
      </c>
      <c r="F182" s="20"/>
      <c r="G182" s="20"/>
      <c r="H182" s="20"/>
      <c r="I182" s="67">
        <f t="shared" si="97"/>
        <v>0</v>
      </c>
      <c r="J182" s="20"/>
      <c r="K182" s="20"/>
      <c r="L182" s="20"/>
      <c r="M182" s="67">
        <f t="shared" si="98"/>
        <v>0</v>
      </c>
      <c r="N182" s="20"/>
      <c r="O182" s="20"/>
      <c r="P182" s="20"/>
      <c r="Q182" s="67">
        <f t="shared" si="99"/>
        <v>0</v>
      </c>
      <c r="R182" s="21">
        <f t="shared" si="100"/>
        <v>0</v>
      </c>
    </row>
    <row r="183" spans="1:18" ht="12.75" hidden="1" outlineLevel="3">
      <c r="A183" s="19" t="s">
        <v>43</v>
      </c>
      <c r="B183" s="20"/>
      <c r="C183" s="20"/>
      <c r="D183" s="20"/>
      <c r="E183" s="67">
        <f t="shared" si="96"/>
        <v>0</v>
      </c>
      <c r="F183" s="20"/>
      <c r="G183" s="20"/>
      <c r="H183" s="20"/>
      <c r="I183" s="67">
        <f t="shared" si="97"/>
        <v>0</v>
      </c>
      <c r="J183" s="20"/>
      <c r="K183" s="20"/>
      <c r="L183" s="20"/>
      <c r="M183" s="67">
        <f t="shared" si="98"/>
        <v>0</v>
      </c>
      <c r="N183" s="20"/>
      <c r="O183" s="20"/>
      <c r="P183" s="20"/>
      <c r="Q183" s="67">
        <f t="shared" si="99"/>
        <v>0</v>
      </c>
      <c r="R183" s="21">
        <f t="shared" si="100"/>
        <v>0</v>
      </c>
    </row>
    <row r="184" spans="1:18" ht="12.75" hidden="1" outlineLevel="3">
      <c r="A184" s="19" t="s">
        <v>44</v>
      </c>
      <c r="B184" s="20"/>
      <c r="C184" s="20"/>
      <c r="D184" s="20"/>
      <c r="E184" s="67">
        <f t="shared" si="96"/>
        <v>0</v>
      </c>
      <c r="F184" s="20"/>
      <c r="G184" s="20"/>
      <c r="H184" s="20"/>
      <c r="I184" s="67">
        <f t="shared" si="97"/>
        <v>0</v>
      </c>
      <c r="J184" s="20"/>
      <c r="K184" s="20"/>
      <c r="L184" s="20"/>
      <c r="M184" s="67">
        <f t="shared" si="98"/>
        <v>0</v>
      </c>
      <c r="N184" s="20"/>
      <c r="O184" s="20"/>
      <c r="P184" s="20"/>
      <c r="Q184" s="67">
        <f t="shared" si="99"/>
        <v>0</v>
      </c>
      <c r="R184" s="21">
        <f t="shared" si="100"/>
        <v>0</v>
      </c>
    </row>
    <row r="185" spans="1:18" ht="12.75" hidden="1" outlineLevel="3">
      <c r="A185" s="19" t="s">
        <v>45</v>
      </c>
      <c r="B185" s="62"/>
      <c r="C185" s="62"/>
      <c r="D185" s="62"/>
      <c r="E185" s="35">
        <f t="shared" si="96"/>
        <v>0</v>
      </c>
      <c r="F185" s="62"/>
      <c r="G185" s="62"/>
      <c r="H185" s="62"/>
      <c r="I185" s="35">
        <f t="shared" si="97"/>
        <v>0</v>
      </c>
      <c r="J185" s="62"/>
      <c r="K185" s="62"/>
      <c r="L185" s="62"/>
      <c r="M185" s="35">
        <f t="shared" si="98"/>
        <v>0</v>
      </c>
      <c r="N185" s="62"/>
      <c r="O185" s="62"/>
      <c r="P185" s="62"/>
      <c r="Q185" s="35">
        <f t="shared" si="99"/>
        <v>0</v>
      </c>
      <c r="R185" s="34">
        <f t="shared" si="100"/>
        <v>0</v>
      </c>
    </row>
    <row r="186" spans="1:18" ht="12.75" hidden="1" outlineLevel="3">
      <c r="A186" s="19" t="s">
        <v>46</v>
      </c>
      <c r="B186" s="20"/>
      <c r="C186" s="20"/>
      <c r="D186" s="20"/>
      <c r="E186" s="67">
        <f t="shared" si="96"/>
        <v>0</v>
      </c>
      <c r="F186" s="20"/>
      <c r="G186" s="20"/>
      <c r="H186" s="20"/>
      <c r="I186" s="67">
        <f t="shared" si="97"/>
        <v>0</v>
      </c>
      <c r="J186" s="20"/>
      <c r="K186" s="20"/>
      <c r="L186" s="20"/>
      <c r="M186" s="67">
        <f t="shared" si="98"/>
        <v>0</v>
      </c>
      <c r="N186" s="20"/>
      <c r="O186" s="20"/>
      <c r="P186" s="20"/>
      <c r="Q186" s="67">
        <f t="shared" si="99"/>
        <v>0</v>
      </c>
      <c r="R186" s="21">
        <f t="shared" si="100"/>
        <v>0</v>
      </c>
    </row>
    <row r="187" spans="1:18" ht="12.75" hidden="1" outlineLevel="3">
      <c r="A187" s="19" t="s">
        <v>58</v>
      </c>
      <c r="B187" s="62">
        <v>162.5</v>
      </c>
      <c r="C187" s="62">
        <v>1.05</v>
      </c>
      <c r="D187" s="62"/>
      <c r="E187" s="59">
        <f t="shared" si="96"/>
        <v>163.55</v>
      </c>
      <c r="F187" s="52"/>
      <c r="G187" s="52"/>
      <c r="H187" s="52">
        <v>2.36</v>
      </c>
      <c r="I187" s="59">
        <f t="shared" si="97"/>
        <v>2.36</v>
      </c>
      <c r="J187" s="52"/>
      <c r="K187" s="52"/>
      <c r="L187" s="52">
        <v>2.28</v>
      </c>
      <c r="M187" s="59">
        <f t="shared" si="98"/>
        <v>2.28</v>
      </c>
      <c r="N187" s="52"/>
      <c r="O187" s="52"/>
      <c r="P187" s="52"/>
      <c r="Q187" s="59">
        <f t="shared" si="99"/>
        <v>0</v>
      </c>
      <c r="R187" s="60">
        <f t="shared" si="100"/>
        <v>168.19</v>
      </c>
    </row>
    <row r="188" spans="1:18" ht="12.75" hidden="1" outlineLevel="2">
      <c r="A188" s="22" t="s">
        <v>47</v>
      </c>
      <c r="B188" s="63">
        <f aca="true" t="shared" si="101" ref="B188:Q188">SUM(B180:B187)</f>
        <v>162.5</v>
      </c>
      <c r="C188" s="63">
        <f t="shared" si="101"/>
        <v>1.05</v>
      </c>
      <c r="D188" s="63">
        <f t="shared" si="101"/>
        <v>0</v>
      </c>
      <c r="E188" s="33">
        <f t="shared" si="101"/>
        <v>163.55</v>
      </c>
      <c r="F188" s="33">
        <f t="shared" si="101"/>
        <v>0</v>
      </c>
      <c r="G188" s="33">
        <f t="shared" si="101"/>
        <v>0</v>
      </c>
      <c r="H188" s="33">
        <f t="shared" si="101"/>
        <v>2.36</v>
      </c>
      <c r="I188" s="33">
        <f t="shared" si="101"/>
        <v>2.36</v>
      </c>
      <c r="J188" s="33">
        <f t="shared" si="101"/>
        <v>0</v>
      </c>
      <c r="K188" s="33">
        <f t="shared" si="101"/>
        <v>0</v>
      </c>
      <c r="L188" s="33">
        <f t="shared" si="101"/>
        <v>2.28</v>
      </c>
      <c r="M188" s="33">
        <f t="shared" si="101"/>
        <v>2.28</v>
      </c>
      <c r="N188" s="33">
        <f t="shared" si="101"/>
        <v>0</v>
      </c>
      <c r="O188" s="33">
        <f t="shared" si="101"/>
        <v>0</v>
      </c>
      <c r="P188" s="33">
        <f t="shared" si="101"/>
        <v>0</v>
      </c>
      <c r="Q188" s="33">
        <f t="shared" si="101"/>
        <v>0</v>
      </c>
      <c r="R188" s="34">
        <f t="shared" si="100"/>
        <v>168.19</v>
      </c>
    </row>
    <row r="189" spans="1:18" ht="12.75" hidden="1" outlineLevel="3">
      <c r="A189" s="23" t="s">
        <v>15</v>
      </c>
      <c r="B189" s="63">
        <v>92.52</v>
      </c>
      <c r="C189" s="63">
        <v>92.16</v>
      </c>
      <c r="D189" s="63">
        <v>91.8</v>
      </c>
      <c r="E189" s="35">
        <f aca="true" t="shared" si="102" ref="E189:E198">SUM(B189:D189)</f>
        <v>276.48</v>
      </c>
      <c r="F189" s="37">
        <v>91.2</v>
      </c>
      <c r="G189" s="37">
        <v>90.6</v>
      </c>
      <c r="H189" s="37">
        <v>91.44</v>
      </c>
      <c r="I189" s="35">
        <f aca="true" t="shared" si="103" ref="I189:I198">SUM(F189:H189)</f>
        <v>273.24</v>
      </c>
      <c r="J189" s="37">
        <v>91.08</v>
      </c>
      <c r="K189" s="37">
        <v>91.8</v>
      </c>
      <c r="L189" s="37">
        <v>91.8</v>
      </c>
      <c r="M189" s="35">
        <f aca="true" t="shared" si="104" ref="M189:M198">SUM(J189:L189)</f>
        <v>274.68</v>
      </c>
      <c r="N189" s="37">
        <v>91.56</v>
      </c>
      <c r="O189" s="37">
        <v>91.44</v>
      </c>
      <c r="P189" s="38">
        <v>90.84</v>
      </c>
      <c r="Q189" s="35">
        <f aca="true" t="shared" si="105" ref="Q189:Q198">SUM(N189:P189)</f>
        <v>273.84000000000003</v>
      </c>
      <c r="R189" s="34">
        <f t="shared" si="100"/>
        <v>1098.24</v>
      </c>
    </row>
    <row r="190" spans="1:18" ht="12.75" hidden="1" outlineLevel="3">
      <c r="A190" s="23" t="s">
        <v>16</v>
      </c>
      <c r="B190" s="62">
        <v>15</v>
      </c>
      <c r="C190" s="62">
        <v>15</v>
      </c>
      <c r="D190" s="62">
        <v>15</v>
      </c>
      <c r="E190" s="35">
        <f t="shared" si="102"/>
        <v>45</v>
      </c>
      <c r="F190" s="62">
        <v>15</v>
      </c>
      <c r="G190" s="62">
        <v>15</v>
      </c>
      <c r="H190" s="62">
        <v>15</v>
      </c>
      <c r="I190" s="35">
        <f t="shared" si="103"/>
        <v>45</v>
      </c>
      <c r="J190" s="62">
        <v>15</v>
      </c>
      <c r="K190" s="62">
        <v>15</v>
      </c>
      <c r="L190" s="62">
        <v>15</v>
      </c>
      <c r="M190" s="35">
        <f t="shared" si="104"/>
        <v>45</v>
      </c>
      <c r="N190" s="62">
        <v>15</v>
      </c>
      <c r="O190" s="62">
        <v>15</v>
      </c>
      <c r="P190" s="62">
        <v>15</v>
      </c>
      <c r="Q190" s="35">
        <f t="shared" si="105"/>
        <v>45</v>
      </c>
      <c r="R190" s="34">
        <f t="shared" si="100"/>
        <v>180</v>
      </c>
    </row>
    <row r="191" spans="1:18" ht="12.75" hidden="1" outlineLevel="3">
      <c r="A191" s="23" t="s">
        <v>17</v>
      </c>
      <c r="B191" s="63">
        <v>55.37</v>
      </c>
      <c r="C191" s="63">
        <v>81.36</v>
      </c>
      <c r="D191" s="63">
        <v>35.03</v>
      </c>
      <c r="E191" s="35">
        <f t="shared" si="102"/>
        <v>171.76</v>
      </c>
      <c r="F191" s="37">
        <v>37.29</v>
      </c>
      <c r="G191" s="37">
        <v>14.69</v>
      </c>
      <c r="H191" s="37">
        <v>16.95</v>
      </c>
      <c r="I191" s="35">
        <f t="shared" si="103"/>
        <v>68.92999999999999</v>
      </c>
      <c r="J191" s="37">
        <v>4.52</v>
      </c>
      <c r="K191" s="37">
        <v>20.34</v>
      </c>
      <c r="L191" s="37">
        <v>14.69</v>
      </c>
      <c r="M191" s="35">
        <f t="shared" si="104"/>
        <v>39.55</v>
      </c>
      <c r="N191" s="37">
        <v>13.56</v>
      </c>
      <c r="O191" s="37">
        <v>18.08</v>
      </c>
      <c r="P191" s="38">
        <v>62.15</v>
      </c>
      <c r="Q191" s="35">
        <f t="shared" si="105"/>
        <v>93.78999999999999</v>
      </c>
      <c r="R191" s="34">
        <f t="shared" si="100"/>
        <v>374.03</v>
      </c>
    </row>
    <row r="192" spans="1:18" ht="12.75" hidden="1" outlineLevel="3">
      <c r="A192" s="25" t="s">
        <v>18</v>
      </c>
      <c r="B192" s="63">
        <v>1.86</v>
      </c>
      <c r="C192" s="63">
        <v>4.85</v>
      </c>
      <c r="D192" s="63">
        <v>6.53</v>
      </c>
      <c r="E192" s="35">
        <f t="shared" si="102"/>
        <v>13.24</v>
      </c>
      <c r="F192" s="37">
        <v>6.2</v>
      </c>
      <c r="G192" s="37">
        <v>1.56</v>
      </c>
      <c r="H192" s="37">
        <v>1.4</v>
      </c>
      <c r="I192" s="35">
        <f t="shared" si="103"/>
        <v>9.16</v>
      </c>
      <c r="J192" s="37">
        <v>1.38</v>
      </c>
      <c r="K192" s="37">
        <v>2.07</v>
      </c>
      <c r="L192" s="37">
        <v>2.17</v>
      </c>
      <c r="M192" s="35">
        <f t="shared" si="104"/>
        <v>5.619999999999999</v>
      </c>
      <c r="N192" s="37">
        <v>3.41</v>
      </c>
      <c r="O192" s="37">
        <v>4.6</v>
      </c>
      <c r="P192" s="38">
        <v>14.58</v>
      </c>
      <c r="Q192" s="35">
        <f t="shared" si="105"/>
        <v>22.59</v>
      </c>
      <c r="R192" s="34">
        <f t="shared" si="100"/>
        <v>50.61000000000001</v>
      </c>
    </row>
    <row r="193" spans="1:18" ht="12.75" hidden="1" outlineLevel="3">
      <c r="A193" s="23" t="s">
        <v>19</v>
      </c>
      <c r="B193" s="63"/>
      <c r="C193" s="63">
        <v>0.93</v>
      </c>
      <c r="D193" s="63">
        <v>0.93</v>
      </c>
      <c r="E193" s="35">
        <f t="shared" si="102"/>
        <v>1.86</v>
      </c>
      <c r="F193" s="37"/>
      <c r="G193" s="37"/>
      <c r="H193" s="37"/>
      <c r="I193" s="35">
        <f t="shared" si="103"/>
        <v>0</v>
      </c>
      <c r="J193" s="37">
        <v>1.86</v>
      </c>
      <c r="K193" s="37"/>
      <c r="L193" s="37"/>
      <c r="M193" s="35">
        <f t="shared" si="104"/>
        <v>1.86</v>
      </c>
      <c r="N193" s="37"/>
      <c r="O193" s="37"/>
      <c r="P193" s="38"/>
      <c r="Q193" s="35">
        <f t="shared" si="105"/>
        <v>0</v>
      </c>
      <c r="R193" s="34">
        <f t="shared" si="100"/>
        <v>3.72</v>
      </c>
    </row>
    <row r="194" spans="1:18" ht="12.75" hidden="1" outlineLevel="3">
      <c r="A194" s="23" t="s">
        <v>20</v>
      </c>
      <c r="B194" s="63">
        <v>32</v>
      </c>
      <c r="C194" s="63">
        <f>32+0.06+23.73</f>
        <v>55.790000000000006</v>
      </c>
      <c r="D194" s="63">
        <f>29.5+37.29</f>
        <v>66.78999999999999</v>
      </c>
      <c r="E194" s="35">
        <f t="shared" si="102"/>
        <v>154.57999999999998</v>
      </c>
      <c r="F194" s="37">
        <v>44</v>
      </c>
      <c r="G194" s="37">
        <v>10.5</v>
      </c>
      <c r="H194" s="37">
        <v>7</v>
      </c>
      <c r="I194" s="35">
        <f t="shared" si="103"/>
        <v>61.5</v>
      </c>
      <c r="J194" s="37">
        <v>0.5</v>
      </c>
      <c r="K194" s="37">
        <v>5.5</v>
      </c>
      <c r="L194" s="37">
        <v>37.5</v>
      </c>
      <c r="M194" s="35">
        <f t="shared" si="104"/>
        <v>43.5</v>
      </c>
      <c r="N194" s="37">
        <v>5</v>
      </c>
      <c r="O194" s="37">
        <v>6</v>
      </c>
      <c r="P194" s="38">
        <v>36</v>
      </c>
      <c r="Q194" s="35">
        <f t="shared" si="105"/>
        <v>47</v>
      </c>
      <c r="R194" s="34">
        <f t="shared" si="100"/>
        <v>306.58</v>
      </c>
    </row>
    <row r="195" spans="1:18" ht="12.75" hidden="1" outlineLevel="3">
      <c r="A195" s="23" t="s">
        <v>66</v>
      </c>
      <c r="B195" s="63"/>
      <c r="C195" s="63"/>
      <c r="D195" s="63"/>
      <c r="E195" s="35"/>
      <c r="F195" s="37"/>
      <c r="G195" s="37"/>
      <c r="H195" s="37"/>
      <c r="I195" s="35"/>
      <c r="J195" s="37"/>
      <c r="K195" s="37"/>
      <c r="L195" s="37"/>
      <c r="M195" s="35"/>
      <c r="N195" s="37"/>
      <c r="O195" s="37"/>
      <c r="P195" s="38"/>
      <c r="Q195" s="35"/>
      <c r="R195" s="34"/>
    </row>
    <row r="196" spans="1:18" ht="12.75" hidden="1" outlineLevel="3">
      <c r="A196" s="23" t="s">
        <v>21</v>
      </c>
      <c r="B196" s="63"/>
      <c r="C196" s="63"/>
      <c r="D196" s="63"/>
      <c r="E196" s="35">
        <f t="shared" si="102"/>
        <v>0</v>
      </c>
      <c r="F196" s="37"/>
      <c r="G196" s="37"/>
      <c r="H196" s="37"/>
      <c r="I196" s="35">
        <f t="shared" si="103"/>
        <v>0</v>
      </c>
      <c r="J196" s="37"/>
      <c r="K196" s="37"/>
      <c r="L196" s="37"/>
      <c r="M196" s="35">
        <f t="shared" si="104"/>
        <v>0</v>
      </c>
      <c r="N196" s="37"/>
      <c r="O196" s="37"/>
      <c r="P196" s="38"/>
      <c r="Q196" s="35">
        <f t="shared" si="105"/>
        <v>0</v>
      </c>
      <c r="R196" s="34">
        <f t="shared" si="100"/>
        <v>0</v>
      </c>
    </row>
    <row r="197" spans="1:18" ht="12.75" hidden="1" outlineLevel="3">
      <c r="A197" s="23" t="s">
        <v>22</v>
      </c>
      <c r="B197" s="63">
        <v>4.26</v>
      </c>
      <c r="C197" s="63"/>
      <c r="D197" s="63"/>
      <c r="E197" s="35">
        <f t="shared" si="102"/>
        <v>4.26</v>
      </c>
      <c r="F197" s="37"/>
      <c r="G197" s="37">
        <v>8.52</v>
      </c>
      <c r="H197" s="37"/>
      <c r="I197" s="35">
        <f t="shared" si="103"/>
        <v>8.52</v>
      </c>
      <c r="J197" s="37">
        <v>4.26</v>
      </c>
      <c r="K197" s="37"/>
      <c r="L197" s="37">
        <v>21.3</v>
      </c>
      <c r="M197" s="35">
        <f t="shared" si="104"/>
        <v>25.560000000000002</v>
      </c>
      <c r="N197" s="37">
        <v>12.78</v>
      </c>
      <c r="O197" s="37">
        <v>4.26</v>
      </c>
      <c r="P197" s="38">
        <v>4.26</v>
      </c>
      <c r="Q197" s="35">
        <f t="shared" si="105"/>
        <v>21.299999999999997</v>
      </c>
      <c r="R197" s="34">
        <f t="shared" si="100"/>
        <v>59.63999999999999</v>
      </c>
    </row>
    <row r="198" spans="1:18" ht="12.75" hidden="1" outlineLevel="3">
      <c r="A198" s="23" t="s">
        <v>61</v>
      </c>
      <c r="B198" s="62"/>
      <c r="C198" s="62"/>
      <c r="D198" s="62"/>
      <c r="E198" s="35">
        <f t="shared" si="102"/>
        <v>0</v>
      </c>
      <c r="F198" s="38"/>
      <c r="G198" s="38"/>
      <c r="H198" s="38"/>
      <c r="I198" s="35">
        <f t="shared" si="103"/>
        <v>0</v>
      </c>
      <c r="J198" s="38"/>
      <c r="K198" s="38"/>
      <c r="L198" s="38"/>
      <c r="M198" s="35">
        <f t="shared" si="104"/>
        <v>0</v>
      </c>
      <c r="N198" s="38"/>
      <c r="O198" s="38"/>
      <c r="P198" s="38"/>
      <c r="Q198" s="35">
        <f t="shared" si="105"/>
        <v>0</v>
      </c>
      <c r="R198" s="34">
        <f t="shared" si="100"/>
        <v>0</v>
      </c>
    </row>
    <row r="199" spans="1:18" ht="12.75" hidden="1" outlineLevel="2">
      <c r="A199" s="28" t="s">
        <v>50</v>
      </c>
      <c r="B199" s="43">
        <f aca="true" t="shared" si="106" ref="B199:Q199">SUM(B189:B198)</f>
        <v>201.01</v>
      </c>
      <c r="C199" s="43">
        <f t="shared" si="106"/>
        <v>250.08999999999997</v>
      </c>
      <c r="D199" s="43">
        <f t="shared" si="106"/>
        <v>216.07999999999998</v>
      </c>
      <c r="E199" s="43">
        <f t="shared" si="106"/>
        <v>667.1800000000001</v>
      </c>
      <c r="F199" s="43">
        <f t="shared" si="106"/>
        <v>193.69</v>
      </c>
      <c r="G199" s="43">
        <f t="shared" si="106"/>
        <v>140.87</v>
      </c>
      <c r="H199" s="43">
        <f t="shared" si="106"/>
        <v>131.79000000000002</v>
      </c>
      <c r="I199" s="43">
        <f t="shared" si="106"/>
        <v>466.35</v>
      </c>
      <c r="J199" s="43">
        <f t="shared" si="106"/>
        <v>118.6</v>
      </c>
      <c r="K199" s="43">
        <f t="shared" si="106"/>
        <v>134.71</v>
      </c>
      <c r="L199" s="43">
        <f t="shared" si="106"/>
        <v>182.46</v>
      </c>
      <c r="M199" s="43">
        <f t="shared" si="106"/>
        <v>435.77000000000004</v>
      </c>
      <c r="N199" s="43">
        <f t="shared" si="106"/>
        <v>141.31</v>
      </c>
      <c r="O199" s="43">
        <f t="shared" si="106"/>
        <v>139.38</v>
      </c>
      <c r="P199" s="43">
        <f t="shared" si="106"/>
        <v>222.83</v>
      </c>
      <c r="Q199" s="43">
        <f t="shared" si="106"/>
        <v>503.52</v>
      </c>
      <c r="R199" s="44">
        <f t="shared" si="100"/>
        <v>2072.8199999999997</v>
      </c>
    </row>
    <row r="200" spans="1:21" ht="13.5" outlineLevel="1" collapsed="1" thickBot="1">
      <c r="A200" s="22" t="s">
        <v>48</v>
      </c>
      <c r="B200" s="46">
        <f aca="true" t="shared" si="107" ref="B200:R200">B199+B188</f>
        <v>363.51</v>
      </c>
      <c r="C200" s="46">
        <f t="shared" si="107"/>
        <v>251.14</v>
      </c>
      <c r="D200" s="46">
        <f t="shared" si="107"/>
        <v>216.07999999999998</v>
      </c>
      <c r="E200" s="45">
        <f t="shared" si="107"/>
        <v>830.73</v>
      </c>
      <c r="F200" s="46">
        <f t="shared" si="107"/>
        <v>193.69</v>
      </c>
      <c r="G200" s="46">
        <f t="shared" si="107"/>
        <v>140.87</v>
      </c>
      <c r="H200" s="46">
        <f t="shared" si="107"/>
        <v>134.15000000000003</v>
      </c>
      <c r="I200" s="45">
        <f t="shared" si="107"/>
        <v>468.71000000000004</v>
      </c>
      <c r="J200" s="46">
        <f t="shared" si="107"/>
        <v>118.6</v>
      </c>
      <c r="K200" s="46">
        <f t="shared" si="107"/>
        <v>134.71</v>
      </c>
      <c r="L200" s="46">
        <f t="shared" si="107"/>
        <v>184.74</v>
      </c>
      <c r="M200" s="45">
        <f t="shared" si="107"/>
        <v>438.05</v>
      </c>
      <c r="N200" s="46">
        <f t="shared" si="107"/>
        <v>141.31</v>
      </c>
      <c r="O200" s="46">
        <f t="shared" si="107"/>
        <v>139.38</v>
      </c>
      <c r="P200" s="46">
        <f t="shared" si="107"/>
        <v>222.83</v>
      </c>
      <c r="Q200" s="45">
        <f t="shared" si="107"/>
        <v>503.52</v>
      </c>
      <c r="R200" s="47">
        <f t="shared" si="107"/>
        <v>2241.0099999999998</v>
      </c>
      <c r="S200" s="65">
        <f>((B189/0.12)+(C189/0.12)+(D189/0.12)+(F189/0.12)+(G189/0.12)+(H189/0.12)+(J189/0.12)+(K189/0.12)+(L189/0.12)+(N189/0.12)+(O189/0.12)+(P189/0.12))/12</f>
        <v>762.6666666666666</v>
      </c>
      <c r="T200" s="54">
        <f>IF(R200&gt;0,R200/S200,0)</f>
        <v>2.9383872377622375</v>
      </c>
      <c r="U200" s="66">
        <f>IF(R191&gt;0,R191/R200,0)</f>
        <v>0.16690242346085024</v>
      </c>
    </row>
    <row r="201" spans="1:18" ht="13.5" outlineLevel="1" thickTop="1">
      <c r="A201" s="16" t="s">
        <v>35</v>
      </c>
      <c r="B201" s="17"/>
      <c r="C201" s="17"/>
      <c r="D201" s="17"/>
      <c r="E201" s="14"/>
      <c r="F201" s="17"/>
      <c r="G201" s="17"/>
      <c r="H201" s="17"/>
      <c r="I201" s="14"/>
      <c r="J201" s="17"/>
      <c r="K201" s="17"/>
      <c r="L201" s="17"/>
      <c r="M201" s="14"/>
      <c r="N201" s="17"/>
      <c r="O201" s="17"/>
      <c r="P201" s="17"/>
      <c r="Q201" s="14"/>
      <c r="R201" s="27"/>
    </row>
    <row r="202" spans="1:18" ht="12.75" hidden="1" outlineLevel="3">
      <c r="A202" s="19" t="s">
        <v>40</v>
      </c>
      <c r="B202" s="20"/>
      <c r="C202" s="20"/>
      <c r="D202" s="20"/>
      <c r="E202" s="67">
        <f aca="true" t="shared" si="108" ref="E202:E209">SUM(B202:D202)</f>
        <v>0</v>
      </c>
      <c r="F202" s="37"/>
      <c r="G202" s="37"/>
      <c r="H202" s="37"/>
      <c r="I202" s="67">
        <f aca="true" t="shared" si="109" ref="I202:I209">SUM(F202:H202)</f>
        <v>0</v>
      </c>
      <c r="J202" s="20"/>
      <c r="K202" s="20"/>
      <c r="L202" s="20"/>
      <c r="M202" s="67">
        <f aca="true" t="shared" si="110" ref="M202:M209">SUM(J202:L202)</f>
        <v>0</v>
      </c>
      <c r="N202" s="20"/>
      <c r="O202" s="20"/>
      <c r="P202" s="20"/>
      <c r="Q202" s="67">
        <f aca="true" t="shared" si="111" ref="Q202:Q209">SUM(N202:P202)</f>
        <v>0</v>
      </c>
      <c r="R202" s="21">
        <f aca="true" t="shared" si="112" ref="R202:R221">Q202+M202+I202+E202</f>
        <v>0</v>
      </c>
    </row>
    <row r="203" spans="1:18" ht="12.75" hidden="1" outlineLevel="3">
      <c r="A203" s="19" t="s">
        <v>41</v>
      </c>
      <c r="B203" s="20"/>
      <c r="C203" s="20"/>
      <c r="D203" s="20"/>
      <c r="E203" s="67">
        <f t="shared" si="108"/>
        <v>0</v>
      </c>
      <c r="F203" s="37"/>
      <c r="G203" s="37"/>
      <c r="H203" s="37"/>
      <c r="I203" s="67">
        <f t="shared" si="109"/>
        <v>0</v>
      </c>
      <c r="J203" s="20"/>
      <c r="K203" s="20"/>
      <c r="L203" s="20"/>
      <c r="M203" s="67">
        <f t="shared" si="110"/>
        <v>0</v>
      </c>
      <c r="N203" s="20"/>
      <c r="O203" s="20"/>
      <c r="P203" s="20"/>
      <c r="Q203" s="67">
        <f t="shared" si="111"/>
        <v>0</v>
      </c>
      <c r="R203" s="21">
        <f t="shared" si="112"/>
        <v>0</v>
      </c>
    </row>
    <row r="204" spans="1:18" ht="12.75" hidden="1" outlineLevel="3">
      <c r="A204" s="19" t="s">
        <v>42</v>
      </c>
      <c r="B204" s="20"/>
      <c r="C204" s="20"/>
      <c r="D204" s="20"/>
      <c r="E204" s="67">
        <f t="shared" si="108"/>
        <v>0</v>
      </c>
      <c r="F204" s="37"/>
      <c r="G204" s="37"/>
      <c r="H204" s="37"/>
      <c r="I204" s="67">
        <f t="shared" si="109"/>
        <v>0</v>
      </c>
      <c r="J204" s="20"/>
      <c r="K204" s="20"/>
      <c r="L204" s="20"/>
      <c r="M204" s="67">
        <f t="shared" si="110"/>
        <v>0</v>
      </c>
      <c r="N204" s="20"/>
      <c r="O204" s="20"/>
      <c r="P204" s="20"/>
      <c r="Q204" s="67">
        <f t="shared" si="111"/>
        <v>0</v>
      </c>
      <c r="R204" s="21">
        <f t="shared" si="112"/>
        <v>0</v>
      </c>
    </row>
    <row r="205" spans="1:18" ht="12.75" hidden="1" outlineLevel="3">
      <c r="A205" s="19" t="s">
        <v>43</v>
      </c>
      <c r="B205" s="20"/>
      <c r="C205" s="20"/>
      <c r="D205" s="20"/>
      <c r="E205" s="67">
        <f t="shared" si="108"/>
        <v>0</v>
      </c>
      <c r="F205" s="37"/>
      <c r="G205" s="37"/>
      <c r="H205" s="37"/>
      <c r="I205" s="67">
        <f t="shared" si="109"/>
        <v>0</v>
      </c>
      <c r="J205" s="20"/>
      <c r="K205" s="20"/>
      <c r="L205" s="20"/>
      <c r="M205" s="67">
        <f t="shared" si="110"/>
        <v>0</v>
      </c>
      <c r="N205" s="20"/>
      <c r="O205" s="20"/>
      <c r="P205" s="20"/>
      <c r="Q205" s="67">
        <f t="shared" si="111"/>
        <v>0</v>
      </c>
      <c r="R205" s="21">
        <f t="shared" si="112"/>
        <v>0</v>
      </c>
    </row>
    <row r="206" spans="1:18" ht="12.75" hidden="1" outlineLevel="3">
      <c r="A206" s="19" t="s">
        <v>44</v>
      </c>
      <c r="B206" s="20"/>
      <c r="C206" s="20"/>
      <c r="D206" s="20"/>
      <c r="E206" s="67">
        <f t="shared" si="108"/>
        <v>0</v>
      </c>
      <c r="F206" s="37"/>
      <c r="G206" s="37"/>
      <c r="H206" s="37"/>
      <c r="I206" s="67">
        <f t="shared" si="109"/>
        <v>0</v>
      </c>
      <c r="J206" s="20"/>
      <c r="K206" s="20"/>
      <c r="L206" s="20"/>
      <c r="M206" s="67">
        <f t="shared" si="110"/>
        <v>0</v>
      </c>
      <c r="N206" s="20"/>
      <c r="O206" s="20"/>
      <c r="P206" s="20"/>
      <c r="Q206" s="67">
        <f t="shared" si="111"/>
        <v>0</v>
      </c>
      <c r="R206" s="21">
        <f t="shared" si="112"/>
        <v>0</v>
      </c>
    </row>
    <row r="207" spans="1:18" ht="12.75" hidden="1" outlineLevel="3">
      <c r="A207" s="19" t="s">
        <v>45</v>
      </c>
      <c r="B207" s="62"/>
      <c r="C207" s="62"/>
      <c r="D207" s="62"/>
      <c r="E207" s="35">
        <f t="shared" si="108"/>
        <v>0</v>
      </c>
      <c r="F207" s="62"/>
      <c r="G207" s="62"/>
      <c r="H207" s="62"/>
      <c r="I207" s="35">
        <f t="shared" si="109"/>
        <v>0</v>
      </c>
      <c r="J207" s="62"/>
      <c r="K207" s="62"/>
      <c r="L207" s="62"/>
      <c r="M207" s="35">
        <f t="shared" si="110"/>
        <v>0</v>
      </c>
      <c r="N207" s="62"/>
      <c r="O207" s="62"/>
      <c r="P207" s="62"/>
      <c r="Q207" s="35">
        <f t="shared" si="111"/>
        <v>0</v>
      </c>
      <c r="R207" s="34">
        <f t="shared" si="112"/>
        <v>0</v>
      </c>
    </row>
    <row r="208" spans="1:18" ht="12.75" hidden="1" outlineLevel="3">
      <c r="A208" s="19" t="s">
        <v>46</v>
      </c>
      <c r="B208" s="20"/>
      <c r="C208" s="20"/>
      <c r="D208" s="20"/>
      <c r="E208" s="67">
        <f t="shared" si="108"/>
        <v>0</v>
      </c>
      <c r="F208" s="37"/>
      <c r="G208" s="37"/>
      <c r="H208" s="37"/>
      <c r="I208" s="67">
        <f t="shared" si="109"/>
        <v>0</v>
      </c>
      <c r="J208" s="20"/>
      <c r="K208" s="20"/>
      <c r="L208" s="20"/>
      <c r="M208" s="67">
        <f t="shared" si="110"/>
        <v>0</v>
      </c>
      <c r="N208" s="20"/>
      <c r="O208" s="20"/>
      <c r="P208" s="20"/>
      <c r="Q208" s="67">
        <f t="shared" si="111"/>
        <v>0</v>
      </c>
      <c r="R208" s="21">
        <f t="shared" si="112"/>
        <v>0</v>
      </c>
    </row>
    <row r="209" spans="1:18" ht="12.75" hidden="1" outlineLevel="3">
      <c r="A209" s="19" t="s">
        <v>58</v>
      </c>
      <c r="B209" s="62"/>
      <c r="C209" s="62">
        <v>0.71</v>
      </c>
      <c r="D209" s="62"/>
      <c r="E209" s="59">
        <f t="shared" si="108"/>
        <v>0.71</v>
      </c>
      <c r="F209" s="52"/>
      <c r="G209" s="52"/>
      <c r="H209" s="52">
        <v>1.59</v>
      </c>
      <c r="I209" s="59">
        <f t="shared" si="109"/>
        <v>1.59</v>
      </c>
      <c r="J209" s="52"/>
      <c r="K209" s="52"/>
      <c r="L209" s="52">
        <v>1.53</v>
      </c>
      <c r="M209" s="59">
        <f t="shared" si="110"/>
        <v>1.53</v>
      </c>
      <c r="N209" s="52"/>
      <c r="O209" s="52"/>
      <c r="P209" s="52"/>
      <c r="Q209" s="59">
        <f t="shared" si="111"/>
        <v>0</v>
      </c>
      <c r="R209" s="60">
        <f t="shared" si="112"/>
        <v>3.83</v>
      </c>
    </row>
    <row r="210" spans="1:18" ht="12.75" hidden="1" outlineLevel="2">
      <c r="A210" s="22" t="s">
        <v>47</v>
      </c>
      <c r="B210" s="63">
        <f aca="true" t="shared" si="113" ref="B210:Q210">SUM(B202:B209)</f>
        <v>0</v>
      </c>
      <c r="C210" s="63">
        <f t="shared" si="113"/>
        <v>0.71</v>
      </c>
      <c r="D210" s="63">
        <f t="shared" si="113"/>
        <v>0</v>
      </c>
      <c r="E210" s="33">
        <f t="shared" si="113"/>
        <v>0.71</v>
      </c>
      <c r="F210" s="33">
        <f t="shared" si="113"/>
        <v>0</v>
      </c>
      <c r="G210" s="33">
        <f t="shared" si="113"/>
        <v>0</v>
      </c>
      <c r="H210" s="33">
        <f t="shared" si="113"/>
        <v>1.59</v>
      </c>
      <c r="I210" s="33">
        <f t="shared" si="113"/>
        <v>1.59</v>
      </c>
      <c r="J210" s="33">
        <f t="shared" si="113"/>
        <v>0</v>
      </c>
      <c r="K210" s="33">
        <f t="shared" si="113"/>
        <v>0</v>
      </c>
      <c r="L210" s="33">
        <f t="shared" si="113"/>
        <v>1.53</v>
      </c>
      <c r="M210" s="33">
        <f t="shared" si="113"/>
        <v>1.53</v>
      </c>
      <c r="N210" s="33">
        <f t="shared" si="113"/>
        <v>0</v>
      </c>
      <c r="O210" s="33">
        <f t="shared" si="113"/>
        <v>0</v>
      </c>
      <c r="P210" s="33">
        <f t="shared" si="113"/>
        <v>0</v>
      </c>
      <c r="Q210" s="33">
        <f t="shared" si="113"/>
        <v>0</v>
      </c>
      <c r="R210" s="34">
        <f t="shared" si="112"/>
        <v>3.83</v>
      </c>
    </row>
    <row r="211" spans="1:18" ht="12.75" hidden="1" outlineLevel="3">
      <c r="A211" s="23" t="s">
        <v>15</v>
      </c>
      <c r="B211" s="63">
        <v>60.48</v>
      </c>
      <c r="C211" s="63">
        <v>60.24</v>
      </c>
      <c r="D211" s="63">
        <v>60.96</v>
      </c>
      <c r="E211" s="35">
        <f aca="true" t="shared" si="114" ref="E211:E220">SUM(B211:D211)</f>
        <v>181.68</v>
      </c>
      <c r="F211" s="37">
        <v>61.08</v>
      </c>
      <c r="G211" s="37">
        <v>61.2</v>
      </c>
      <c r="H211" s="37">
        <v>61.44</v>
      </c>
      <c r="I211" s="35">
        <f aca="true" t="shared" si="115" ref="I211:I220">SUM(F211:H211)</f>
        <v>183.72</v>
      </c>
      <c r="J211" s="37">
        <v>61.44</v>
      </c>
      <c r="K211" s="37">
        <v>61.44</v>
      </c>
      <c r="L211" s="37">
        <v>61.8</v>
      </c>
      <c r="M211" s="35">
        <f aca="true" t="shared" si="116" ref="M211:M220">SUM(J211:L211)</f>
        <v>184.68</v>
      </c>
      <c r="N211" s="37">
        <v>63.48</v>
      </c>
      <c r="O211" s="37">
        <v>63.48</v>
      </c>
      <c r="P211" s="38">
        <v>63.12</v>
      </c>
      <c r="Q211" s="35">
        <f aca="true" t="shared" si="117" ref="Q211:Q220">SUM(N211:P211)</f>
        <v>190.07999999999998</v>
      </c>
      <c r="R211" s="34">
        <f t="shared" si="112"/>
        <v>740.1600000000001</v>
      </c>
    </row>
    <row r="212" spans="1:18" ht="12.75" hidden="1" outlineLevel="3">
      <c r="A212" s="23" t="s">
        <v>16</v>
      </c>
      <c r="B212" s="62">
        <v>12</v>
      </c>
      <c r="C212" s="62">
        <v>12</v>
      </c>
      <c r="D212" s="62">
        <v>12</v>
      </c>
      <c r="E212" s="35">
        <f t="shared" si="114"/>
        <v>36</v>
      </c>
      <c r="F212" s="62">
        <v>12</v>
      </c>
      <c r="G212" s="62">
        <v>12</v>
      </c>
      <c r="H212" s="62">
        <v>12</v>
      </c>
      <c r="I212" s="35">
        <f t="shared" si="115"/>
        <v>36</v>
      </c>
      <c r="J212" s="62">
        <v>12</v>
      </c>
      <c r="K212" s="62">
        <v>12</v>
      </c>
      <c r="L212" s="62">
        <v>12</v>
      </c>
      <c r="M212" s="35">
        <f t="shared" si="116"/>
        <v>36</v>
      </c>
      <c r="N212" s="62">
        <v>12</v>
      </c>
      <c r="O212" s="62">
        <v>12</v>
      </c>
      <c r="P212" s="62">
        <v>12</v>
      </c>
      <c r="Q212" s="35">
        <f t="shared" si="117"/>
        <v>36</v>
      </c>
      <c r="R212" s="34">
        <f t="shared" si="112"/>
        <v>144</v>
      </c>
    </row>
    <row r="213" spans="1:18" ht="12.75" hidden="1" outlineLevel="3">
      <c r="A213" s="23" t="s">
        <v>17</v>
      </c>
      <c r="B213" s="63">
        <v>31.64</v>
      </c>
      <c r="C213" s="63">
        <v>53.11</v>
      </c>
      <c r="D213" s="63">
        <v>31.64</v>
      </c>
      <c r="E213" s="35">
        <f t="shared" si="114"/>
        <v>116.39</v>
      </c>
      <c r="F213" s="37">
        <v>14.69</v>
      </c>
      <c r="G213" s="37">
        <v>9.04</v>
      </c>
      <c r="H213" s="37">
        <v>15.82</v>
      </c>
      <c r="I213" s="35">
        <f t="shared" si="115"/>
        <v>39.55</v>
      </c>
      <c r="J213" s="37">
        <v>7.91</v>
      </c>
      <c r="K213" s="37">
        <v>18.08</v>
      </c>
      <c r="L213" s="37">
        <v>12.43</v>
      </c>
      <c r="M213" s="35">
        <f t="shared" si="116"/>
        <v>38.42</v>
      </c>
      <c r="N213" s="37">
        <v>31.64</v>
      </c>
      <c r="O213" s="37">
        <v>14.69</v>
      </c>
      <c r="P213" s="38">
        <v>12.43</v>
      </c>
      <c r="Q213" s="35">
        <f t="shared" si="117"/>
        <v>58.76</v>
      </c>
      <c r="R213" s="34">
        <f t="shared" si="112"/>
        <v>253.12</v>
      </c>
    </row>
    <row r="214" spans="1:18" ht="12.75" hidden="1" outlineLevel="3">
      <c r="A214" s="25" t="s">
        <v>18</v>
      </c>
      <c r="B214" s="63">
        <v>1.28</v>
      </c>
      <c r="C214" s="63">
        <v>3.33</v>
      </c>
      <c r="D214" s="63">
        <v>4.34</v>
      </c>
      <c r="E214" s="35">
        <f t="shared" si="114"/>
        <v>8.95</v>
      </c>
      <c r="F214" s="37">
        <v>4.12</v>
      </c>
      <c r="G214" s="37">
        <v>1.04</v>
      </c>
      <c r="H214" s="37">
        <v>0.93</v>
      </c>
      <c r="I214" s="35">
        <f t="shared" si="115"/>
        <v>6.09</v>
      </c>
      <c r="J214" s="37">
        <v>0.92</v>
      </c>
      <c r="K214" s="37">
        <v>1.39</v>
      </c>
      <c r="L214" s="37">
        <v>1.46</v>
      </c>
      <c r="M214" s="35">
        <f t="shared" si="116"/>
        <v>3.77</v>
      </c>
      <c r="N214" s="37">
        <v>2.29</v>
      </c>
      <c r="O214" s="37">
        <v>3.09</v>
      </c>
      <c r="P214" s="38">
        <v>9.8</v>
      </c>
      <c r="Q214" s="35">
        <f t="shared" si="117"/>
        <v>15.18</v>
      </c>
      <c r="R214" s="34">
        <f t="shared" si="112"/>
        <v>33.989999999999995</v>
      </c>
    </row>
    <row r="215" spans="1:18" ht="12.75" hidden="1" outlineLevel="3">
      <c r="A215" s="23" t="s">
        <v>19</v>
      </c>
      <c r="B215" s="63"/>
      <c r="C215" s="63"/>
      <c r="D215" s="63"/>
      <c r="E215" s="35">
        <f t="shared" si="114"/>
        <v>0</v>
      </c>
      <c r="F215" s="37"/>
      <c r="G215" s="37"/>
      <c r="H215" s="37"/>
      <c r="I215" s="35">
        <f t="shared" si="115"/>
        <v>0</v>
      </c>
      <c r="J215" s="37"/>
      <c r="K215" s="37"/>
      <c r="L215" s="37"/>
      <c r="M215" s="35">
        <f t="shared" si="116"/>
        <v>0</v>
      </c>
      <c r="N215" s="37"/>
      <c r="O215" s="37">
        <v>0.93</v>
      </c>
      <c r="P215" s="38"/>
      <c r="Q215" s="35">
        <f t="shared" si="117"/>
        <v>0.93</v>
      </c>
      <c r="R215" s="34">
        <f t="shared" si="112"/>
        <v>0.93</v>
      </c>
    </row>
    <row r="216" spans="1:18" ht="12.75" hidden="1" outlineLevel="3">
      <c r="A216" s="23" t="s">
        <v>20</v>
      </c>
      <c r="B216" s="63">
        <v>16</v>
      </c>
      <c r="C216" s="63">
        <f>16+0.12+9.04</f>
        <v>25.16</v>
      </c>
      <c r="D216" s="63">
        <f>22.5+0.06+10.17</f>
        <v>32.73</v>
      </c>
      <c r="E216" s="35">
        <f t="shared" si="114"/>
        <v>73.88999999999999</v>
      </c>
      <c r="F216" s="37">
        <v>14</v>
      </c>
      <c r="G216" s="37">
        <v>15</v>
      </c>
      <c r="H216" s="37">
        <v>4.5</v>
      </c>
      <c r="I216" s="35">
        <f t="shared" si="115"/>
        <v>33.5</v>
      </c>
      <c r="J216" s="37">
        <v>2</v>
      </c>
      <c r="K216" s="37">
        <v>12</v>
      </c>
      <c r="L216" s="37">
        <v>5.5</v>
      </c>
      <c r="M216" s="35">
        <f t="shared" si="116"/>
        <v>19.5</v>
      </c>
      <c r="N216" s="37">
        <v>8.5</v>
      </c>
      <c r="O216" s="37">
        <v>2.5</v>
      </c>
      <c r="P216" s="38">
        <v>9</v>
      </c>
      <c r="Q216" s="35">
        <f t="shared" si="117"/>
        <v>20</v>
      </c>
      <c r="R216" s="34">
        <f t="shared" si="112"/>
        <v>146.89</v>
      </c>
    </row>
    <row r="217" spans="1:18" ht="12.75" hidden="1" outlineLevel="3">
      <c r="A217" s="23" t="s">
        <v>66</v>
      </c>
      <c r="B217" s="63"/>
      <c r="C217" s="63"/>
      <c r="D217" s="63"/>
      <c r="E217" s="35"/>
      <c r="F217" s="37"/>
      <c r="G217" s="37"/>
      <c r="H217" s="37"/>
      <c r="I217" s="35"/>
      <c r="J217" s="37"/>
      <c r="K217" s="37"/>
      <c r="L217" s="37"/>
      <c r="M217" s="35"/>
      <c r="N217" s="37"/>
      <c r="O217" s="37"/>
      <c r="P217" s="38"/>
      <c r="Q217" s="35"/>
      <c r="R217" s="34"/>
    </row>
    <row r="218" spans="1:18" ht="12.75" hidden="1" outlineLevel="3">
      <c r="A218" s="23" t="s">
        <v>21</v>
      </c>
      <c r="B218" s="63"/>
      <c r="C218" s="63"/>
      <c r="D218" s="63"/>
      <c r="E218" s="35">
        <f t="shared" si="114"/>
        <v>0</v>
      </c>
      <c r="G218" s="37"/>
      <c r="H218" s="37"/>
      <c r="I218" s="35">
        <f t="shared" si="115"/>
        <v>0</v>
      </c>
      <c r="J218" s="37"/>
      <c r="K218" s="37"/>
      <c r="L218" s="37"/>
      <c r="M218" s="35">
        <f t="shared" si="116"/>
        <v>0</v>
      </c>
      <c r="N218" s="37"/>
      <c r="O218" s="37"/>
      <c r="P218" s="38"/>
      <c r="Q218" s="35">
        <f t="shared" si="117"/>
        <v>0</v>
      </c>
      <c r="R218" s="34">
        <f t="shared" si="112"/>
        <v>0</v>
      </c>
    </row>
    <row r="219" spans="1:18" ht="12.75" hidden="1" outlineLevel="3">
      <c r="A219" s="23" t="s">
        <v>22</v>
      </c>
      <c r="B219" s="63">
        <v>4.26</v>
      </c>
      <c r="C219" s="63">
        <v>4.26</v>
      </c>
      <c r="D219" s="63">
        <v>4.26</v>
      </c>
      <c r="E219" s="35">
        <f t="shared" si="114"/>
        <v>12.78</v>
      </c>
      <c r="F219" s="74"/>
      <c r="G219" s="37"/>
      <c r="H219" s="37">
        <v>8.52</v>
      </c>
      <c r="I219" s="35">
        <f t="shared" si="115"/>
        <v>8.52</v>
      </c>
      <c r="J219" s="37">
        <v>4.26</v>
      </c>
      <c r="K219" s="37"/>
      <c r="L219" s="37"/>
      <c r="M219" s="35">
        <f t="shared" si="116"/>
        <v>4.26</v>
      </c>
      <c r="N219" s="37">
        <v>8.52</v>
      </c>
      <c r="O219" s="37"/>
      <c r="P219" s="38"/>
      <c r="Q219" s="35">
        <f t="shared" si="117"/>
        <v>8.52</v>
      </c>
      <c r="R219" s="34">
        <f t="shared" si="112"/>
        <v>34.08</v>
      </c>
    </row>
    <row r="220" spans="1:18" ht="12.75" hidden="1" outlineLevel="3">
      <c r="A220" s="23" t="s">
        <v>61</v>
      </c>
      <c r="B220" s="62"/>
      <c r="C220" s="62"/>
      <c r="D220" s="62"/>
      <c r="E220" s="35">
        <f t="shared" si="114"/>
        <v>0</v>
      </c>
      <c r="F220" s="38"/>
      <c r="G220" s="38"/>
      <c r="H220" s="38"/>
      <c r="I220" s="35">
        <f t="shared" si="115"/>
        <v>0</v>
      </c>
      <c r="J220" s="38"/>
      <c r="K220" s="38"/>
      <c r="L220" s="38"/>
      <c r="M220" s="35">
        <f t="shared" si="116"/>
        <v>0</v>
      </c>
      <c r="N220" s="38"/>
      <c r="O220" s="38"/>
      <c r="P220" s="38"/>
      <c r="Q220" s="35">
        <f t="shared" si="117"/>
        <v>0</v>
      </c>
      <c r="R220" s="34">
        <f t="shared" si="112"/>
        <v>0</v>
      </c>
    </row>
    <row r="221" spans="1:18" ht="12.75" hidden="1" outlineLevel="2">
      <c r="A221" s="28" t="s">
        <v>50</v>
      </c>
      <c r="B221" s="43">
        <f aca="true" t="shared" si="118" ref="B221:Q221">SUM(B211:B220)</f>
        <v>125.66</v>
      </c>
      <c r="C221" s="43">
        <f t="shared" si="118"/>
        <v>158.1</v>
      </c>
      <c r="D221" s="43">
        <f t="shared" si="118"/>
        <v>145.93</v>
      </c>
      <c r="E221" s="43">
        <f t="shared" si="118"/>
        <v>429.68999999999994</v>
      </c>
      <c r="F221" s="43">
        <f t="shared" si="118"/>
        <v>105.89</v>
      </c>
      <c r="G221" s="43">
        <f t="shared" si="118"/>
        <v>98.28000000000002</v>
      </c>
      <c r="H221" s="43">
        <f t="shared" si="118"/>
        <v>103.21</v>
      </c>
      <c r="I221" s="43">
        <f t="shared" si="118"/>
        <v>307.37999999999994</v>
      </c>
      <c r="J221" s="43">
        <f t="shared" si="118"/>
        <v>88.53</v>
      </c>
      <c r="K221" s="43">
        <f t="shared" si="118"/>
        <v>104.91</v>
      </c>
      <c r="L221" s="43">
        <f t="shared" si="118"/>
        <v>93.18999999999998</v>
      </c>
      <c r="M221" s="43">
        <f t="shared" si="118"/>
        <v>286.63</v>
      </c>
      <c r="N221" s="43">
        <f t="shared" si="118"/>
        <v>126.42999999999999</v>
      </c>
      <c r="O221" s="43">
        <f t="shared" si="118"/>
        <v>96.69</v>
      </c>
      <c r="P221" s="43">
        <f t="shared" si="118"/>
        <v>106.35000000000001</v>
      </c>
      <c r="Q221" s="43">
        <f t="shared" si="118"/>
        <v>329.46999999999997</v>
      </c>
      <c r="R221" s="44">
        <f t="shared" si="112"/>
        <v>1353.1699999999996</v>
      </c>
    </row>
    <row r="222" spans="1:21" ht="13.5" outlineLevel="1" collapsed="1" thickBot="1">
      <c r="A222" s="22" t="s">
        <v>48</v>
      </c>
      <c r="B222" s="46">
        <f aca="true" t="shared" si="119" ref="B222:R222">B221+B210</f>
        <v>125.66</v>
      </c>
      <c r="C222" s="46">
        <f t="shared" si="119"/>
        <v>158.81</v>
      </c>
      <c r="D222" s="46">
        <f t="shared" si="119"/>
        <v>145.93</v>
      </c>
      <c r="E222" s="45">
        <f t="shared" si="119"/>
        <v>430.3999999999999</v>
      </c>
      <c r="F222" s="46">
        <f t="shared" si="119"/>
        <v>105.89</v>
      </c>
      <c r="G222" s="46">
        <f t="shared" si="119"/>
        <v>98.28000000000002</v>
      </c>
      <c r="H222" s="46">
        <f t="shared" si="119"/>
        <v>104.8</v>
      </c>
      <c r="I222" s="45">
        <f t="shared" si="119"/>
        <v>308.9699999999999</v>
      </c>
      <c r="J222" s="46">
        <f t="shared" si="119"/>
        <v>88.53</v>
      </c>
      <c r="K222" s="46">
        <f t="shared" si="119"/>
        <v>104.91</v>
      </c>
      <c r="L222" s="46">
        <f t="shared" si="119"/>
        <v>94.71999999999998</v>
      </c>
      <c r="M222" s="45">
        <f t="shared" si="119"/>
        <v>288.15999999999997</v>
      </c>
      <c r="N222" s="46">
        <f t="shared" si="119"/>
        <v>126.42999999999999</v>
      </c>
      <c r="O222" s="46">
        <f t="shared" si="119"/>
        <v>96.69</v>
      </c>
      <c r="P222" s="46">
        <f t="shared" si="119"/>
        <v>106.35000000000001</v>
      </c>
      <c r="Q222" s="45">
        <f t="shared" si="119"/>
        <v>329.46999999999997</v>
      </c>
      <c r="R222" s="47">
        <f t="shared" si="119"/>
        <v>1356.9999999999995</v>
      </c>
      <c r="S222" s="65">
        <f>((B211/0.12)+(C211/0.12)+(D211/0.12)+(F211/0.12)+(G211/0.12)+(H211/0.12)+(J211/0.12)+(K211/0.12)+(L211/0.12)+(N211/0.12)+(O211/0.12)+(P211/0.12))/12</f>
        <v>514</v>
      </c>
      <c r="T222" s="54">
        <f>IF(R222&gt;0,R222/S222,0)</f>
        <v>2.640077821011672</v>
      </c>
      <c r="U222" s="66">
        <f>IF(R213&gt;0,R213/R222,0)</f>
        <v>0.1865291083271924</v>
      </c>
    </row>
    <row r="223" spans="1:18" ht="13.5" outlineLevel="1" thickTop="1">
      <c r="A223" s="16" t="s">
        <v>36</v>
      </c>
      <c r="B223" s="17"/>
      <c r="C223" s="17"/>
      <c r="D223" s="17"/>
      <c r="E223" s="14"/>
      <c r="F223" s="17"/>
      <c r="G223" s="17"/>
      <c r="H223" s="17"/>
      <c r="I223" s="14"/>
      <c r="J223" s="17"/>
      <c r="K223" s="17"/>
      <c r="L223" s="17"/>
      <c r="M223" s="14"/>
      <c r="N223" s="17"/>
      <c r="O223" s="17"/>
      <c r="P223" s="17"/>
      <c r="Q223" s="14"/>
      <c r="R223" s="27"/>
    </row>
    <row r="224" spans="1:18" ht="12.75" hidden="1" outlineLevel="3">
      <c r="A224" s="19" t="s">
        <v>40</v>
      </c>
      <c r="B224" s="20"/>
      <c r="C224" s="20"/>
      <c r="D224" s="20"/>
      <c r="E224" s="67">
        <f aca="true" t="shared" si="120" ref="E224:E231">SUM(B224:D224)</f>
        <v>0</v>
      </c>
      <c r="F224" s="20"/>
      <c r="G224" s="20"/>
      <c r="H224" s="20"/>
      <c r="I224" s="67">
        <f aca="true" t="shared" si="121" ref="I224:I231">SUM(F224:H224)</f>
        <v>0</v>
      </c>
      <c r="J224" s="20"/>
      <c r="K224" s="20"/>
      <c r="L224" s="20"/>
      <c r="M224" s="67">
        <f aca="true" t="shared" si="122" ref="M224:M231">SUM(J224:L224)</f>
        <v>0</v>
      </c>
      <c r="N224" s="20"/>
      <c r="O224" s="20"/>
      <c r="P224" s="20"/>
      <c r="Q224" s="67">
        <f aca="true" t="shared" si="123" ref="Q224:Q231">SUM(N224:P224)</f>
        <v>0</v>
      </c>
      <c r="R224" s="21">
        <f aca="true" t="shared" si="124" ref="R224:R243">Q224+M224+I224+E224</f>
        <v>0</v>
      </c>
    </row>
    <row r="225" spans="1:18" ht="12.75" hidden="1" outlineLevel="3">
      <c r="A225" s="19" t="s">
        <v>41</v>
      </c>
      <c r="B225" s="20"/>
      <c r="C225" s="20"/>
      <c r="D225" s="20"/>
      <c r="E225" s="67">
        <f t="shared" si="120"/>
        <v>0</v>
      </c>
      <c r="F225" s="20"/>
      <c r="G225" s="20"/>
      <c r="H225" s="20"/>
      <c r="I225" s="67">
        <f t="shared" si="121"/>
        <v>0</v>
      </c>
      <c r="J225" s="20"/>
      <c r="K225" s="20"/>
      <c r="L225" s="20"/>
      <c r="M225" s="67">
        <f t="shared" si="122"/>
        <v>0</v>
      </c>
      <c r="N225" s="20"/>
      <c r="O225" s="20"/>
      <c r="P225" s="20"/>
      <c r="Q225" s="67">
        <f t="shared" si="123"/>
        <v>0</v>
      </c>
      <c r="R225" s="21">
        <f t="shared" si="124"/>
        <v>0</v>
      </c>
    </row>
    <row r="226" spans="1:18" ht="12.75" hidden="1" outlineLevel="3">
      <c r="A226" s="19" t="s">
        <v>42</v>
      </c>
      <c r="B226" s="20"/>
      <c r="C226" s="20"/>
      <c r="D226" s="20"/>
      <c r="E226" s="67">
        <f t="shared" si="120"/>
        <v>0</v>
      </c>
      <c r="F226" s="20"/>
      <c r="G226" s="20"/>
      <c r="H226" s="20"/>
      <c r="I226" s="67">
        <f t="shared" si="121"/>
        <v>0</v>
      </c>
      <c r="J226" s="20"/>
      <c r="K226" s="20"/>
      <c r="L226" s="20"/>
      <c r="M226" s="67">
        <f t="shared" si="122"/>
        <v>0</v>
      </c>
      <c r="N226" s="20"/>
      <c r="O226" s="20"/>
      <c r="P226" s="20"/>
      <c r="Q226" s="67">
        <f t="shared" si="123"/>
        <v>0</v>
      </c>
      <c r="R226" s="21">
        <f t="shared" si="124"/>
        <v>0</v>
      </c>
    </row>
    <row r="227" spans="1:18" ht="12.75" hidden="1" outlineLevel="3">
      <c r="A227" s="19" t="s">
        <v>43</v>
      </c>
      <c r="B227" s="20"/>
      <c r="C227" s="20"/>
      <c r="D227" s="20"/>
      <c r="E227" s="67">
        <f t="shared" si="120"/>
        <v>0</v>
      </c>
      <c r="F227" s="20"/>
      <c r="G227" s="20"/>
      <c r="H227" s="20"/>
      <c r="I227" s="67">
        <f t="shared" si="121"/>
        <v>0</v>
      </c>
      <c r="J227" s="20"/>
      <c r="K227" s="20"/>
      <c r="L227" s="20"/>
      <c r="M227" s="67">
        <f t="shared" si="122"/>
        <v>0</v>
      </c>
      <c r="N227" s="20"/>
      <c r="O227" s="20"/>
      <c r="P227" s="20"/>
      <c r="Q227" s="67">
        <f t="shared" si="123"/>
        <v>0</v>
      </c>
      <c r="R227" s="21">
        <f t="shared" si="124"/>
        <v>0</v>
      </c>
    </row>
    <row r="228" spans="1:18" ht="12.75" hidden="1" outlineLevel="3">
      <c r="A228" s="19" t="s">
        <v>44</v>
      </c>
      <c r="B228" s="20"/>
      <c r="C228" s="20"/>
      <c r="D228" s="20"/>
      <c r="E228" s="67">
        <f t="shared" si="120"/>
        <v>0</v>
      </c>
      <c r="F228" s="20"/>
      <c r="G228" s="20"/>
      <c r="H228" s="20"/>
      <c r="I228" s="67">
        <f t="shared" si="121"/>
        <v>0</v>
      </c>
      <c r="J228" s="20"/>
      <c r="K228" s="20"/>
      <c r="L228" s="20"/>
      <c r="M228" s="67">
        <f t="shared" si="122"/>
        <v>0</v>
      </c>
      <c r="N228" s="20"/>
      <c r="O228" s="20"/>
      <c r="P228" s="20"/>
      <c r="Q228" s="67">
        <f t="shared" si="123"/>
        <v>0</v>
      </c>
      <c r="R228" s="21">
        <f t="shared" si="124"/>
        <v>0</v>
      </c>
    </row>
    <row r="229" spans="1:18" ht="12.75" hidden="1" outlineLevel="3">
      <c r="A229" s="19" t="s">
        <v>45</v>
      </c>
      <c r="B229" s="62"/>
      <c r="C229" s="62"/>
      <c r="D229" s="62"/>
      <c r="E229" s="35">
        <f t="shared" si="120"/>
        <v>0</v>
      </c>
      <c r="F229" s="62"/>
      <c r="G229" s="62"/>
      <c r="H229" s="62"/>
      <c r="I229" s="35">
        <f t="shared" si="121"/>
        <v>0</v>
      </c>
      <c r="J229" s="62"/>
      <c r="K229" s="62"/>
      <c r="L229" s="62"/>
      <c r="M229" s="35">
        <f t="shared" si="122"/>
        <v>0</v>
      </c>
      <c r="N229" s="62"/>
      <c r="O229" s="62"/>
      <c r="P229" s="62"/>
      <c r="Q229" s="35">
        <f t="shared" si="123"/>
        <v>0</v>
      </c>
      <c r="R229" s="34">
        <f t="shared" si="124"/>
        <v>0</v>
      </c>
    </row>
    <row r="230" spans="1:18" ht="12.75" hidden="1" outlineLevel="3">
      <c r="A230" s="19" t="s">
        <v>46</v>
      </c>
      <c r="B230" s="20"/>
      <c r="C230" s="20"/>
      <c r="D230" s="20"/>
      <c r="E230" s="67">
        <f t="shared" si="120"/>
        <v>0</v>
      </c>
      <c r="F230" s="20"/>
      <c r="G230" s="20"/>
      <c r="H230" s="20"/>
      <c r="I230" s="67">
        <f t="shared" si="121"/>
        <v>0</v>
      </c>
      <c r="J230" s="20"/>
      <c r="K230" s="20"/>
      <c r="L230" s="20"/>
      <c r="M230" s="67">
        <f t="shared" si="122"/>
        <v>0</v>
      </c>
      <c r="N230" s="20"/>
      <c r="O230" s="20"/>
      <c r="P230" s="20"/>
      <c r="Q230" s="67">
        <f t="shared" si="123"/>
        <v>0</v>
      </c>
      <c r="R230" s="21">
        <f t="shared" si="124"/>
        <v>0</v>
      </c>
    </row>
    <row r="231" spans="1:18" ht="12.75" hidden="1" outlineLevel="3">
      <c r="A231" s="19" t="s">
        <v>58</v>
      </c>
      <c r="B231" s="62"/>
      <c r="C231" s="62">
        <v>0.9</v>
      </c>
      <c r="D231" s="62"/>
      <c r="E231" s="59">
        <f t="shared" si="120"/>
        <v>0.9</v>
      </c>
      <c r="F231" s="52"/>
      <c r="G231" s="52"/>
      <c r="H231" s="52">
        <v>2.1</v>
      </c>
      <c r="I231" s="59">
        <f t="shared" si="121"/>
        <v>2.1</v>
      </c>
      <c r="J231" s="52"/>
      <c r="K231" s="52"/>
      <c r="L231" s="52">
        <v>2.02</v>
      </c>
      <c r="M231" s="59">
        <f t="shared" si="122"/>
        <v>2.02</v>
      </c>
      <c r="N231" s="52"/>
      <c r="O231" s="52"/>
      <c r="P231" s="52"/>
      <c r="Q231" s="59">
        <f t="shared" si="123"/>
        <v>0</v>
      </c>
      <c r="R231" s="60">
        <f t="shared" si="124"/>
        <v>5.0200000000000005</v>
      </c>
    </row>
    <row r="232" spans="1:18" ht="12.75" hidden="1" outlineLevel="2">
      <c r="A232" s="22" t="s">
        <v>47</v>
      </c>
      <c r="B232" s="63">
        <f aca="true" t="shared" si="125" ref="B232:Q232">SUM(B224:B231)</f>
        <v>0</v>
      </c>
      <c r="C232" s="63">
        <f t="shared" si="125"/>
        <v>0.9</v>
      </c>
      <c r="D232" s="63">
        <f t="shared" si="125"/>
        <v>0</v>
      </c>
      <c r="E232" s="33">
        <f t="shared" si="125"/>
        <v>0.9</v>
      </c>
      <c r="F232" s="33">
        <f t="shared" si="125"/>
        <v>0</v>
      </c>
      <c r="G232" s="33">
        <f t="shared" si="125"/>
        <v>0</v>
      </c>
      <c r="H232" s="33">
        <f t="shared" si="125"/>
        <v>2.1</v>
      </c>
      <c r="I232" s="33">
        <f t="shared" si="125"/>
        <v>2.1</v>
      </c>
      <c r="J232" s="33">
        <f t="shared" si="125"/>
        <v>0</v>
      </c>
      <c r="K232" s="33">
        <f t="shared" si="125"/>
        <v>0</v>
      </c>
      <c r="L232" s="33">
        <f t="shared" si="125"/>
        <v>2.02</v>
      </c>
      <c r="M232" s="33">
        <f t="shared" si="125"/>
        <v>2.02</v>
      </c>
      <c r="N232" s="33">
        <f t="shared" si="125"/>
        <v>0</v>
      </c>
      <c r="O232" s="33">
        <f t="shared" si="125"/>
        <v>0</v>
      </c>
      <c r="P232" s="33">
        <f t="shared" si="125"/>
        <v>0</v>
      </c>
      <c r="Q232" s="33">
        <f t="shared" si="125"/>
        <v>0</v>
      </c>
      <c r="R232" s="34">
        <f t="shared" si="124"/>
        <v>5.0200000000000005</v>
      </c>
    </row>
    <row r="233" spans="1:18" ht="12.75" hidden="1" outlineLevel="3">
      <c r="A233" s="23" t="s">
        <v>15</v>
      </c>
      <c r="B233" s="63">
        <v>79.2</v>
      </c>
      <c r="C233" s="63">
        <v>79.56</v>
      </c>
      <c r="D233" s="63">
        <v>80.16</v>
      </c>
      <c r="E233" s="35">
        <f aca="true" t="shared" si="126" ref="E233:E242">SUM(B233:D233)</f>
        <v>238.92</v>
      </c>
      <c r="F233" s="37">
        <v>80.16</v>
      </c>
      <c r="G233" s="37">
        <v>80.64</v>
      </c>
      <c r="H233" s="37">
        <v>81</v>
      </c>
      <c r="I233" s="35">
        <f aca="true" t="shared" si="127" ref="I233:I242">SUM(F233:H233)</f>
        <v>241.8</v>
      </c>
      <c r="J233" s="37">
        <v>80.88</v>
      </c>
      <c r="K233" s="37">
        <v>81.48</v>
      </c>
      <c r="L233" s="37">
        <v>81.6</v>
      </c>
      <c r="M233" s="35">
        <f aca="true" t="shared" si="128" ref="M233:M242">SUM(J233:L233)</f>
        <v>243.96</v>
      </c>
      <c r="N233" s="37">
        <v>82.08</v>
      </c>
      <c r="O233" s="37">
        <v>82.8</v>
      </c>
      <c r="P233" s="38">
        <v>82.44</v>
      </c>
      <c r="Q233" s="35">
        <f aca="true" t="shared" si="129" ref="Q233:Q242">SUM(N233:P233)</f>
        <v>247.32</v>
      </c>
      <c r="R233" s="34">
        <f t="shared" si="124"/>
        <v>971.9999999999999</v>
      </c>
    </row>
    <row r="234" spans="1:18" ht="12.75" hidden="1" outlineLevel="3">
      <c r="A234" s="23" t="s">
        <v>16</v>
      </c>
      <c r="B234" s="63">
        <v>14</v>
      </c>
      <c r="C234" s="63">
        <v>14</v>
      </c>
      <c r="D234" s="63">
        <v>14</v>
      </c>
      <c r="E234" s="35">
        <f t="shared" si="126"/>
        <v>42</v>
      </c>
      <c r="F234" s="37">
        <v>14</v>
      </c>
      <c r="G234" s="37">
        <v>14</v>
      </c>
      <c r="H234" s="37">
        <v>14</v>
      </c>
      <c r="I234" s="35">
        <f t="shared" si="127"/>
        <v>42</v>
      </c>
      <c r="J234" s="37">
        <v>14</v>
      </c>
      <c r="K234" s="37">
        <v>14</v>
      </c>
      <c r="L234" s="37">
        <v>14</v>
      </c>
      <c r="M234" s="35">
        <f t="shared" si="128"/>
        <v>42</v>
      </c>
      <c r="N234" s="37">
        <v>14</v>
      </c>
      <c r="O234" s="37">
        <v>14</v>
      </c>
      <c r="P234" s="38">
        <v>14</v>
      </c>
      <c r="Q234" s="35">
        <f t="shared" si="129"/>
        <v>42</v>
      </c>
      <c r="R234" s="34">
        <f t="shared" si="124"/>
        <v>168</v>
      </c>
    </row>
    <row r="235" spans="1:18" ht="12.75" hidden="1" outlineLevel="3">
      <c r="A235" s="23" t="s">
        <v>17</v>
      </c>
      <c r="B235" s="63">
        <v>33.9</v>
      </c>
      <c r="C235" s="63">
        <v>65.54</v>
      </c>
      <c r="D235" s="63">
        <v>38.42</v>
      </c>
      <c r="E235" s="35">
        <f t="shared" si="126"/>
        <v>137.86</v>
      </c>
      <c r="F235" s="37">
        <v>11.3</v>
      </c>
      <c r="G235" s="37">
        <v>14.69</v>
      </c>
      <c r="H235" s="37">
        <v>19.21</v>
      </c>
      <c r="I235" s="35">
        <f t="shared" si="127"/>
        <v>45.2</v>
      </c>
      <c r="J235" s="37">
        <v>6.78</v>
      </c>
      <c r="K235" s="37">
        <v>16.95</v>
      </c>
      <c r="L235" s="37">
        <v>70.06</v>
      </c>
      <c r="M235" s="35">
        <f t="shared" si="128"/>
        <v>93.79</v>
      </c>
      <c r="N235" s="37">
        <v>74.58</v>
      </c>
      <c r="O235" s="37">
        <v>22.6</v>
      </c>
      <c r="P235" s="38">
        <v>23.73</v>
      </c>
      <c r="Q235" s="35">
        <f t="shared" si="129"/>
        <v>120.91000000000001</v>
      </c>
      <c r="R235" s="34">
        <f t="shared" si="124"/>
        <v>397.76000000000005</v>
      </c>
    </row>
    <row r="236" spans="1:18" ht="12.75" hidden="1" outlineLevel="3">
      <c r="A236" s="25" t="s">
        <v>18</v>
      </c>
      <c r="B236" s="63">
        <v>1.6</v>
      </c>
      <c r="C236" s="63">
        <v>4.16</v>
      </c>
      <c r="D236" s="63">
        <v>5.7</v>
      </c>
      <c r="E236" s="35">
        <f t="shared" si="126"/>
        <v>11.46</v>
      </c>
      <c r="F236" s="37">
        <v>5.42</v>
      </c>
      <c r="G236" s="37">
        <v>1.36</v>
      </c>
      <c r="H236" s="37">
        <v>1.22</v>
      </c>
      <c r="I236" s="35">
        <f t="shared" si="127"/>
        <v>8</v>
      </c>
      <c r="J236" s="37">
        <v>1.22</v>
      </c>
      <c r="K236" s="37">
        <v>1.83</v>
      </c>
      <c r="L236" s="37">
        <v>1.92</v>
      </c>
      <c r="M236" s="35">
        <f t="shared" si="128"/>
        <v>4.97</v>
      </c>
      <c r="N236" s="37">
        <v>3.02</v>
      </c>
      <c r="O236" s="37">
        <v>4.07</v>
      </c>
      <c r="P236" s="38">
        <v>12.92</v>
      </c>
      <c r="Q236" s="35">
        <f t="shared" si="129"/>
        <v>20.009999999999998</v>
      </c>
      <c r="R236" s="34">
        <f t="shared" si="124"/>
        <v>44.44</v>
      </c>
    </row>
    <row r="237" spans="1:18" ht="12.75" hidden="1" outlineLevel="3">
      <c r="A237" s="23" t="s">
        <v>19</v>
      </c>
      <c r="B237" s="63"/>
      <c r="C237" s="63"/>
      <c r="D237" s="63"/>
      <c r="E237" s="35">
        <f t="shared" si="126"/>
        <v>0</v>
      </c>
      <c r="F237" s="37"/>
      <c r="G237" s="37"/>
      <c r="H237" s="37"/>
      <c r="I237" s="35">
        <f t="shared" si="127"/>
        <v>0</v>
      </c>
      <c r="J237" s="37"/>
      <c r="K237" s="37"/>
      <c r="L237" s="37">
        <v>0.93</v>
      </c>
      <c r="M237" s="35">
        <f t="shared" si="128"/>
        <v>0.93</v>
      </c>
      <c r="N237" s="37"/>
      <c r="O237" s="37"/>
      <c r="P237" s="38"/>
      <c r="Q237" s="35">
        <f t="shared" si="129"/>
        <v>0</v>
      </c>
      <c r="R237" s="34">
        <f t="shared" si="124"/>
        <v>0.93</v>
      </c>
    </row>
    <row r="238" spans="1:18" ht="12.75" hidden="1" outlineLevel="3">
      <c r="A238" s="23" t="s">
        <v>20</v>
      </c>
      <c r="B238" s="63">
        <v>14</v>
      </c>
      <c r="C238" s="63">
        <v>15.13</v>
      </c>
      <c r="D238" s="63">
        <f>18+0.06+19.21</f>
        <v>37.269999999999996</v>
      </c>
      <c r="E238" s="35">
        <f t="shared" si="126"/>
        <v>66.4</v>
      </c>
      <c r="F238" s="37">
        <v>4.5</v>
      </c>
      <c r="G238" s="37">
        <v>5</v>
      </c>
      <c r="H238" s="37">
        <v>6</v>
      </c>
      <c r="I238" s="35">
        <f t="shared" si="127"/>
        <v>15.5</v>
      </c>
      <c r="J238" s="37">
        <v>4</v>
      </c>
      <c r="K238" s="37">
        <v>4.5</v>
      </c>
      <c r="L238" s="37">
        <v>40</v>
      </c>
      <c r="M238" s="35">
        <f t="shared" si="128"/>
        <v>48.5</v>
      </c>
      <c r="N238" s="37">
        <v>38.5</v>
      </c>
      <c r="O238" s="37">
        <v>7.5</v>
      </c>
      <c r="P238" s="38">
        <v>13.5</v>
      </c>
      <c r="Q238" s="35">
        <f t="shared" si="129"/>
        <v>59.5</v>
      </c>
      <c r="R238" s="34">
        <f t="shared" si="124"/>
        <v>189.9</v>
      </c>
    </row>
    <row r="239" spans="1:18" ht="12.75" hidden="1" outlineLevel="3">
      <c r="A239" s="23" t="s">
        <v>66</v>
      </c>
      <c r="B239" s="63"/>
      <c r="C239" s="63"/>
      <c r="D239" s="63"/>
      <c r="E239" s="35"/>
      <c r="F239" s="37"/>
      <c r="G239" s="37"/>
      <c r="H239" s="37"/>
      <c r="I239" s="35"/>
      <c r="J239" s="37"/>
      <c r="K239" s="37"/>
      <c r="L239" s="37"/>
      <c r="M239" s="35"/>
      <c r="N239" s="37"/>
      <c r="O239" s="37"/>
      <c r="P239" s="38"/>
      <c r="Q239" s="35"/>
      <c r="R239" s="34"/>
    </row>
    <row r="240" spans="1:18" ht="12.75" hidden="1" outlineLevel="3">
      <c r="A240" s="23" t="s">
        <v>21</v>
      </c>
      <c r="B240" s="63"/>
      <c r="C240" s="63"/>
      <c r="D240" s="63"/>
      <c r="E240" s="35">
        <f t="shared" si="126"/>
        <v>0</v>
      </c>
      <c r="F240" s="37"/>
      <c r="G240" s="37"/>
      <c r="H240" s="37"/>
      <c r="I240" s="35">
        <f t="shared" si="127"/>
        <v>0</v>
      </c>
      <c r="J240" s="37"/>
      <c r="K240" s="37"/>
      <c r="L240" s="37"/>
      <c r="M240" s="35">
        <f t="shared" si="128"/>
        <v>0</v>
      </c>
      <c r="N240" s="37"/>
      <c r="O240" s="37"/>
      <c r="P240" s="38"/>
      <c r="Q240" s="35">
        <f t="shared" si="129"/>
        <v>0</v>
      </c>
      <c r="R240" s="34">
        <f t="shared" si="124"/>
        <v>0</v>
      </c>
    </row>
    <row r="241" spans="1:18" ht="12.75" hidden="1" outlineLevel="3">
      <c r="A241" s="23" t="s">
        <v>22</v>
      </c>
      <c r="B241" s="63"/>
      <c r="C241" s="63"/>
      <c r="D241" s="63"/>
      <c r="E241" s="35">
        <f t="shared" si="126"/>
        <v>0</v>
      </c>
      <c r="F241" s="37"/>
      <c r="G241" s="37"/>
      <c r="H241" s="37"/>
      <c r="I241" s="35">
        <f t="shared" si="127"/>
        <v>0</v>
      </c>
      <c r="J241" s="37"/>
      <c r="K241" s="37"/>
      <c r="L241" s="37"/>
      <c r="M241" s="35">
        <f t="shared" si="128"/>
        <v>0</v>
      </c>
      <c r="N241" s="37">
        <v>4.26</v>
      </c>
      <c r="O241" s="37"/>
      <c r="P241" s="38">
        <v>17.04</v>
      </c>
      <c r="Q241" s="35">
        <f t="shared" si="129"/>
        <v>21.299999999999997</v>
      </c>
      <c r="R241" s="34">
        <f t="shared" si="124"/>
        <v>21.299999999999997</v>
      </c>
    </row>
    <row r="242" spans="1:18" ht="12.75" hidden="1" outlineLevel="3">
      <c r="A242" s="23" t="s">
        <v>61</v>
      </c>
      <c r="B242" s="62"/>
      <c r="C242" s="62"/>
      <c r="D242" s="62"/>
      <c r="E242" s="35">
        <f t="shared" si="126"/>
        <v>0</v>
      </c>
      <c r="F242" s="38"/>
      <c r="G242" s="38"/>
      <c r="H242" s="38"/>
      <c r="I242" s="35">
        <f t="shared" si="127"/>
        <v>0</v>
      </c>
      <c r="J242" s="38"/>
      <c r="K242" s="38"/>
      <c r="L242" s="38"/>
      <c r="M242" s="35">
        <f t="shared" si="128"/>
        <v>0</v>
      </c>
      <c r="N242" s="38"/>
      <c r="O242" s="38"/>
      <c r="P242" s="38"/>
      <c r="Q242" s="35">
        <f t="shared" si="129"/>
        <v>0</v>
      </c>
      <c r="R242" s="34">
        <f t="shared" si="124"/>
        <v>0</v>
      </c>
    </row>
    <row r="243" spans="1:18" ht="12.75" hidden="1" outlineLevel="2">
      <c r="A243" s="28" t="s">
        <v>50</v>
      </c>
      <c r="B243" s="43">
        <f aca="true" t="shared" si="130" ref="B243:Q243">SUM(B233:B242)</f>
        <v>142.7</v>
      </c>
      <c r="C243" s="43">
        <f t="shared" si="130"/>
        <v>178.39000000000001</v>
      </c>
      <c r="D243" s="43">
        <f t="shared" si="130"/>
        <v>175.54999999999995</v>
      </c>
      <c r="E243" s="43">
        <f t="shared" si="130"/>
        <v>496.64</v>
      </c>
      <c r="F243" s="43">
        <f t="shared" si="130"/>
        <v>115.38</v>
      </c>
      <c r="G243" s="43">
        <f t="shared" si="130"/>
        <v>115.69</v>
      </c>
      <c r="H243" s="43">
        <f t="shared" si="130"/>
        <v>121.43</v>
      </c>
      <c r="I243" s="43">
        <f t="shared" si="130"/>
        <v>352.5</v>
      </c>
      <c r="J243" s="43">
        <f t="shared" si="130"/>
        <v>106.88</v>
      </c>
      <c r="K243" s="43">
        <f t="shared" si="130"/>
        <v>118.76</v>
      </c>
      <c r="L243" s="43">
        <f t="shared" si="130"/>
        <v>208.51</v>
      </c>
      <c r="M243" s="43">
        <f t="shared" si="130"/>
        <v>434.1500000000001</v>
      </c>
      <c r="N243" s="43">
        <f t="shared" si="130"/>
        <v>216.44</v>
      </c>
      <c r="O243" s="43">
        <f t="shared" si="130"/>
        <v>130.97</v>
      </c>
      <c r="P243" s="43">
        <f t="shared" si="130"/>
        <v>163.63</v>
      </c>
      <c r="Q243" s="43">
        <f t="shared" si="130"/>
        <v>511.04</v>
      </c>
      <c r="R243" s="44">
        <f t="shared" si="124"/>
        <v>1794.33</v>
      </c>
    </row>
    <row r="244" spans="1:21" ht="13.5" outlineLevel="1" collapsed="1" thickBot="1">
      <c r="A244" s="26" t="s">
        <v>48</v>
      </c>
      <c r="B244" s="46">
        <f aca="true" t="shared" si="131" ref="B244:R244">B243+B232</f>
        <v>142.7</v>
      </c>
      <c r="C244" s="46">
        <f t="shared" si="131"/>
        <v>179.29000000000002</v>
      </c>
      <c r="D244" s="46">
        <f t="shared" si="131"/>
        <v>175.54999999999995</v>
      </c>
      <c r="E244" s="45">
        <f t="shared" si="131"/>
        <v>497.53999999999996</v>
      </c>
      <c r="F244" s="46">
        <f t="shared" si="131"/>
        <v>115.38</v>
      </c>
      <c r="G244" s="46">
        <f t="shared" si="131"/>
        <v>115.69</v>
      </c>
      <c r="H244" s="46">
        <f t="shared" si="131"/>
        <v>123.53</v>
      </c>
      <c r="I244" s="45">
        <f t="shared" si="131"/>
        <v>354.6</v>
      </c>
      <c r="J244" s="46">
        <f t="shared" si="131"/>
        <v>106.88</v>
      </c>
      <c r="K244" s="46">
        <f t="shared" si="131"/>
        <v>118.76</v>
      </c>
      <c r="L244" s="46">
        <f t="shared" si="131"/>
        <v>210.53</v>
      </c>
      <c r="M244" s="45">
        <f t="shared" si="131"/>
        <v>436.1700000000001</v>
      </c>
      <c r="N244" s="46">
        <f t="shared" si="131"/>
        <v>216.44</v>
      </c>
      <c r="O244" s="46">
        <f t="shared" si="131"/>
        <v>130.97</v>
      </c>
      <c r="P244" s="46">
        <f t="shared" si="131"/>
        <v>163.63</v>
      </c>
      <c r="Q244" s="45">
        <f t="shared" si="131"/>
        <v>511.04</v>
      </c>
      <c r="R244" s="47">
        <f t="shared" si="131"/>
        <v>1799.35</v>
      </c>
      <c r="S244" s="65">
        <f>((B233/0.12)+(C233/0.12)+(D233/0.12)+(F233/0.12)+(G233/0.12)+(H233/0.12)+(J233/0.12)+(K233/0.12)+(L233/0.12)+(N233/0.12)+(O233/0.12)+(P233/0.12))/12</f>
        <v>675</v>
      </c>
      <c r="T244" s="54">
        <f>IF(R244&gt;0,R244/S244,0)</f>
        <v>2.6657037037037035</v>
      </c>
      <c r="U244" s="66">
        <f>IF(R235&gt;0,R235/R244,0)</f>
        <v>0.2210576041348265</v>
      </c>
    </row>
    <row r="245" spans="1:18" ht="13.5" outlineLevel="1" thickTop="1">
      <c r="A245" s="16" t="s">
        <v>67</v>
      </c>
      <c r="B245" s="17"/>
      <c r="C245" s="17"/>
      <c r="D245" s="17"/>
      <c r="E245" s="14"/>
      <c r="F245" s="17"/>
      <c r="G245" s="17"/>
      <c r="H245" s="17"/>
      <c r="I245" s="14"/>
      <c r="J245" s="17"/>
      <c r="K245" s="17"/>
      <c r="L245" s="17"/>
      <c r="M245" s="14"/>
      <c r="N245" s="17"/>
      <c r="O245" s="17"/>
      <c r="P245" s="17"/>
      <c r="Q245" s="14"/>
      <c r="R245" s="27"/>
    </row>
    <row r="246" spans="1:18" ht="12.75" hidden="1" outlineLevel="3">
      <c r="A246" s="19" t="s">
        <v>40</v>
      </c>
      <c r="B246" s="20"/>
      <c r="C246" s="20"/>
      <c r="D246" s="20"/>
      <c r="E246" s="67">
        <f aca="true" t="shared" si="132" ref="E246:E253">SUM(B246:D246)</f>
        <v>0</v>
      </c>
      <c r="F246" s="20"/>
      <c r="G246" s="20"/>
      <c r="H246" s="20"/>
      <c r="I246" s="67">
        <f aca="true" t="shared" si="133" ref="I246:I253">SUM(F246:H246)</f>
        <v>0</v>
      </c>
      <c r="J246" s="20"/>
      <c r="K246" s="20"/>
      <c r="L246" s="20"/>
      <c r="M246" s="67">
        <f aca="true" t="shared" si="134" ref="M246:M253">SUM(J246:L246)</f>
        <v>0</v>
      </c>
      <c r="N246" s="20"/>
      <c r="O246" s="20"/>
      <c r="P246" s="20"/>
      <c r="Q246" s="67">
        <f aca="true" t="shared" si="135" ref="Q246:Q253">SUM(N246:P246)</f>
        <v>0</v>
      </c>
      <c r="R246" s="21">
        <f aca="true" t="shared" si="136" ref="R246:R265">Q246+M246+I246+E246</f>
        <v>0</v>
      </c>
    </row>
    <row r="247" spans="1:18" ht="12.75" hidden="1" outlineLevel="3">
      <c r="A247" s="19" t="s">
        <v>41</v>
      </c>
      <c r="B247" s="20"/>
      <c r="C247" s="20"/>
      <c r="D247" s="20"/>
      <c r="E247" s="67">
        <f t="shared" si="132"/>
        <v>0</v>
      </c>
      <c r="F247" s="20"/>
      <c r="G247" s="20"/>
      <c r="H247" s="20"/>
      <c r="I247" s="67">
        <f t="shared" si="133"/>
        <v>0</v>
      </c>
      <c r="J247" s="20"/>
      <c r="K247" s="20"/>
      <c r="L247" s="20"/>
      <c r="M247" s="67">
        <f t="shared" si="134"/>
        <v>0</v>
      </c>
      <c r="N247" s="20"/>
      <c r="O247" s="20"/>
      <c r="P247" s="20"/>
      <c r="Q247" s="67">
        <f t="shared" si="135"/>
        <v>0</v>
      </c>
      <c r="R247" s="21">
        <f t="shared" si="136"/>
        <v>0</v>
      </c>
    </row>
    <row r="248" spans="1:18" ht="12.75" hidden="1" outlineLevel="3">
      <c r="A248" s="19" t="s">
        <v>42</v>
      </c>
      <c r="B248" s="20"/>
      <c r="C248" s="20"/>
      <c r="D248" s="20"/>
      <c r="E248" s="67">
        <f t="shared" si="132"/>
        <v>0</v>
      </c>
      <c r="F248" s="20"/>
      <c r="G248" s="20"/>
      <c r="H248" s="20"/>
      <c r="I248" s="67">
        <f t="shared" si="133"/>
        <v>0</v>
      </c>
      <c r="J248" s="20"/>
      <c r="K248" s="20"/>
      <c r="L248" s="20"/>
      <c r="M248" s="67">
        <f t="shared" si="134"/>
        <v>0</v>
      </c>
      <c r="N248" s="20"/>
      <c r="O248" s="20"/>
      <c r="P248" s="20"/>
      <c r="Q248" s="67">
        <f t="shared" si="135"/>
        <v>0</v>
      </c>
      <c r="R248" s="21">
        <f t="shared" si="136"/>
        <v>0</v>
      </c>
    </row>
    <row r="249" spans="1:18" ht="12.75" hidden="1" outlineLevel="3">
      <c r="A249" s="19" t="s">
        <v>43</v>
      </c>
      <c r="B249" s="20"/>
      <c r="C249" s="20"/>
      <c r="D249" s="20"/>
      <c r="E249" s="67">
        <f t="shared" si="132"/>
        <v>0</v>
      </c>
      <c r="F249" s="20"/>
      <c r="G249" s="20"/>
      <c r="H249" s="20"/>
      <c r="I249" s="67">
        <f t="shared" si="133"/>
        <v>0</v>
      </c>
      <c r="J249" s="20"/>
      <c r="K249" s="20"/>
      <c r="L249" s="20"/>
      <c r="M249" s="67">
        <f t="shared" si="134"/>
        <v>0</v>
      </c>
      <c r="N249" s="20"/>
      <c r="O249" s="20"/>
      <c r="P249" s="20"/>
      <c r="Q249" s="67">
        <f t="shared" si="135"/>
        <v>0</v>
      </c>
      <c r="R249" s="21">
        <f t="shared" si="136"/>
        <v>0</v>
      </c>
    </row>
    <row r="250" spans="1:18" ht="12.75" hidden="1" outlineLevel="3">
      <c r="A250" s="19" t="s">
        <v>44</v>
      </c>
      <c r="B250" s="20"/>
      <c r="C250" s="20"/>
      <c r="D250" s="20"/>
      <c r="E250" s="67">
        <f t="shared" si="132"/>
        <v>0</v>
      </c>
      <c r="F250" s="20"/>
      <c r="G250" s="20"/>
      <c r="H250" s="20"/>
      <c r="I250" s="67">
        <f t="shared" si="133"/>
        <v>0</v>
      </c>
      <c r="J250" s="20"/>
      <c r="K250" s="20"/>
      <c r="L250" s="20"/>
      <c r="M250" s="67">
        <f t="shared" si="134"/>
        <v>0</v>
      </c>
      <c r="N250" s="20"/>
      <c r="O250" s="20"/>
      <c r="P250" s="20"/>
      <c r="Q250" s="67">
        <f t="shared" si="135"/>
        <v>0</v>
      </c>
      <c r="R250" s="21">
        <f t="shared" si="136"/>
        <v>0</v>
      </c>
    </row>
    <row r="251" spans="1:18" ht="12.75" hidden="1" outlineLevel="3">
      <c r="A251" s="19" t="s">
        <v>45</v>
      </c>
      <c r="B251" s="62"/>
      <c r="C251" s="62"/>
      <c r="D251" s="62"/>
      <c r="E251" s="35">
        <f t="shared" si="132"/>
        <v>0</v>
      </c>
      <c r="F251" s="62"/>
      <c r="G251" s="62"/>
      <c r="H251" s="62"/>
      <c r="I251" s="35">
        <f t="shared" si="133"/>
        <v>0</v>
      </c>
      <c r="J251" s="62"/>
      <c r="K251" s="62"/>
      <c r="L251" s="62"/>
      <c r="M251" s="35">
        <f t="shared" si="134"/>
        <v>0</v>
      </c>
      <c r="N251" s="62"/>
      <c r="O251" s="62"/>
      <c r="P251" s="62"/>
      <c r="Q251" s="35">
        <f t="shared" si="135"/>
        <v>0</v>
      </c>
      <c r="R251" s="34">
        <f t="shared" si="136"/>
        <v>0</v>
      </c>
    </row>
    <row r="252" spans="1:18" ht="12.75" hidden="1" outlineLevel="3">
      <c r="A252" s="19" t="s">
        <v>46</v>
      </c>
      <c r="B252" s="20"/>
      <c r="C252" s="20"/>
      <c r="D252" s="20"/>
      <c r="E252" s="67">
        <f t="shared" si="132"/>
        <v>0</v>
      </c>
      <c r="F252" s="20"/>
      <c r="G252" s="20"/>
      <c r="H252" s="20"/>
      <c r="I252" s="67">
        <f t="shared" si="133"/>
        <v>0</v>
      </c>
      <c r="J252" s="20"/>
      <c r="K252" s="20"/>
      <c r="L252" s="20"/>
      <c r="M252" s="67">
        <f t="shared" si="134"/>
        <v>0</v>
      </c>
      <c r="N252" s="20"/>
      <c r="O252" s="20"/>
      <c r="P252" s="20"/>
      <c r="Q252" s="67">
        <f t="shared" si="135"/>
        <v>0</v>
      </c>
      <c r="R252" s="21">
        <f t="shared" si="136"/>
        <v>0</v>
      </c>
    </row>
    <row r="253" spans="1:18" ht="12.75" hidden="1" outlineLevel="3">
      <c r="A253" s="19" t="s">
        <v>58</v>
      </c>
      <c r="B253" s="62"/>
      <c r="C253" s="62">
        <v>0.62</v>
      </c>
      <c r="D253" s="62"/>
      <c r="E253" s="59">
        <f t="shared" si="132"/>
        <v>0.62</v>
      </c>
      <c r="F253" s="52"/>
      <c r="G253" s="52"/>
      <c r="H253" s="52">
        <v>0.04</v>
      </c>
      <c r="I253" s="59">
        <f t="shared" si="133"/>
        <v>0.04</v>
      </c>
      <c r="J253" s="52"/>
      <c r="K253" s="52"/>
      <c r="L253" s="52">
        <v>3.95</v>
      </c>
      <c r="M253" s="59">
        <f t="shared" si="134"/>
        <v>3.95</v>
      </c>
      <c r="N253" s="52"/>
      <c r="O253" s="52"/>
      <c r="P253" s="52"/>
      <c r="Q253" s="59">
        <f t="shared" si="135"/>
        <v>0</v>
      </c>
      <c r="R253" s="60">
        <f t="shared" si="136"/>
        <v>4.61</v>
      </c>
    </row>
    <row r="254" spans="1:18" ht="12.75" hidden="1" outlineLevel="2">
      <c r="A254" s="22" t="s">
        <v>47</v>
      </c>
      <c r="B254" s="63">
        <f aca="true" t="shared" si="137" ref="B254:Q254">SUM(B246:B253)</f>
        <v>0</v>
      </c>
      <c r="C254" s="63">
        <f t="shared" si="137"/>
        <v>0.62</v>
      </c>
      <c r="D254" s="63">
        <f t="shared" si="137"/>
        <v>0</v>
      </c>
      <c r="E254" s="33">
        <f t="shared" si="137"/>
        <v>0.62</v>
      </c>
      <c r="F254" s="33"/>
      <c r="G254" s="33">
        <f t="shared" si="137"/>
        <v>0</v>
      </c>
      <c r="H254" s="33">
        <f t="shared" si="137"/>
        <v>0.04</v>
      </c>
      <c r="I254" s="33">
        <f t="shared" si="137"/>
        <v>0.04</v>
      </c>
      <c r="J254" s="33">
        <f t="shared" si="137"/>
        <v>0</v>
      </c>
      <c r="K254" s="33">
        <f t="shared" si="137"/>
        <v>0</v>
      </c>
      <c r="L254" s="33">
        <f t="shared" si="137"/>
        <v>3.95</v>
      </c>
      <c r="M254" s="33">
        <f t="shared" si="137"/>
        <v>3.95</v>
      </c>
      <c r="N254" s="33">
        <f t="shared" si="137"/>
        <v>0</v>
      </c>
      <c r="O254" s="33">
        <f t="shared" si="137"/>
        <v>0</v>
      </c>
      <c r="P254" s="33">
        <f t="shared" si="137"/>
        <v>0</v>
      </c>
      <c r="Q254" s="33">
        <f t="shared" si="137"/>
        <v>0</v>
      </c>
      <c r="R254" s="34">
        <f t="shared" si="136"/>
        <v>4.61</v>
      </c>
    </row>
    <row r="255" spans="1:18" ht="12.75" hidden="1" outlineLevel="3">
      <c r="A255" s="23" t="s">
        <v>15</v>
      </c>
      <c r="B255" s="63"/>
      <c r="C255" s="63"/>
      <c r="D255" s="63"/>
      <c r="E255" s="35">
        <f aca="true" t="shared" si="138" ref="E255:E264">SUM(B255:D255)</f>
        <v>0</v>
      </c>
      <c r="F255" s="37"/>
      <c r="G255" s="37"/>
      <c r="H255" s="37">
        <v>6.36</v>
      </c>
      <c r="I255" s="35">
        <f aca="true" t="shared" si="139" ref="I255:I264">SUM(F255:H255)</f>
        <v>6.36</v>
      </c>
      <c r="J255" s="37">
        <v>97.56</v>
      </c>
      <c r="K255" s="37">
        <v>159.24</v>
      </c>
      <c r="L255" s="37">
        <v>226.68</v>
      </c>
      <c r="M255" s="35">
        <f aca="true" t="shared" si="140" ref="M255:M264">SUM(J255:L255)</f>
        <v>483.48</v>
      </c>
      <c r="N255" s="37">
        <v>475.08</v>
      </c>
      <c r="O255" s="37">
        <v>1438.08</v>
      </c>
      <c r="P255" s="38">
        <v>2778.84</v>
      </c>
      <c r="Q255" s="35">
        <f aca="true" t="shared" si="141" ref="Q255:Q264">SUM(N255:P255)</f>
        <v>4692</v>
      </c>
      <c r="R255" s="34">
        <f t="shared" si="136"/>
        <v>5181.839999999999</v>
      </c>
    </row>
    <row r="256" spans="1:18" ht="12.75" hidden="1" outlineLevel="3">
      <c r="A256" s="23" t="s">
        <v>16</v>
      </c>
      <c r="B256" s="62"/>
      <c r="C256" s="62"/>
      <c r="D256" s="62"/>
      <c r="E256" s="35">
        <f t="shared" si="138"/>
        <v>0</v>
      </c>
      <c r="F256" s="62"/>
      <c r="G256" s="62"/>
      <c r="H256" s="62"/>
      <c r="I256" s="35">
        <f t="shared" si="139"/>
        <v>0</v>
      </c>
      <c r="J256" s="62"/>
      <c r="K256" s="62"/>
      <c r="L256" s="62">
        <v>220</v>
      </c>
      <c r="M256" s="35">
        <f t="shared" si="140"/>
        <v>220</v>
      </c>
      <c r="N256" s="62">
        <v>220</v>
      </c>
      <c r="O256" s="62">
        <v>220</v>
      </c>
      <c r="P256" s="62">
        <v>220</v>
      </c>
      <c r="Q256" s="35">
        <f t="shared" si="141"/>
        <v>660</v>
      </c>
      <c r="R256" s="34">
        <f t="shared" si="136"/>
        <v>880</v>
      </c>
    </row>
    <row r="257" spans="1:18" ht="12.75" hidden="1" outlineLevel="3">
      <c r="A257" s="23" t="s">
        <v>17</v>
      </c>
      <c r="B257" s="63"/>
      <c r="C257" s="63"/>
      <c r="D257" s="63"/>
      <c r="E257" s="35">
        <f t="shared" si="138"/>
        <v>0</v>
      </c>
      <c r="F257" s="37"/>
      <c r="G257" s="37"/>
      <c r="H257" s="37">
        <v>30.51</v>
      </c>
      <c r="I257" s="35">
        <f t="shared" si="139"/>
        <v>30.51</v>
      </c>
      <c r="J257" s="37">
        <v>853.15</v>
      </c>
      <c r="K257" s="37">
        <v>644.1</v>
      </c>
      <c r="L257" s="37">
        <v>717.55</v>
      </c>
      <c r="M257" s="35">
        <f t="shared" si="140"/>
        <v>2214.8</v>
      </c>
      <c r="N257" s="37">
        <v>2502.95</v>
      </c>
      <c r="O257" s="37">
        <v>9362.05</v>
      </c>
      <c r="P257" s="38">
        <v>19051.8</v>
      </c>
      <c r="Q257" s="35">
        <f t="shared" si="141"/>
        <v>30916.8</v>
      </c>
      <c r="R257" s="34">
        <f t="shared" si="136"/>
        <v>33162.11</v>
      </c>
    </row>
    <row r="258" spans="1:18" ht="12.75" hidden="1" outlineLevel="3">
      <c r="A258" s="25" t="s">
        <v>18</v>
      </c>
      <c r="B258" s="63"/>
      <c r="C258" s="63"/>
      <c r="D258" s="63"/>
      <c r="E258" s="35">
        <f t="shared" si="138"/>
        <v>0</v>
      </c>
      <c r="F258" s="37"/>
      <c r="G258" s="37"/>
      <c r="H258" s="37">
        <v>0.8</v>
      </c>
      <c r="I258" s="35">
        <f t="shared" si="139"/>
        <v>0.8</v>
      </c>
      <c r="J258" s="37">
        <v>0.1</v>
      </c>
      <c r="K258" s="37">
        <v>0.14</v>
      </c>
      <c r="L258" s="37">
        <v>0.15</v>
      </c>
      <c r="M258" s="35">
        <f t="shared" si="140"/>
        <v>0.39</v>
      </c>
      <c r="N258" s="37">
        <v>0.24</v>
      </c>
      <c r="O258" s="37">
        <v>0.32</v>
      </c>
      <c r="P258" s="38">
        <v>1.01</v>
      </c>
      <c r="Q258" s="35">
        <f t="shared" si="141"/>
        <v>1.57</v>
      </c>
      <c r="R258" s="34">
        <f t="shared" si="136"/>
        <v>2.76</v>
      </c>
    </row>
    <row r="259" spans="1:18" ht="12.75" hidden="1" outlineLevel="3">
      <c r="A259" s="23" t="s">
        <v>19</v>
      </c>
      <c r="B259" s="63"/>
      <c r="C259" s="63"/>
      <c r="D259" s="63"/>
      <c r="E259" s="35">
        <f t="shared" si="138"/>
        <v>0</v>
      </c>
      <c r="F259" s="37"/>
      <c r="G259" s="37"/>
      <c r="H259" s="37"/>
      <c r="I259" s="35">
        <f t="shared" si="139"/>
        <v>0</v>
      </c>
      <c r="J259" s="37">
        <v>2.79</v>
      </c>
      <c r="K259" s="37">
        <v>2.79</v>
      </c>
      <c r="L259" s="37">
        <v>1.86</v>
      </c>
      <c r="M259" s="35">
        <f t="shared" si="140"/>
        <v>7.44</v>
      </c>
      <c r="N259" s="37">
        <v>5.58</v>
      </c>
      <c r="O259" s="37">
        <v>12.09</v>
      </c>
      <c r="P259" s="38">
        <v>26.97</v>
      </c>
      <c r="Q259" s="35">
        <f t="shared" si="141"/>
        <v>44.64</v>
      </c>
      <c r="R259" s="34">
        <f t="shared" si="136"/>
        <v>52.08</v>
      </c>
    </row>
    <row r="260" spans="1:18" ht="12.75" hidden="1" outlineLevel="3">
      <c r="A260" s="23" t="s">
        <v>20</v>
      </c>
      <c r="B260" s="63"/>
      <c r="C260" s="63"/>
      <c r="D260" s="63"/>
      <c r="E260" s="35">
        <f t="shared" si="138"/>
        <v>0</v>
      </c>
      <c r="F260" s="37"/>
      <c r="G260" s="37"/>
      <c r="H260" s="37"/>
      <c r="I260" s="35">
        <f t="shared" si="139"/>
        <v>0</v>
      </c>
      <c r="J260" s="37">
        <v>86.5</v>
      </c>
      <c r="K260" s="37">
        <v>122.5</v>
      </c>
      <c r="L260" s="37">
        <v>108.5</v>
      </c>
      <c r="M260" s="35">
        <f t="shared" si="140"/>
        <v>317.5</v>
      </c>
      <c r="N260" s="37">
        <v>388</v>
      </c>
      <c r="O260" s="37">
        <v>859.5</v>
      </c>
      <c r="P260" s="38">
        <v>2197.5</v>
      </c>
      <c r="Q260" s="35">
        <f t="shared" si="141"/>
        <v>3445</v>
      </c>
      <c r="R260" s="34">
        <f t="shared" si="136"/>
        <v>3762.5</v>
      </c>
    </row>
    <row r="261" spans="1:18" ht="12.75" hidden="1" outlineLevel="3">
      <c r="A261" s="23" t="s">
        <v>66</v>
      </c>
      <c r="B261" s="63"/>
      <c r="C261" s="63"/>
      <c r="D261" s="63"/>
      <c r="E261" s="35"/>
      <c r="F261" s="37"/>
      <c r="G261" s="37"/>
      <c r="H261" s="37"/>
      <c r="I261" s="35"/>
      <c r="J261" s="37"/>
      <c r="K261" s="37"/>
      <c r="L261" s="37"/>
      <c r="M261" s="35"/>
      <c r="N261" s="37"/>
      <c r="O261" s="37"/>
      <c r="P261" s="38"/>
      <c r="Q261" s="35"/>
      <c r="R261" s="34"/>
    </row>
    <row r="262" spans="1:18" ht="12.75" hidden="1" outlineLevel="3">
      <c r="A262" s="23" t="s">
        <v>21</v>
      </c>
      <c r="B262" s="63"/>
      <c r="C262" s="63"/>
      <c r="D262" s="63"/>
      <c r="E262" s="35">
        <f t="shared" si="138"/>
        <v>0</v>
      </c>
      <c r="F262" s="37"/>
      <c r="G262" s="37"/>
      <c r="H262" s="37"/>
      <c r="I262" s="35">
        <f t="shared" si="139"/>
        <v>0</v>
      </c>
      <c r="J262" s="37"/>
      <c r="K262" s="37"/>
      <c r="L262" s="37"/>
      <c r="M262" s="35">
        <f t="shared" si="140"/>
        <v>0</v>
      </c>
      <c r="N262" s="37"/>
      <c r="O262" s="37"/>
      <c r="P262" s="38"/>
      <c r="Q262" s="35">
        <f t="shared" si="141"/>
        <v>0</v>
      </c>
      <c r="R262" s="34">
        <f t="shared" si="136"/>
        <v>0</v>
      </c>
    </row>
    <row r="263" spans="1:18" ht="12.75" hidden="1" outlineLevel="3">
      <c r="A263" s="23" t="s">
        <v>22</v>
      </c>
      <c r="B263" s="63"/>
      <c r="C263" s="63"/>
      <c r="D263" s="63"/>
      <c r="E263" s="35">
        <f t="shared" si="138"/>
        <v>0</v>
      </c>
      <c r="F263" s="37"/>
      <c r="G263" s="37"/>
      <c r="H263" s="37"/>
      <c r="I263" s="35">
        <f t="shared" si="139"/>
        <v>0</v>
      </c>
      <c r="J263" s="37"/>
      <c r="K263" s="37"/>
      <c r="L263" s="37"/>
      <c r="M263" s="35">
        <f t="shared" si="140"/>
        <v>0</v>
      </c>
      <c r="N263" s="37">
        <v>4.26</v>
      </c>
      <c r="O263" s="37">
        <v>4.26</v>
      </c>
      <c r="P263" s="38">
        <v>29.82</v>
      </c>
      <c r="Q263" s="35">
        <f t="shared" si="141"/>
        <v>38.34</v>
      </c>
      <c r="R263" s="34">
        <f t="shared" si="136"/>
        <v>38.34</v>
      </c>
    </row>
    <row r="264" spans="1:18" ht="12.75" hidden="1" outlineLevel="3">
      <c r="A264" s="23" t="s">
        <v>61</v>
      </c>
      <c r="B264" s="62"/>
      <c r="C264" s="62"/>
      <c r="D264" s="62"/>
      <c r="E264" s="35">
        <f t="shared" si="138"/>
        <v>0</v>
      </c>
      <c r="F264" s="38"/>
      <c r="G264" s="38"/>
      <c r="H264" s="38"/>
      <c r="I264" s="35">
        <f t="shared" si="139"/>
        <v>0</v>
      </c>
      <c r="J264" s="38"/>
      <c r="K264" s="38"/>
      <c r="L264" s="38"/>
      <c r="M264" s="35">
        <f t="shared" si="140"/>
        <v>0</v>
      </c>
      <c r="N264" s="38"/>
      <c r="O264" s="38"/>
      <c r="P264" s="38"/>
      <c r="Q264" s="35">
        <f t="shared" si="141"/>
        <v>0</v>
      </c>
      <c r="R264" s="34">
        <f t="shared" si="136"/>
        <v>0</v>
      </c>
    </row>
    <row r="265" spans="1:18" ht="12.75" hidden="1" outlineLevel="2">
      <c r="A265" s="28" t="s">
        <v>50</v>
      </c>
      <c r="B265" s="43">
        <f>SUM(B255:B264)</f>
        <v>0</v>
      </c>
      <c r="C265" s="43">
        <f>SUM(C255:C264)</f>
        <v>0</v>
      </c>
      <c r="D265" s="43">
        <f>SUM(D255:D264)</f>
        <v>0</v>
      </c>
      <c r="E265" s="43">
        <f aca="true" t="shared" si="142" ref="E265:K265">SUM(E255:E264)</f>
        <v>0</v>
      </c>
      <c r="F265" s="43">
        <f t="shared" si="142"/>
        <v>0</v>
      </c>
      <c r="G265" s="43">
        <f t="shared" si="142"/>
        <v>0</v>
      </c>
      <c r="H265" s="43">
        <f t="shared" si="142"/>
        <v>37.67</v>
      </c>
      <c r="I265" s="43">
        <f t="shared" si="142"/>
        <v>37.67</v>
      </c>
      <c r="J265" s="43">
        <f t="shared" si="142"/>
        <v>1040.1</v>
      </c>
      <c r="K265" s="43">
        <f t="shared" si="142"/>
        <v>928.77</v>
      </c>
      <c r="L265" s="43">
        <f aca="true" t="shared" si="143" ref="L265:Q265">SUM(L255:L264)</f>
        <v>1274.74</v>
      </c>
      <c r="M265" s="43">
        <f t="shared" si="143"/>
        <v>3243.61</v>
      </c>
      <c r="N265" s="43">
        <f t="shared" si="143"/>
        <v>3596.1099999999997</v>
      </c>
      <c r="O265" s="43">
        <f t="shared" si="143"/>
        <v>11896.3</v>
      </c>
      <c r="P265" s="43">
        <f t="shared" si="143"/>
        <v>24305.94</v>
      </c>
      <c r="Q265" s="43">
        <f t="shared" si="143"/>
        <v>39798.35</v>
      </c>
      <c r="R265" s="44">
        <f t="shared" si="136"/>
        <v>43079.63</v>
      </c>
    </row>
    <row r="266" spans="1:21" ht="13.5" outlineLevel="1" collapsed="1" thickBot="1">
      <c r="A266" s="26" t="s">
        <v>48</v>
      </c>
      <c r="B266" s="46">
        <f aca="true" t="shared" si="144" ref="B266:R266">B265+B254</f>
        <v>0</v>
      </c>
      <c r="C266" s="46">
        <f t="shared" si="144"/>
        <v>0.62</v>
      </c>
      <c r="D266" s="46">
        <f t="shared" si="144"/>
        <v>0</v>
      </c>
      <c r="E266" s="45">
        <f t="shared" si="144"/>
        <v>0.62</v>
      </c>
      <c r="F266" s="46">
        <f t="shared" si="144"/>
        <v>0</v>
      </c>
      <c r="G266" s="46">
        <f t="shared" si="144"/>
        <v>0</v>
      </c>
      <c r="H266" s="46">
        <f t="shared" si="144"/>
        <v>37.71</v>
      </c>
      <c r="I266" s="45">
        <f t="shared" si="144"/>
        <v>37.71</v>
      </c>
      <c r="J266" s="46">
        <f t="shared" si="144"/>
        <v>1040.1</v>
      </c>
      <c r="K266" s="46">
        <f t="shared" si="144"/>
        <v>928.77</v>
      </c>
      <c r="L266" s="46">
        <f t="shared" si="144"/>
        <v>1278.69</v>
      </c>
      <c r="M266" s="45">
        <f t="shared" si="144"/>
        <v>3247.56</v>
      </c>
      <c r="N266" s="46">
        <f t="shared" si="144"/>
        <v>3596.1099999999997</v>
      </c>
      <c r="O266" s="46">
        <f t="shared" si="144"/>
        <v>11896.3</v>
      </c>
      <c r="P266" s="46">
        <f t="shared" si="144"/>
        <v>24305.94</v>
      </c>
      <c r="Q266" s="45">
        <f t="shared" si="144"/>
        <v>39798.35</v>
      </c>
      <c r="R266" s="47">
        <f t="shared" si="144"/>
        <v>43084.24</v>
      </c>
      <c r="S266" s="65">
        <f>((B255/0.12)+(C255/0.12)+(D255/0.12)+(F255/0.12)+(G255/0.12)+(H255/0.12)+(J255/0.12)+(K255/0.12)+(L255/0.12)+(N255/0.12)+(O255/0.12)+(P255/0.12))/12</f>
        <v>3598.5</v>
      </c>
      <c r="T266" s="54">
        <f>IF(R266&gt;0,R266/S266,0)</f>
        <v>11.972833124913159</v>
      </c>
      <c r="U266" s="66">
        <f>IF(R257&gt;0,R257/R266,0)</f>
        <v>0.7697039567136382</v>
      </c>
    </row>
    <row r="267" spans="1:18" ht="26.25" thickTop="1">
      <c r="A267" s="73" t="s">
        <v>62</v>
      </c>
      <c r="R267" s="79"/>
    </row>
    <row r="268" spans="1:18" ht="12.75" outlineLevel="1">
      <c r="A268" s="70" t="s">
        <v>45</v>
      </c>
      <c r="Q268" s="35">
        <f>SUM(N268:P268)</f>
        <v>0</v>
      </c>
      <c r="R268" s="34">
        <f>Q268+M268+I268+E268</f>
        <v>0</v>
      </c>
    </row>
    <row r="269" spans="1:18" ht="13.5" hidden="1" outlineLevel="2" thickBot="1">
      <c r="A269" s="26" t="s">
        <v>48</v>
      </c>
      <c r="B269" s="46">
        <f>B268+B257</f>
        <v>0</v>
      </c>
      <c r="C269" s="46">
        <f>C268+C257</f>
        <v>0</v>
      </c>
      <c r="D269" s="46"/>
      <c r="E269" s="45">
        <f>D269+C269+B269</f>
        <v>0</v>
      </c>
      <c r="F269" s="46"/>
      <c r="G269" s="46"/>
      <c r="H269" s="46"/>
      <c r="I269" s="45">
        <f>H269+G269+F269</f>
        <v>0</v>
      </c>
      <c r="J269" s="46"/>
      <c r="K269" s="46"/>
      <c r="L269" s="46"/>
      <c r="M269" s="45">
        <f>L269+K269+J269</f>
        <v>0</v>
      </c>
      <c r="N269" s="46"/>
      <c r="O269" s="46"/>
      <c r="P269" s="46"/>
      <c r="Q269" s="45">
        <f>P269+O269+N269</f>
        <v>0</v>
      </c>
      <c r="R269" s="44">
        <f>Q269+M269+I269+E269</f>
        <v>0</v>
      </c>
    </row>
    <row r="270" spans="1:18" ht="12.75" collapsed="1">
      <c r="A270" s="16" t="s">
        <v>38</v>
      </c>
      <c r="B270" s="17"/>
      <c r="C270" s="17"/>
      <c r="D270" s="17"/>
      <c r="E270" s="14"/>
      <c r="F270" s="17"/>
      <c r="G270" s="17"/>
      <c r="H270" s="17"/>
      <c r="I270" s="14"/>
      <c r="J270" s="17"/>
      <c r="K270" s="17"/>
      <c r="L270" s="17"/>
      <c r="M270" s="14"/>
      <c r="N270" s="17"/>
      <c r="O270" s="17"/>
      <c r="P270" s="17"/>
      <c r="Q270" s="14"/>
      <c r="R270" s="27"/>
    </row>
    <row r="271" spans="1:18" ht="12.75" hidden="1" outlineLevel="2">
      <c r="A271" s="19" t="s">
        <v>40</v>
      </c>
      <c r="B271" s="63">
        <f aca="true" t="shared" si="145" ref="B271:D278">B246+B224+B202+B180+B158+B136+B114+B92+B70+B48+B26+B4</f>
        <v>0</v>
      </c>
      <c r="C271" s="63">
        <f t="shared" si="145"/>
        <v>0</v>
      </c>
      <c r="D271" s="63">
        <f t="shared" si="145"/>
        <v>0</v>
      </c>
      <c r="E271" s="63">
        <f aca="true" t="shared" si="146" ref="E271:E278">SUM(B271:D271)</f>
        <v>0</v>
      </c>
      <c r="F271" s="63">
        <f aca="true" t="shared" si="147" ref="F271:H278">F246+F224+F202+F180+F158+F136+F114+F92+F70+F48+F26+F4</f>
        <v>0</v>
      </c>
      <c r="G271" s="63">
        <f t="shared" si="147"/>
        <v>0</v>
      </c>
      <c r="H271" s="63">
        <f t="shared" si="147"/>
        <v>0</v>
      </c>
      <c r="I271" s="63">
        <f aca="true" t="shared" si="148" ref="I271:I278">SUM(F271:H271)</f>
        <v>0</v>
      </c>
      <c r="J271" s="63">
        <f aca="true" t="shared" si="149" ref="J271:L278">J246+J224+J202+J180+J158+J136+J114+J92+J70+J48+J26+J4</f>
        <v>0</v>
      </c>
      <c r="K271" s="63">
        <f t="shared" si="149"/>
        <v>0</v>
      </c>
      <c r="L271" s="63">
        <f t="shared" si="149"/>
        <v>0</v>
      </c>
      <c r="M271" s="63">
        <f aca="true" t="shared" si="150" ref="M271:M278">SUM(J271:L271)</f>
        <v>0</v>
      </c>
      <c r="N271" s="63">
        <f aca="true" t="shared" si="151" ref="N271:P275">N246+N224+N202+N180+N158+N136+N114+N92+N70+N48+N26+N4</f>
        <v>0</v>
      </c>
      <c r="O271" s="63">
        <f t="shared" si="151"/>
        <v>0</v>
      </c>
      <c r="P271" s="63">
        <f t="shared" si="151"/>
        <v>0</v>
      </c>
      <c r="Q271" s="63">
        <f aca="true" t="shared" si="152" ref="Q271:Q278">SUM(N271:P271)</f>
        <v>0</v>
      </c>
      <c r="R271" s="21">
        <f aca="true" t="shared" si="153" ref="R271:R291">Q271+M271+I271+E271</f>
        <v>0</v>
      </c>
    </row>
    <row r="272" spans="1:18" ht="12.75" hidden="1" outlineLevel="2">
      <c r="A272" s="19" t="s">
        <v>41</v>
      </c>
      <c r="B272" s="63">
        <f t="shared" si="145"/>
        <v>0</v>
      </c>
      <c r="C272" s="63">
        <f t="shared" si="145"/>
        <v>0</v>
      </c>
      <c r="D272" s="63">
        <f t="shared" si="145"/>
        <v>0</v>
      </c>
      <c r="E272" s="63">
        <f t="shared" si="146"/>
        <v>0</v>
      </c>
      <c r="F272" s="63">
        <f t="shared" si="147"/>
        <v>0</v>
      </c>
      <c r="G272" s="63">
        <f t="shared" si="147"/>
        <v>0</v>
      </c>
      <c r="H272" s="63">
        <f t="shared" si="147"/>
        <v>0</v>
      </c>
      <c r="I272" s="63">
        <f t="shared" si="148"/>
        <v>0</v>
      </c>
      <c r="J272" s="63">
        <f t="shared" si="149"/>
        <v>0</v>
      </c>
      <c r="K272" s="63">
        <f t="shared" si="149"/>
        <v>0</v>
      </c>
      <c r="L272" s="63">
        <f t="shared" si="149"/>
        <v>0</v>
      </c>
      <c r="M272" s="63">
        <f t="shared" si="150"/>
        <v>0</v>
      </c>
      <c r="N272" s="63">
        <f t="shared" si="151"/>
        <v>0</v>
      </c>
      <c r="O272" s="63">
        <f t="shared" si="151"/>
        <v>0</v>
      </c>
      <c r="P272" s="63">
        <f t="shared" si="151"/>
        <v>0</v>
      </c>
      <c r="Q272" s="63">
        <f t="shared" si="152"/>
        <v>0</v>
      </c>
      <c r="R272" s="21">
        <f t="shared" si="153"/>
        <v>0</v>
      </c>
    </row>
    <row r="273" spans="1:18" ht="12.75" hidden="1" outlineLevel="2">
      <c r="A273" s="19" t="s">
        <v>42</v>
      </c>
      <c r="B273" s="63">
        <f t="shared" si="145"/>
        <v>0</v>
      </c>
      <c r="C273" s="63">
        <f t="shared" si="145"/>
        <v>0</v>
      </c>
      <c r="D273" s="63">
        <f t="shared" si="145"/>
        <v>0</v>
      </c>
      <c r="E273" s="63">
        <f t="shared" si="146"/>
        <v>0</v>
      </c>
      <c r="F273" s="63">
        <f t="shared" si="147"/>
        <v>0</v>
      </c>
      <c r="G273" s="63">
        <f t="shared" si="147"/>
        <v>0</v>
      </c>
      <c r="H273" s="63">
        <f t="shared" si="147"/>
        <v>0</v>
      </c>
      <c r="I273" s="63">
        <f t="shared" si="148"/>
        <v>0</v>
      </c>
      <c r="J273" s="63">
        <f t="shared" si="149"/>
        <v>0</v>
      </c>
      <c r="K273" s="63">
        <f t="shared" si="149"/>
        <v>0</v>
      </c>
      <c r="L273" s="63">
        <f t="shared" si="149"/>
        <v>0</v>
      </c>
      <c r="M273" s="63">
        <f t="shared" si="150"/>
        <v>0</v>
      </c>
      <c r="N273" s="63">
        <f t="shared" si="151"/>
        <v>0</v>
      </c>
      <c r="O273" s="63">
        <f t="shared" si="151"/>
        <v>0</v>
      </c>
      <c r="P273" s="63">
        <f t="shared" si="151"/>
        <v>0</v>
      </c>
      <c r="Q273" s="63">
        <f t="shared" si="152"/>
        <v>0</v>
      </c>
      <c r="R273" s="21">
        <f t="shared" si="153"/>
        <v>0</v>
      </c>
    </row>
    <row r="274" spans="1:18" ht="12.75" hidden="1" outlineLevel="2">
      <c r="A274" s="19" t="s">
        <v>43</v>
      </c>
      <c r="B274" s="63">
        <f t="shared" si="145"/>
        <v>0</v>
      </c>
      <c r="C274" s="63">
        <f t="shared" si="145"/>
        <v>0</v>
      </c>
      <c r="D274" s="63">
        <f t="shared" si="145"/>
        <v>0</v>
      </c>
      <c r="E274" s="63">
        <f t="shared" si="146"/>
        <v>0</v>
      </c>
      <c r="F274" s="63">
        <f t="shared" si="147"/>
        <v>0</v>
      </c>
      <c r="G274" s="63">
        <f t="shared" si="147"/>
        <v>0</v>
      </c>
      <c r="H274" s="63">
        <f t="shared" si="147"/>
        <v>0</v>
      </c>
      <c r="I274" s="63">
        <f t="shared" si="148"/>
        <v>0</v>
      </c>
      <c r="J274" s="63">
        <f t="shared" si="149"/>
        <v>0</v>
      </c>
      <c r="K274" s="63">
        <f t="shared" si="149"/>
        <v>0</v>
      </c>
      <c r="L274" s="63">
        <f t="shared" si="149"/>
        <v>0</v>
      </c>
      <c r="M274" s="63">
        <f t="shared" si="150"/>
        <v>0</v>
      </c>
      <c r="N274" s="63">
        <f t="shared" si="151"/>
        <v>0</v>
      </c>
      <c r="O274" s="63">
        <f t="shared" si="151"/>
        <v>0</v>
      </c>
      <c r="P274" s="63">
        <f t="shared" si="151"/>
        <v>0</v>
      </c>
      <c r="Q274" s="63">
        <f t="shared" si="152"/>
        <v>0</v>
      </c>
      <c r="R274" s="21">
        <f t="shared" si="153"/>
        <v>0</v>
      </c>
    </row>
    <row r="275" spans="1:18" ht="12.75" hidden="1" outlineLevel="2">
      <c r="A275" s="19" t="s">
        <v>44</v>
      </c>
      <c r="B275" s="63">
        <f t="shared" si="145"/>
        <v>0</v>
      </c>
      <c r="C275" s="63">
        <f t="shared" si="145"/>
        <v>0</v>
      </c>
      <c r="D275" s="63">
        <f t="shared" si="145"/>
        <v>0</v>
      </c>
      <c r="E275" s="63">
        <f t="shared" si="146"/>
        <v>0</v>
      </c>
      <c r="F275" s="63">
        <f t="shared" si="147"/>
        <v>0</v>
      </c>
      <c r="G275" s="63">
        <f t="shared" si="147"/>
        <v>0</v>
      </c>
      <c r="H275" s="63">
        <f t="shared" si="147"/>
        <v>0</v>
      </c>
      <c r="I275" s="63">
        <f t="shared" si="148"/>
        <v>0</v>
      </c>
      <c r="J275" s="63">
        <f t="shared" si="149"/>
        <v>0</v>
      </c>
      <c r="K275" s="63">
        <f t="shared" si="149"/>
        <v>0</v>
      </c>
      <c r="L275" s="63">
        <f t="shared" si="149"/>
        <v>0</v>
      </c>
      <c r="M275" s="63">
        <f t="shared" si="150"/>
        <v>0</v>
      </c>
      <c r="N275" s="63">
        <f t="shared" si="151"/>
        <v>0</v>
      </c>
      <c r="O275" s="63">
        <f t="shared" si="151"/>
        <v>0</v>
      </c>
      <c r="P275" s="63">
        <f t="shared" si="151"/>
        <v>0</v>
      </c>
      <c r="Q275" s="63">
        <f t="shared" si="152"/>
        <v>0</v>
      </c>
      <c r="R275" s="21">
        <f t="shared" si="153"/>
        <v>0</v>
      </c>
    </row>
    <row r="276" spans="1:18" ht="12.75" hidden="1" outlineLevel="2">
      <c r="A276" s="19" t="s">
        <v>45</v>
      </c>
      <c r="B276" s="63">
        <f t="shared" si="145"/>
        <v>0</v>
      </c>
      <c r="C276" s="63">
        <f t="shared" si="145"/>
        <v>0</v>
      </c>
      <c r="D276" s="63">
        <f t="shared" si="145"/>
        <v>0</v>
      </c>
      <c r="E276" s="63">
        <f t="shared" si="146"/>
        <v>0</v>
      </c>
      <c r="F276" s="63">
        <f t="shared" si="147"/>
        <v>0</v>
      </c>
      <c r="G276" s="63">
        <f t="shared" si="147"/>
        <v>0</v>
      </c>
      <c r="H276" s="63">
        <f t="shared" si="147"/>
        <v>0</v>
      </c>
      <c r="I276" s="63">
        <f t="shared" si="148"/>
        <v>0</v>
      </c>
      <c r="J276" s="63">
        <f t="shared" si="149"/>
        <v>0</v>
      </c>
      <c r="K276" s="63">
        <f t="shared" si="149"/>
        <v>0</v>
      </c>
      <c r="L276" s="63">
        <f t="shared" si="149"/>
        <v>0</v>
      </c>
      <c r="M276" s="63">
        <f t="shared" si="150"/>
        <v>0</v>
      </c>
      <c r="N276" s="63">
        <f>N251+N229+N207+N185+N163+N141+N119+N97+N75+N53+N31+N9</f>
        <v>0</v>
      </c>
      <c r="O276" s="63">
        <f>O269+O251+O229+O207+O185+O163+O141+O119+O97+O75+O53+O31+O9</f>
        <v>0</v>
      </c>
      <c r="P276" s="63">
        <f>P251+P229+P207+P185+P163+P141+P119+P97+P75+P53+P31+P9</f>
        <v>0</v>
      </c>
      <c r="Q276" s="63">
        <f t="shared" si="152"/>
        <v>0</v>
      </c>
      <c r="R276" s="21">
        <f t="shared" si="153"/>
        <v>0</v>
      </c>
    </row>
    <row r="277" spans="1:18" ht="12.75" hidden="1" outlineLevel="2">
      <c r="A277" s="19" t="s">
        <v>46</v>
      </c>
      <c r="B277" s="63">
        <f t="shared" si="145"/>
        <v>0</v>
      </c>
      <c r="C277" s="63">
        <f t="shared" si="145"/>
        <v>0</v>
      </c>
      <c r="D277" s="63">
        <f t="shared" si="145"/>
        <v>0</v>
      </c>
      <c r="E277" s="63">
        <f t="shared" si="146"/>
        <v>0</v>
      </c>
      <c r="F277" s="63">
        <f t="shared" si="147"/>
        <v>0</v>
      </c>
      <c r="G277" s="63">
        <f t="shared" si="147"/>
        <v>0</v>
      </c>
      <c r="H277" s="63">
        <f t="shared" si="147"/>
        <v>0</v>
      </c>
      <c r="I277" s="63">
        <f t="shared" si="148"/>
        <v>0</v>
      </c>
      <c r="J277" s="63">
        <f t="shared" si="149"/>
        <v>0</v>
      </c>
      <c r="K277" s="63">
        <f t="shared" si="149"/>
        <v>0</v>
      </c>
      <c r="L277" s="63">
        <f t="shared" si="149"/>
        <v>0</v>
      </c>
      <c r="M277" s="63">
        <f t="shared" si="150"/>
        <v>0</v>
      </c>
      <c r="N277" s="63">
        <f>N252+N230+N208+N186+N164+N142+N120+N98+N76+N54+N32+N10</f>
        <v>0</v>
      </c>
      <c r="O277" s="63">
        <f>O252+O230+O208+O186+O164+O142+O120+O98+O76+O54+O32+O10</f>
        <v>0</v>
      </c>
      <c r="P277" s="63">
        <f>P252+P230+P208+P186+P164+P142+P120+P98+P76+P54+P32+P10</f>
        <v>0</v>
      </c>
      <c r="Q277" s="63">
        <f t="shared" si="152"/>
        <v>0</v>
      </c>
      <c r="R277" s="21">
        <f t="shared" si="153"/>
        <v>0</v>
      </c>
    </row>
    <row r="278" spans="1:18" ht="12.75" hidden="1" outlineLevel="3">
      <c r="A278" s="19" t="s">
        <v>58</v>
      </c>
      <c r="B278" s="63">
        <f t="shared" si="145"/>
        <v>3462.5</v>
      </c>
      <c r="C278" s="63">
        <f t="shared" si="145"/>
        <v>475</v>
      </c>
      <c r="D278" s="63">
        <f t="shared" si="145"/>
        <v>0.8</v>
      </c>
      <c r="E278" s="63">
        <f t="shared" si="146"/>
        <v>3938.3</v>
      </c>
      <c r="F278" s="63">
        <f t="shared" si="147"/>
        <v>0</v>
      </c>
      <c r="G278" s="63">
        <f t="shared" si="147"/>
        <v>0</v>
      </c>
      <c r="H278" s="63">
        <f t="shared" si="147"/>
        <v>207.65</v>
      </c>
      <c r="I278" s="63">
        <f t="shared" si="148"/>
        <v>207.65</v>
      </c>
      <c r="J278" s="63">
        <f t="shared" si="149"/>
        <v>0</v>
      </c>
      <c r="K278" s="63">
        <f t="shared" si="149"/>
        <v>0</v>
      </c>
      <c r="L278" s="63">
        <f t="shared" si="149"/>
        <v>209.7</v>
      </c>
      <c r="M278" s="63">
        <f t="shared" si="150"/>
        <v>209.7</v>
      </c>
      <c r="N278" s="63">
        <f>N253+N231+N209+N187+N165+N143+N121+N99+N77+N55+N33+N11</f>
        <v>0</v>
      </c>
      <c r="O278" s="63">
        <f>O253+O231+O209+O187+O165+O143+O121+O99+O77+O55+O33+O11</f>
        <v>0</v>
      </c>
      <c r="P278" s="63">
        <f>P253+P231+P209+P187+P165+P143+P121+P99+P77+P55+P33+P11</f>
        <v>0</v>
      </c>
      <c r="Q278" s="63">
        <f t="shared" si="152"/>
        <v>0</v>
      </c>
      <c r="R278" s="21">
        <f t="shared" si="153"/>
        <v>4355.650000000001</v>
      </c>
    </row>
    <row r="279" spans="1:18" ht="12.75" outlineLevel="1" collapsed="1">
      <c r="A279" s="22" t="s">
        <v>47</v>
      </c>
      <c r="B279" s="63">
        <f aca="true" t="shared" si="154" ref="B279:Q279">SUM(B271:B278)</f>
        <v>3462.5</v>
      </c>
      <c r="C279" s="63">
        <f t="shared" si="154"/>
        <v>475</v>
      </c>
      <c r="D279" s="63">
        <f t="shared" si="154"/>
        <v>0.8</v>
      </c>
      <c r="E279" s="33">
        <f t="shared" si="154"/>
        <v>3938.3</v>
      </c>
      <c r="F279" s="33">
        <f t="shared" si="154"/>
        <v>0</v>
      </c>
      <c r="G279" s="33">
        <f t="shared" si="154"/>
        <v>0</v>
      </c>
      <c r="H279" s="33">
        <f t="shared" si="154"/>
        <v>207.65</v>
      </c>
      <c r="I279" s="33">
        <f t="shared" si="154"/>
        <v>207.65</v>
      </c>
      <c r="J279" s="33">
        <f t="shared" si="154"/>
        <v>0</v>
      </c>
      <c r="K279" s="33">
        <f t="shared" si="154"/>
        <v>0</v>
      </c>
      <c r="L279" s="33">
        <f t="shared" si="154"/>
        <v>209.7</v>
      </c>
      <c r="M279" s="33">
        <f t="shared" si="154"/>
        <v>209.7</v>
      </c>
      <c r="N279" s="33">
        <f t="shared" si="154"/>
        <v>0</v>
      </c>
      <c r="O279" s="33">
        <f t="shared" si="154"/>
        <v>0</v>
      </c>
      <c r="P279" s="33">
        <f t="shared" si="154"/>
        <v>0</v>
      </c>
      <c r="Q279" s="33">
        <f t="shared" si="154"/>
        <v>0</v>
      </c>
      <c r="R279" s="34">
        <f t="shared" si="153"/>
        <v>4355.650000000001</v>
      </c>
    </row>
    <row r="280" spans="1:18" ht="12.75" hidden="1" outlineLevel="2">
      <c r="A280" s="23" t="s">
        <v>15</v>
      </c>
      <c r="B280" s="63">
        <f aca="true" t="shared" si="155" ref="B280:D287">B255+B233+B211+B189+B167+B145+B123+B101+B79+B57+B35+B13</f>
        <v>7874.52</v>
      </c>
      <c r="C280" s="63">
        <f t="shared" si="155"/>
        <v>7890.360000000001</v>
      </c>
      <c r="D280" s="63">
        <f t="shared" si="155"/>
        <v>7937.040000000001</v>
      </c>
      <c r="E280" s="63">
        <f aca="true" t="shared" si="156" ref="E280:E291">SUM(B280:D280)</f>
        <v>23701.920000000002</v>
      </c>
      <c r="F280" s="63">
        <f aca="true" t="shared" si="157" ref="F280:H289">F255+F233+F211+F189+F167+F145+F123+F101+F79+F57+F35+F13</f>
        <v>7934.28</v>
      </c>
      <c r="G280" s="63">
        <f t="shared" si="157"/>
        <v>7984.5599999999995</v>
      </c>
      <c r="H280" s="63">
        <f t="shared" si="157"/>
        <v>8066.64</v>
      </c>
      <c r="I280" s="63">
        <f aca="true" t="shared" si="158" ref="I280:I291">SUM(F280:H280)</f>
        <v>23985.48</v>
      </c>
      <c r="J280" s="63">
        <f aca="true" t="shared" si="159" ref="J280:L289">J255+J233+J211+J189+J167+J145+J123+J101+J79+J57+J35+J13</f>
        <v>8273.64</v>
      </c>
      <c r="K280" s="63">
        <f t="shared" si="159"/>
        <v>8446.560000000001</v>
      </c>
      <c r="L280" s="63">
        <f t="shared" si="159"/>
        <v>8651.52</v>
      </c>
      <c r="M280" s="63">
        <f aca="true" t="shared" si="160" ref="M280:M291">SUM(J280:L280)</f>
        <v>25371.72</v>
      </c>
      <c r="N280" s="63">
        <f aca="true" t="shared" si="161" ref="N280:P289">N255+N233+N211+N189+N167+N145+N123+N101+N79+N57+N35+N13</f>
        <v>9001.92</v>
      </c>
      <c r="O280" s="63">
        <f t="shared" si="161"/>
        <v>9971.400000000001</v>
      </c>
      <c r="P280" s="63">
        <f t="shared" si="161"/>
        <v>11287.2</v>
      </c>
      <c r="Q280" s="63">
        <f aca="true" t="shared" si="162" ref="Q280:Q291">SUM(N280:P280)</f>
        <v>30260.52</v>
      </c>
      <c r="R280" s="21">
        <f t="shared" si="153"/>
        <v>103319.64</v>
      </c>
    </row>
    <row r="281" spans="1:18" ht="12.75" hidden="1" outlineLevel="2">
      <c r="A281" s="23" t="s">
        <v>16</v>
      </c>
      <c r="B281" s="63">
        <f t="shared" si="155"/>
        <v>1320</v>
      </c>
      <c r="C281" s="63">
        <f t="shared" si="155"/>
        <v>1320</v>
      </c>
      <c r="D281" s="63">
        <f t="shared" si="155"/>
        <v>1320</v>
      </c>
      <c r="E281" s="63">
        <f t="shared" si="156"/>
        <v>3960</v>
      </c>
      <c r="F281" s="63">
        <f t="shared" si="157"/>
        <v>1320</v>
      </c>
      <c r="G281" s="63">
        <f t="shared" si="157"/>
        <v>1320</v>
      </c>
      <c r="H281" s="63">
        <f t="shared" si="157"/>
        <v>1320</v>
      </c>
      <c r="I281" s="63">
        <f t="shared" si="158"/>
        <v>3960</v>
      </c>
      <c r="J281" s="63">
        <f t="shared" si="159"/>
        <v>1320</v>
      </c>
      <c r="K281" s="63">
        <f t="shared" si="159"/>
        <v>1320</v>
      </c>
      <c r="L281" s="63">
        <f t="shared" si="159"/>
        <v>1540</v>
      </c>
      <c r="M281" s="63">
        <f t="shared" si="160"/>
        <v>4180</v>
      </c>
      <c r="N281" s="63">
        <f t="shared" si="161"/>
        <v>1540</v>
      </c>
      <c r="O281" s="63">
        <f t="shared" si="161"/>
        <v>1540</v>
      </c>
      <c r="P281" s="63">
        <f t="shared" si="161"/>
        <v>1540.3600000000001</v>
      </c>
      <c r="Q281" s="63">
        <f t="shared" si="162"/>
        <v>4620.360000000001</v>
      </c>
      <c r="R281" s="21">
        <f t="shared" si="153"/>
        <v>16720.36</v>
      </c>
    </row>
    <row r="282" spans="1:18" ht="12.75" hidden="1" outlineLevel="2">
      <c r="A282" s="23" t="s">
        <v>17</v>
      </c>
      <c r="B282" s="63">
        <f t="shared" si="155"/>
        <v>3507.52</v>
      </c>
      <c r="C282" s="63">
        <f t="shared" si="155"/>
        <v>4181</v>
      </c>
      <c r="D282" s="63">
        <f t="shared" si="155"/>
        <v>2918.79</v>
      </c>
      <c r="E282" s="63">
        <f t="shared" si="156"/>
        <v>10607.310000000001</v>
      </c>
      <c r="F282" s="63">
        <f t="shared" si="157"/>
        <v>2701.83</v>
      </c>
      <c r="G282" s="63">
        <f t="shared" si="157"/>
        <v>1854.33</v>
      </c>
      <c r="H282" s="63">
        <f t="shared" si="157"/>
        <v>2227.23</v>
      </c>
      <c r="I282" s="63">
        <f t="shared" si="158"/>
        <v>6783.389999999999</v>
      </c>
      <c r="J282" s="63">
        <f t="shared" si="159"/>
        <v>3192.25</v>
      </c>
      <c r="K282" s="63">
        <f t="shared" si="159"/>
        <v>3400.17</v>
      </c>
      <c r="L282" s="63">
        <f t="shared" si="159"/>
        <v>3315.42</v>
      </c>
      <c r="M282" s="63">
        <f t="shared" si="160"/>
        <v>9907.84</v>
      </c>
      <c r="N282" s="63">
        <f t="shared" si="161"/>
        <v>5416.089999999999</v>
      </c>
      <c r="O282" s="63">
        <f t="shared" si="161"/>
        <v>10765.51</v>
      </c>
      <c r="P282" s="63">
        <f t="shared" si="161"/>
        <v>20514.02</v>
      </c>
      <c r="Q282" s="63">
        <f t="shared" si="162"/>
        <v>36695.619999999995</v>
      </c>
      <c r="R282" s="21">
        <f t="shared" si="153"/>
        <v>63994.15999999999</v>
      </c>
    </row>
    <row r="283" spans="1:18" ht="12.75" hidden="1" outlineLevel="2">
      <c r="A283" s="25" t="s">
        <v>18</v>
      </c>
      <c r="B283" s="63">
        <f t="shared" si="155"/>
        <v>159.63</v>
      </c>
      <c r="C283" s="63">
        <f t="shared" si="155"/>
        <v>416.09000000000003</v>
      </c>
      <c r="D283" s="63">
        <f t="shared" si="155"/>
        <v>564.85</v>
      </c>
      <c r="E283" s="63">
        <f t="shared" si="156"/>
        <v>1140.5700000000002</v>
      </c>
      <c r="F283" s="63">
        <f t="shared" si="157"/>
        <v>536.26</v>
      </c>
      <c r="G283" s="63">
        <f t="shared" si="157"/>
        <v>135.02</v>
      </c>
      <c r="H283" s="63">
        <f t="shared" si="157"/>
        <v>121.49</v>
      </c>
      <c r="I283" s="63">
        <f t="shared" si="158"/>
        <v>792.77</v>
      </c>
      <c r="J283" s="63">
        <f t="shared" si="159"/>
        <v>36.900000000000006</v>
      </c>
      <c r="K283" s="63">
        <f t="shared" si="159"/>
        <v>55.449999999999996</v>
      </c>
      <c r="L283" s="63">
        <f t="shared" si="159"/>
        <v>58.230000000000004</v>
      </c>
      <c r="M283" s="63">
        <f t="shared" si="160"/>
        <v>150.57999999999998</v>
      </c>
      <c r="N283" s="63">
        <f t="shared" si="161"/>
        <v>91.39</v>
      </c>
      <c r="O283" s="63">
        <f t="shared" si="161"/>
        <v>123.34000000000002</v>
      </c>
      <c r="P283" s="63">
        <f t="shared" si="161"/>
        <v>391.16</v>
      </c>
      <c r="Q283" s="63">
        <f t="shared" si="162"/>
        <v>605.8900000000001</v>
      </c>
      <c r="R283" s="21">
        <f t="shared" si="153"/>
        <v>2689.8100000000004</v>
      </c>
    </row>
    <row r="284" spans="1:18" ht="12.75" hidden="1" outlineLevel="2">
      <c r="A284" s="23" t="s">
        <v>19</v>
      </c>
      <c r="B284" s="63">
        <f t="shared" si="155"/>
        <v>26.97</v>
      </c>
      <c r="C284" s="63">
        <f t="shared" si="155"/>
        <v>119.04</v>
      </c>
      <c r="D284" s="63">
        <f t="shared" si="155"/>
        <v>217.62</v>
      </c>
      <c r="E284" s="63">
        <f t="shared" si="156"/>
        <v>363.63</v>
      </c>
      <c r="F284" s="63">
        <f t="shared" si="157"/>
        <v>30.689999999999998</v>
      </c>
      <c r="G284" s="63">
        <f t="shared" si="157"/>
        <v>15.81</v>
      </c>
      <c r="H284" s="63">
        <f t="shared" si="157"/>
        <v>18.599999999999998</v>
      </c>
      <c r="I284" s="63">
        <f t="shared" si="158"/>
        <v>65.1</v>
      </c>
      <c r="J284" s="63">
        <f t="shared" si="159"/>
        <v>17.67</v>
      </c>
      <c r="K284" s="63">
        <f t="shared" si="159"/>
        <v>31.62</v>
      </c>
      <c r="L284" s="63">
        <f t="shared" si="159"/>
        <v>20.46</v>
      </c>
      <c r="M284" s="63">
        <f t="shared" si="160"/>
        <v>69.75</v>
      </c>
      <c r="N284" s="63">
        <f t="shared" si="161"/>
        <v>18.6</v>
      </c>
      <c r="O284" s="63">
        <f t="shared" si="161"/>
        <v>23.25</v>
      </c>
      <c r="P284" s="63">
        <f t="shared" si="161"/>
        <v>37.2</v>
      </c>
      <c r="Q284" s="63">
        <f t="shared" si="162"/>
        <v>79.05000000000001</v>
      </c>
      <c r="R284" s="21">
        <f t="shared" si="153"/>
        <v>577.53</v>
      </c>
    </row>
    <row r="285" spans="1:18" ht="12.75" hidden="1" outlineLevel="2">
      <c r="A285" s="23" t="s">
        <v>20</v>
      </c>
      <c r="B285" s="63">
        <f t="shared" si="155"/>
        <v>1930.98</v>
      </c>
      <c r="C285" s="63">
        <f t="shared" si="155"/>
        <v>3674.5400000000004</v>
      </c>
      <c r="D285" s="63">
        <f t="shared" si="155"/>
        <v>4376.51</v>
      </c>
      <c r="E285" s="63">
        <f t="shared" si="156"/>
        <v>9982.03</v>
      </c>
      <c r="F285" s="63">
        <f t="shared" si="157"/>
        <v>1814.04</v>
      </c>
      <c r="G285" s="63">
        <f t="shared" si="157"/>
        <v>1231</v>
      </c>
      <c r="H285" s="63">
        <f t="shared" si="157"/>
        <v>773.5</v>
      </c>
      <c r="I285" s="63">
        <f t="shared" si="158"/>
        <v>3818.54</v>
      </c>
      <c r="J285" s="63">
        <f t="shared" si="159"/>
        <v>1015.5</v>
      </c>
      <c r="K285" s="63">
        <f t="shared" si="159"/>
        <v>1408.5</v>
      </c>
      <c r="L285" s="63">
        <f t="shared" si="159"/>
        <v>1042.5</v>
      </c>
      <c r="M285" s="63">
        <f t="shared" si="160"/>
        <v>3466.5</v>
      </c>
      <c r="N285" s="63">
        <f t="shared" si="161"/>
        <v>1646.5</v>
      </c>
      <c r="O285" s="63">
        <f t="shared" si="161"/>
        <v>1643.5</v>
      </c>
      <c r="P285" s="63">
        <f t="shared" si="161"/>
        <v>2955.5</v>
      </c>
      <c r="Q285" s="63">
        <f t="shared" si="162"/>
        <v>6245.5</v>
      </c>
      <c r="R285" s="21">
        <f t="shared" si="153"/>
        <v>23512.57</v>
      </c>
    </row>
    <row r="286" spans="1:18" ht="12.75" hidden="1" outlineLevel="2">
      <c r="A286" s="23" t="s">
        <v>66</v>
      </c>
      <c r="B286" s="63">
        <f t="shared" si="155"/>
        <v>0</v>
      </c>
      <c r="C286" s="63">
        <f t="shared" si="155"/>
        <v>0</v>
      </c>
      <c r="D286" s="63">
        <f t="shared" si="155"/>
        <v>0</v>
      </c>
      <c r="E286" s="63">
        <f>SUM(B286:D286)</f>
        <v>0</v>
      </c>
      <c r="F286" s="63">
        <f t="shared" si="157"/>
        <v>0</v>
      </c>
      <c r="G286" s="63">
        <f t="shared" si="157"/>
        <v>2.1</v>
      </c>
      <c r="H286" s="63">
        <f t="shared" si="157"/>
        <v>2.4499999999999997</v>
      </c>
      <c r="I286" s="63">
        <f>SUM(F286:H286)</f>
        <v>4.55</v>
      </c>
      <c r="J286" s="63">
        <f t="shared" si="159"/>
        <v>1.8599999999999999</v>
      </c>
      <c r="K286" s="63">
        <f t="shared" si="159"/>
        <v>2.16</v>
      </c>
      <c r="L286" s="63">
        <f t="shared" si="159"/>
        <v>1.19</v>
      </c>
      <c r="M286" s="63">
        <f>SUM(J286:L286)</f>
        <v>5.209999999999999</v>
      </c>
      <c r="N286" s="63">
        <f t="shared" si="161"/>
        <v>0.06</v>
      </c>
      <c r="O286" s="63">
        <f t="shared" si="161"/>
        <v>0.36</v>
      </c>
      <c r="P286" s="63">
        <f t="shared" si="161"/>
        <v>1.2</v>
      </c>
      <c r="Q286" s="63">
        <f>SUM(N286:P286)</f>
        <v>1.6199999999999999</v>
      </c>
      <c r="R286" s="21">
        <f>Q286+M286+I286+E286</f>
        <v>11.379999999999999</v>
      </c>
    </row>
    <row r="287" spans="1:18" ht="12.75" hidden="1" outlineLevel="2">
      <c r="A287" s="23" t="s">
        <v>21</v>
      </c>
      <c r="B287" s="63">
        <f t="shared" si="155"/>
        <v>0</v>
      </c>
      <c r="C287" s="63">
        <f t="shared" si="155"/>
        <v>0</v>
      </c>
      <c r="D287" s="63">
        <f t="shared" si="155"/>
        <v>0</v>
      </c>
      <c r="E287" s="63">
        <f t="shared" si="156"/>
        <v>0</v>
      </c>
      <c r="F287" s="63">
        <f t="shared" si="157"/>
        <v>0</v>
      </c>
      <c r="G287" s="63">
        <f t="shared" si="157"/>
        <v>0</v>
      </c>
      <c r="H287" s="63">
        <f t="shared" si="157"/>
        <v>0</v>
      </c>
      <c r="I287" s="63">
        <f t="shared" si="158"/>
        <v>0</v>
      </c>
      <c r="J287" s="63">
        <f t="shared" si="159"/>
        <v>0</v>
      </c>
      <c r="K287" s="63">
        <f t="shared" si="159"/>
        <v>0</v>
      </c>
      <c r="L287" s="63">
        <f t="shared" si="159"/>
        <v>0</v>
      </c>
      <c r="M287" s="63">
        <f t="shared" si="160"/>
        <v>0</v>
      </c>
      <c r="N287" s="63">
        <f t="shared" si="161"/>
        <v>0</v>
      </c>
      <c r="O287" s="63">
        <f t="shared" si="161"/>
        <v>0</v>
      </c>
      <c r="P287" s="63">
        <f t="shared" si="161"/>
        <v>0</v>
      </c>
      <c r="Q287" s="63">
        <f t="shared" si="162"/>
        <v>0</v>
      </c>
      <c r="R287" s="21">
        <f t="shared" si="153"/>
        <v>0</v>
      </c>
    </row>
    <row r="288" spans="1:18" ht="12.75" hidden="1" outlineLevel="2">
      <c r="A288" s="23" t="s">
        <v>22</v>
      </c>
      <c r="B288" s="63">
        <f>B263+B241+B219+B197+B175+B153+B131+B109+B87+B65+B43+B21</f>
        <v>281.16</v>
      </c>
      <c r="C288" s="63">
        <f>C263+C241+C219+C197+C175+C153+C131+C109+C87+C65+C43+C21</f>
        <v>310.98</v>
      </c>
      <c r="D288" s="63">
        <f>D263+D241+D219+D197+D175+D153+D131+D109+D87+D65+D43+D18</f>
        <v>3264.7099999999996</v>
      </c>
      <c r="E288" s="63">
        <f t="shared" si="156"/>
        <v>3856.8499999999995</v>
      </c>
      <c r="F288" s="63">
        <f t="shared" si="157"/>
        <v>845.88</v>
      </c>
      <c r="G288" s="63">
        <f t="shared" si="157"/>
        <v>366.36</v>
      </c>
      <c r="H288" s="63">
        <f t="shared" si="157"/>
        <v>498.41999999999996</v>
      </c>
      <c r="I288" s="63">
        <f t="shared" si="158"/>
        <v>1710.6599999999999</v>
      </c>
      <c r="J288" s="63">
        <f t="shared" si="159"/>
        <v>511.19999999999993</v>
      </c>
      <c r="K288" s="63">
        <f t="shared" si="159"/>
        <v>592.14</v>
      </c>
      <c r="L288" s="63">
        <f t="shared" si="159"/>
        <v>515.46</v>
      </c>
      <c r="M288" s="63">
        <f t="shared" si="160"/>
        <v>1618.8</v>
      </c>
      <c r="N288" s="63">
        <f t="shared" si="161"/>
        <v>894.5999999999999</v>
      </c>
      <c r="O288" s="63">
        <f t="shared" si="161"/>
        <v>385.88</v>
      </c>
      <c r="P288" s="63">
        <f t="shared" si="161"/>
        <v>485.64000000000004</v>
      </c>
      <c r="Q288" s="63">
        <f t="shared" si="162"/>
        <v>1766.1200000000001</v>
      </c>
      <c r="R288" s="21">
        <f t="shared" si="153"/>
        <v>8952.43</v>
      </c>
    </row>
    <row r="289" spans="1:18" ht="12.75" hidden="1" outlineLevel="3">
      <c r="A289" s="23" t="s">
        <v>61</v>
      </c>
      <c r="B289" s="63">
        <f>B264+B242+B220+B198+B176+B154+B132+B110+B88+B66+B44+B22</f>
        <v>0</v>
      </c>
      <c r="C289" s="63">
        <f>C264+C242+C220+C198+C176+C154+C132+C110+C88+C65+C44+C22</f>
        <v>72.42</v>
      </c>
      <c r="D289" s="63">
        <f>D264+D242+D220+D198+D176+D154+D132+D110+D88+D66+D44+D22</f>
        <v>0</v>
      </c>
      <c r="E289" s="63">
        <f t="shared" si="156"/>
        <v>72.42</v>
      </c>
      <c r="F289" s="63">
        <f t="shared" si="157"/>
        <v>0</v>
      </c>
      <c r="G289" s="63">
        <f t="shared" si="157"/>
        <v>0</v>
      </c>
      <c r="H289" s="63">
        <f t="shared" si="157"/>
        <v>0</v>
      </c>
      <c r="I289" s="63">
        <f t="shared" si="158"/>
        <v>0</v>
      </c>
      <c r="J289" s="63">
        <f t="shared" si="159"/>
        <v>0</v>
      </c>
      <c r="K289" s="63">
        <f t="shared" si="159"/>
        <v>0</v>
      </c>
      <c r="L289" s="63">
        <f t="shared" si="159"/>
        <v>0</v>
      </c>
      <c r="M289" s="63">
        <f t="shared" si="160"/>
        <v>0</v>
      </c>
      <c r="N289" s="63">
        <f t="shared" si="161"/>
        <v>0</v>
      </c>
      <c r="O289" s="63">
        <f t="shared" si="161"/>
        <v>0</v>
      </c>
      <c r="P289" s="63">
        <f t="shared" si="161"/>
        <v>0</v>
      </c>
      <c r="Q289" s="63">
        <f t="shared" si="162"/>
        <v>0</v>
      </c>
      <c r="R289" s="21">
        <f t="shared" si="153"/>
        <v>72.42</v>
      </c>
    </row>
    <row r="290" spans="1:18" ht="12.75" outlineLevel="1" collapsed="1">
      <c r="A290" s="28" t="s">
        <v>50</v>
      </c>
      <c r="B290" s="43">
        <f aca="true" t="shared" si="163" ref="B290:Q290">SUM(B280:B289)</f>
        <v>15100.779999999999</v>
      </c>
      <c r="C290" s="43">
        <f t="shared" si="163"/>
        <v>17984.43</v>
      </c>
      <c r="D290" s="43">
        <f t="shared" si="163"/>
        <v>20599.520000000004</v>
      </c>
      <c r="E290" s="43">
        <f t="shared" si="163"/>
        <v>53684.729999999996</v>
      </c>
      <c r="F290" s="43">
        <f t="shared" si="163"/>
        <v>15182.979999999998</v>
      </c>
      <c r="G290" s="43">
        <f t="shared" si="163"/>
        <v>12909.18</v>
      </c>
      <c r="H290" s="43">
        <f t="shared" si="163"/>
        <v>13028.33</v>
      </c>
      <c r="I290" s="43">
        <f t="shared" si="163"/>
        <v>41120.48999999999</v>
      </c>
      <c r="J290" s="43">
        <f t="shared" si="163"/>
        <v>14369.02</v>
      </c>
      <c r="K290" s="43">
        <f t="shared" si="163"/>
        <v>15256.600000000002</v>
      </c>
      <c r="L290" s="43">
        <f t="shared" si="163"/>
        <v>15144.779999999999</v>
      </c>
      <c r="M290" s="43">
        <f t="shared" si="163"/>
        <v>44770.4</v>
      </c>
      <c r="N290" s="43">
        <f t="shared" si="163"/>
        <v>18609.16</v>
      </c>
      <c r="O290" s="43">
        <f t="shared" si="163"/>
        <v>24453.240000000005</v>
      </c>
      <c r="P290" s="43">
        <f t="shared" si="163"/>
        <v>37212.28</v>
      </c>
      <c r="Q290" s="43">
        <f t="shared" si="163"/>
        <v>80274.68</v>
      </c>
      <c r="R290" s="44">
        <f t="shared" si="153"/>
        <v>219850.3</v>
      </c>
    </row>
    <row r="291" spans="1:21" ht="13.5" thickBot="1">
      <c r="A291" s="30" t="s">
        <v>48</v>
      </c>
      <c r="B291" s="49">
        <f>B290+B279</f>
        <v>18563.28</v>
      </c>
      <c r="C291" s="49">
        <f>C290+C279</f>
        <v>18459.43</v>
      </c>
      <c r="D291" s="49">
        <f>D290+D279</f>
        <v>20600.320000000003</v>
      </c>
      <c r="E291" s="49">
        <f t="shared" si="156"/>
        <v>57623.03</v>
      </c>
      <c r="F291" s="49">
        <f>F290+F279</f>
        <v>15182.979999999998</v>
      </c>
      <c r="G291" s="49">
        <f>G290+G279</f>
        <v>12909.18</v>
      </c>
      <c r="H291" s="49">
        <f>H290+H279</f>
        <v>13235.98</v>
      </c>
      <c r="I291" s="49">
        <f t="shared" si="158"/>
        <v>41328.14</v>
      </c>
      <c r="J291" s="49">
        <f>J290+J279</f>
        <v>14369.02</v>
      </c>
      <c r="K291" s="49">
        <f>K290+K279</f>
        <v>15256.600000000002</v>
      </c>
      <c r="L291" s="49">
        <f>L290+L279</f>
        <v>15354.48</v>
      </c>
      <c r="M291" s="49">
        <f t="shared" si="160"/>
        <v>44980.100000000006</v>
      </c>
      <c r="N291" s="49">
        <f>N290+N279</f>
        <v>18609.16</v>
      </c>
      <c r="O291" s="49">
        <f>O290+O279</f>
        <v>24453.240000000005</v>
      </c>
      <c r="P291" s="49">
        <f>P290+P279</f>
        <v>37212.28</v>
      </c>
      <c r="Q291" s="49">
        <f t="shared" si="162"/>
        <v>80274.68000000001</v>
      </c>
      <c r="R291" s="78">
        <f t="shared" si="153"/>
        <v>224205.95</v>
      </c>
      <c r="S291" s="65">
        <f>((B280/0.12)+(C280/0.12)+(D280/0.12)+(F280/0.12)+(G280/0.12)+(H280/0.12)+(J280/0.12)+(K280/0.12)+(L280/0.12)+(N280/0.12)+(O280/0.12)+(P280/0.12))/12</f>
        <v>71749.75</v>
      </c>
      <c r="T291" s="54">
        <f>IF(R291&gt;0,R291/S291,0)</f>
        <v>3.1248324907055425</v>
      </c>
      <c r="U291" s="66">
        <f>IF(R282&gt;0,R282/R291,0)</f>
        <v>0.28542578820945647</v>
      </c>
    </row>
    <row r="292" ht="12.75">
      <c r="A292" s="80" t="s">
        <v>70</v>
      </c>
    </row>
    <row r="293" ht="12.75">
      <c r="A293" s="81" t="s">
        <v>69</v>
      </c>
    </row>
  </sheetData>
  <printOptions/>
  <pageMargins left="0.75" right="0.62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0"/>
  <sheetViews>
    <sheetView tabSelected="1" workbookViewId="0" topLeftCell="A1">
      <pane xSplit="1" ySplit="2" topLeftCell="E1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Q1"/>
    </sheetView>
  </sheetViews>
  <sheetFormatPr defaultColWidth="9.140625" defaultRowHeight="12.75" outlineLevelRow="1" outlineLevelCol="1"/>
  <cols>
    <col min="1" max="1" width="19.28125" style="0" customWidth="1"/>
    <col min="2" max="4" width="8.7109375" style="0" hidden="1" customWidth="1" outlineLevel="1"/>
    <col min="5" max="5" width="9.421875" style="0" customWidth="1" collapsed="1"/>
    <col min="6" max="7" width="8.7109375" style="0" hidden="1" customWidth="1" outlineLevel="1"/>
    <col min="8" max="8" width="9.7109375" style="0" hidden="1" customWidth="1" outlineLevel="1"/>
    <col min="9" max="9" width="9.7109375" style="0" customWidth="1" collapsed="1"/>
    <col min="10" max="10" width="8.7109375" style="0" hidden="1" customWidth="1" outlineLevel="1"/>
    <col min="11" max="11" width="9.28125" style="0" hidden="1" customWidth="1" outlineLevel="1"/>
    <col min="12" max="12" width="8.7109375" style="0" hidden="1" customWidth="1" outlineLevel="1"/>
    <col min="13" max="13" width="9.140625" style="0" customWidth="1" collapsed="1"/>
    <col min="14" max="15" width="8.7109375" style="0" hidden="1" customWidth="1" outlineLevel="1"/>
    <col min="16" max="16" width="10.00390625" style="0" hidden="1" customWidth="1" outlineLevel="1"/>
    <col min="17" max="17" width="9.7109375" style="0" customWidth="1" collapsed="1"/>
    <col min="18" max="18" width="11.421875" style="0" customWidth="1"/>
    <col min="19" max="19" width="10.57421875" style="0" customWidth="1"/>
    <col min="20" max="20" width="9.8515625" style="0" customWidth="1"/>
    <col min="21" max="21" width="8.421875" style="0" customWidth="1"/>
    <col min="22" max="22" width="10.421875" style="0" customWidth="1"/>
  </cols>
  <sheetData>
    <row r="1" spans="1:17" ht="18.75" thickBo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22" ht="51.75" thickBot="1">
      <c r="A2" s="15" t="s">
        <v>71</v>
      </c>
      <c r="B2" s="97" t="s">
        <v>5</v>
      </c>
      <c r="C2" s="98" t="s">
        <v>6</v>
      </c>
      <c r="D2" s="99" t="s">
        <v>7</v>
      </c>
      <c r="E2" s="7" t="s">
        <v>23</v>
      </c>
      <c r="F2" s="97" t="s">
        <v>2</v>
      </c>
      <c r="G2" s="99" t="s">
        <v>3</v>
      </c>
      <c r="H2" s="99" t="s">
        <v>8</v>
      </c>
      <c r="I2" s="7" t="s">
        <v>24</v>
      </c>
      <c r="J2" s="97" t="s">
        <v>9</v>
      </c>
      <c r="K2" s="98" t="s">
        <v>10</v>
      </c>
      <c r="L2" s="99" t="s">
        <v>11</v>
      </c>
      <c r="M2" s="7" t="s">
        <v>25</v>
      </c>
      <c r="N2" s="97" t="s">
        <v>12</v>
      </c>
      <c r="O2" s="98" t="s">
        <v>13</v>
      </c>
      <c r="P2" s="99" t="s">
        <v>14</v>
      </c>
      <c r="Q2" s="7" t="s">
        <v>26</v>
      </c>
      <c r="R2" s="8" t="s">
        <v>4</v>
      </c>
      <c r="S2" s="55" t="s">
        <v>53</v>
      </c>
      <c r="T2" s="58" t="s">
        <v>75</v>
      </c>
      <c r="U2" s="57" t="s">
        <v>76</v>
      </c>
      <c r="V2" s="58" t="s">
        <v>55</v>
      </c>
    </row>
    <row r="3" spans="1:18" ht="12.75">
      <c r="A3" s="85" t="s">
        <v>1</v>
      </c>
      <c r="B3" s="86"/>
      <c r="C3" s="86"/>
      <c r="D3" s="86"/>
      <c r="E3" s="91"/>
      <c r="F3" s="86"/>
      <c r="G3" s="86"/>
      <c r="H3" s="86"/>
      <c r="I3" s="91"/>
      <c r="J3" s="86"/>
      <c r="K3" s="86"/>
      <c r="L3" s="86"/>
      <c r="M3" s="91"/>
      <c r="N3" s="86"/>
      <c r="O3" s="86"/>
      <c r="P3" s="86"/>
      <c r="Q3" s="91"/>
      <c r="R3" s="92"/>
    </row>
    <row r="4" spans="1:18" ht="12.75" hidden="1" outlineLevel="1">
      <c r="A4" s="19" t="s">
        <v>40</v>
      </c>
      <c r="B4" s="62"/>
      <c r="C4" s="62"/>
      <c r="D4" s="62"/>
      <c r="E4" s="35">
        <f aca="true" t="shared" si="0" ref="E4:E11">SUM(B4:D4)</f>
        <v>0</v>
      </c>
      <c r="F4" s="52"/>
      <c r="G4" s="52"/>
      <c r="H4" s="52"/>
      <c r="I4" s="35">
        <f aca="true" t="shared" si="1" ref="I4:I11">SUM(F4:H4)</f>
        <v>0</v>
      </c>
      <c r="J4" s="20"/>
      <c r="K4" s="20"/>
      <c r="L4" s="20"/>
      <c r="M4" s="35">
        <f aca="true" t="shared" si="2" ref="M4:M11">SUM(J4:L4)</f>
        <v>0</v>
      </c>
      <c r="N4" s="51"/>
      <c r="O4" s="51"/>
      <c r="P4" s="51"/>
      <c r="Q4" s="35">
        <f aca="true" t="shared" si="3" ref="Q4:Q11">SUM(N4:P4)</f>
        <v>0</v>
      </c>
      <c r="R4" s="34">
        <f aca="true" t="shared" si="4" ref="R4:R22">Q4+M4+I4+E4</f>
        <v>0</v>
      </c>
    </row>
    <row r="5" spans="1:18" ht="12.75" hidden="1" outlineLevel="1">
      <c r="A5" s="19" t="s">
        <v>41</v>
      </c>
      <c r="B5" s="62"/>
      <c r="C5" s="62"/>
      <c r="D5" s="62"/>
      <c r="E5" s="35">
        <f t="shared" si="0"/>
        <v>0</v>
      </c>
      <c r="F5" s="52"/>
      <c r="G5" s="52"/>
      <c r="H5" s="52"/>
      <c r="I5" s="35">
        <f t="shared" si="1"/>
        <v>0</v>
      </c>
      <c r="J5" s="20"/>
      <c r="K5" s="20"/>
      <c r="L5" s="20"/>
      <c r="M5" s="35">
        <f t="shared" si="2"/>
        <v>0</v>
      </c>
      <c r="N5" s="51"/>
      <c r="O5" s="51"/>
      <c r="P5" s="51"/>
      <c r="Q5" s="35">
        <f t="shared" si="3"/>
        <v>0</v>
      </c>
      <c r="R5" s="34">
        <f t="shared" si="4"/>
        <v>0</v>
      </c>
    </row>
    <row r="6" spans="1:18" ht="12.75" hidden="1" outlineLevel="1">
      <c r="A6" s="19" t="s">
        <v>42</v>
      </c>
      <c r="B6" s="62"/>
      <c r="C6" s="62"/>
      <c r="D6" s="62"/>
      <c r="E6" s="35">
        <f t="shared" si="0"/>
        <v>0</v>
      </c>
      <c r="F6" s="52"/>
      <c r="G6" s="52"/>
      <c r="H6" s="52"/>
      <c r="I6" s="35">
        <f t="shared" si="1"/>
        <v>0</v>
      </c>
      <c r="J6" s="20"/>
      <c r="K6" s="20"/>
      <c r="L6" s="20"/>
      <c r="M6" s="35">
        <f t="shared" si="2"/>
        <v>0</v>
      </c>
      <c r="N6" s="51"/>
      <c r="O6" s="51"/>
      <c r="P6" s="51"/>
      <c r="Q6" s="35">
        <f t="shared" si="3"/>
        <v>0</v>
      </c>
      <c r="R6" s="34">
        <f t="shared" si="4"/>
        <v>0</v>
      </c>
    </row>
    <row r="7" spans="1:18" ht="12.75" hidden="1" outlineLevel="1">
      <c r="A7" s="19" t="s">
        <v>43</v>
      </c>
      <c r="B7" s="62"/>
      <c r="C7" s="62"/>
      <c r="D7" s="62"/>
      <c r="E7" s="35">
        <f t="shared" si="0"/>
        <v>0</v>
      </c>
      <c r="F7" s="52"/>
      <c r="G7" s="52"/>
      <c r="H7" s="52"/>
      <c r="I7" s="35">
        <f t="shared" si="1"/>
        <v>0</v>
      </c>
      <c r="J7" s="20"/>
      <c r="K7" s="20"/>
      <c r="L7" s="20"/>
      <c r="M7" s="35">
        <f t="shared" si="2"/>
        <v>0</v>
      </c>
      <c r="N7" s="51"/>
      <c r="O7" s="51"/>
      <c r="P7" s="51"/>
      <c r="Q7" s="35">
        <f t="shared" si="3"/>
        <v>0</v>
      </c>
      <c r="R7" s="34">
        <f t="shared" si="4"/>
        <v>0</v>
      </c>
    </row>
    <row r="8" spans="1:18" ht="12.75" hidden="1" outlineLevel="1">
      <c r="A8" s="19" t="s">
        <v>44</v>
      </c>
      <c r="B8" s="62"/>
      <c r="C8" s="62"/>
      <c r="D8" s="62"/>
      <c r="E8" s="35">
        <f t="shared" si="0"/>
        <v>0</v>
      </c>
      <c r="F8" s="52"/>
      <c r="G8" s="52"/>
      <c r="H8" s="52"/>
      <c r="I8" s="35">
        <f t="shared" si="1"/>
        <v>0</v>
      </c>
      <c r="J8" s="20"/>
      <c r="K8" s="20"/>
      <c r="L8" s="20"/>
      <c r="M8" s="35">
        <f t="shared" si="2"/>
        <v>0</v>
      </c>
      <c r="N8" s="51"/>
      <c r="O8" s="51"/>
      <c r="P8" s="51"/>
      <c r="Q8" s="35">
        <f t="shared" si="3"/>
        <v>0</v>
      </c>
      <c r="R8" s="34">
        <f t="shared" si="4"/>
        <v>0</v>
      </c>
    </row>
    <row r="9" spans="1:18" ht="12.75" hidden="1" outlineLevel="1">
      <c r="A9" s="19" t="s">
        <v>45</v>
      </c>
      <c r="B9" s="62"/>
      <c r="C9" s="62"/>
      <c r="D9" s="62">
        <v>19409</v>
      </c>
      <c r="E9" s="35">
        <f t="shared" si="0"/>
        <v>19409</v>
      </c>
      <c r="F9" s="62">
        <v>8888.69</v>
      </c>
      <c r="G9" s="62">
        <f>9510.71+2107.03</f>
        <v>11617.74</v>
      </c>
      <c r="H9" s="62"/>
      <c r="I9" s="35">
        <f t="shared" si="1"/>
        <v>20506.43</v>
      </c>
      <c r="J9" s="62"/>
      <c r="K9" s="62"/>
      <c r="L9" s="62"/>
      <c r="M9" s="35">
        <f t="shared" si="2"/>
        <v>0</v>
      </c>
      <c r="N9" s="62"/>
      <c r="O9" s="62"/>
      <c r="P9" s="62">
        <v>41959.8</v>
      </c>
      <c r="Q9" s="35">
        <f t="shared" si="3"/>
        <v>41959.8</v>
      </c>
      <c r="R9" s="34">
        <f t="shared" si="4"/>
        <v>81875.23000000001</v>
      </c>
    </row>
    <row r="10" spans="1:18" ht="12.75" hidden="1" outlineLevel="1">
      <c r="A10" s="19" t="s">
        <v>46</v>
      </c>
      <c r="B10" s="62"/>
      <c r="C10" s="62"/>
      <c r="D10" s="62"/>
      <c r="E10" s="35">
        <f t="shared" si="0"/>
        <v>0</v>
      </c>
      <c r="F10" s="52"/>
      <c r="G10" s="52"/>
      <c r="H10" s="52"/>
      <c r="I10" s="35">
        <f t="shared" si="1"/>
        <v>0</v>
      </c>
      <c r="J10" s="20"/>
      <c r="K10" s="20"/>
      <c r="L10" s="20"/>
      <c r="M10" s="35">
        <f t="shared" si="2"/>
        <v>0</v>
      </c>
      <c r="N10" s="51"/>
      <c r="O10" s="51"/>
      <c r="P10" s="51"/>
      <c r="Q10" s="35">
        <f t="shared" si="3"/>
        <v>0</v>
      </c>
      <c r="R10" s="34">
        <f t="shared" si="4"/>
        <v>0</v>
      </c>
    </row>
    <row r="11" spans="1:18" ht="12.75" hidden="1" outlineLevel="1">
      <c r="A11" s="19" t="s">
        <v>58</v>
      </c>
      <c r="B11" s="62"/>
      <c r="C11" s="62"/>
      <c r="D11" s="62"/>
      <c r="E11" s="35">
        <f t="shared" si="0"/>
        <v>0</v>
      </c>
      <c r="F11" s="52">
        <f>120+216</f>
        <v>336</v>
      </c>
      <c r="G11" s="52"/>
      <c r="H11" s="52"/>
      <c r="I11" s="35">
        <f t="shared" si="1"/>
        <v>336</v>
      </c>
      <c r="J11" s="20"/>
      <c r="K11" s="20"/>
      <c r="L11" s="20"/>
      <c r="M11" s="35">
        <f t="shared" si="2"/>
        <v>0</v>
      </c>
      <c r="N11" s="51"/>
      <c r="O11" s="51"/>
      <c r="P11" s="51"/>
      <c r="Q11" s="35">
        <f t="shared" si="3"/>
        <v>0</v>
      </c>
      <c r="R11" s="34">
        <f t="shared" si="4"/>
        <v>336</v>
      </c>
    </row>
    <row r="12" spans="1:18" s="70" customFormat="1" ht="12.75" hidden="1" outlineLevel="1">
      <c r="A12" s="22" t="s">
        <v>47</v>
      </c>
      <c r="B12" s="33">
        <f aca="true" t="shared" si="5" ref="B12:Q12">SUM(B4:B11)</f>
        <v>0</v>
      </c>
      <c r="C12" s="33">
        <f t="shared" si="5"/>
        <v>0</v>
      </c>
      <c r="D12" s="33">
        <f t="shared" si="5"/>
        <v>19409</v>
      </c>
      <c r="E12" s="33">
        <f t="shared" si="5"/>
        <v>19409</v>
      </c>
      <c r="F12" s="33">
        <f t="shared" si="5"/>
        <v>9224.69</v>
      </c>
      <c r="G12" s="33">
        <f t="shared" si="5"/>
        <v>11617.74</v>
      </c>
      <c r="H12" s="33">
        <f t="shared" si="5"/>
        <v>0</v>
      </c>
      <c r="I12" s="33">
        <f t="shared" si="5"/>
        <v>20842.43</v>
      </c>
      <c r="J12" s="33">
        <f t="shared" si="5"/>
        <v>0</v>
      </c>
      <c r="K12" s="33">
        <f t="shared" si="5"/>
        <v>0</v>
      </c>
      <c r="L12" s="33">
        <f t="shared" si="5"/>
        <v>0</v>
      </c>
      <c r="M12" s="33">
        <f t="shared" si="5"/>
        <v>0</v>
      </c>
      <c r="N12" s="33">
        <f t="shared" si="5"/>
        <v>0</v>
      </c>
      <c r="O12" s="33">
        <f t="shared" si="5"/>
        <v>0</v>
      </c>
      <c r="P12" s="33">
        <f t="shared" si="5"/>
        <v>41959.8</v>
      </c>
      <c r="Q12" s="33">
        <f t="shared" si="5"/>
        <v>41959.8</v>
      </c>
      <c r="R12" s="34">
        <f t="shared" si="4"/>
        <v>82211.23000000001</v>
      </c>
    </row>
    <row r="13" spans="1:18" ht="12.75" hidden="1" outlineLevel="1">
      <c r="A13" s="23" t="s">
        <v>15</v>
      </c>
      <c r="B13" s="62">
        <v>6621.72</v>
      </c>
      <c r="C13" s="62">
        <v>6076.2</v>
      </c>
      <c r="D13" s="62">
        <v>6074.52</v>
      </c>
      <c r="E13" s="35">
        <f aca="true" t="shared" si="6" ref="E13:E22">SUM(B13:D13)</f>
        <v>18772.440000000002</v>
      </c>
      <c r="F13" s="38">
        <v>6019.2</v>
      </c>
      <c r="G13" s="38">
        <v>6142.56</v>
      </c>
      <c r="H13" s="38">
        <v>6141.48</v>
      </c>
      <c r="I13" s="35">
        <f aca="true" t="shared" si="7" ref="I13:I22">SUM(F13:H13)</f>
        <v>18303.239999999998</v>
      </c>
      <c r="J13" s="38">
        <v>6036.84</v>
      </c>
      <c r="K13" s="38">
        <v>6027.6</v>
      </c>
      <c r="L13" s="38">
        <v>6023.64</v>
      </c>
      <c r="M13" s="35">
        <f aca="true" t="shared" si="8" ref="M13:M22">SUM(J13:L13)</f>
        <v>18088.08</v>
      </c>
      <c r="N13" s="38">
        <v>6018</v>
      </c>
      <c r="O13" s="38">
        <v>6014.76</v>
      </c>
      <c r="P13" s="38">
        <v>6020.4</v>
      </c>
      <c r="Q13" s="35">
        <f aca="true" t="shared" si="9" ref="Q13:Q22">SUM(N13:P13)</f>
        <v>18053.16</v>
      </c>
      <c r="R13" s="72">
        <f t="shared" si="4"/>
        <v>73216.92000000001</v>
      </c>
    </row>
    <row r="14" spans="1:18" ht="12.75" hidden="1" outlineLevel="1">
      <c r="A14" s="23" t="s">
        <v>16</v>
      </c>
      <c r="B14" s="62">
        <v>990</v>
      </c>
      <c r="C14" s="62">
        <v>990</v>
      </c>
      <c r="D14" s="62">
        <v>990</v>
      </c>
      <c r="E14" s="35">
        <f t="shared" si="6"/>
        <v>2970</v>
      </c>
      <c r="F14" s="38">
        <v>990</v>
      </c>
      <c r="G14" s="38">
        <v>990</v>
      </c>
      <c r="H14" s="38">
        <v>990</v>
      </c>
      <c r="I14" s="35">
        <f t="shared" si="7"/>
        <v>2970</v>
      </c>
      <c r="J14" s="38">
        <v>990</v>
      </c>
      <c r="K14" s="38">
        <v>990</v>
      </c>
      <c r="L14" s="38">
        <v>990</v>
      </c>
      <c r="M14" s="35">
        <f t="shared" si="8"/>
        <v>2970</v>
      </c>
      <c r="N14" s="38">
        <v>990</v>
      </c>
      <c r="O14" s="38">
        <v>990</v>
      </c>
      <c r="P14" s="38">
        <v>990</v>
      </c>
      <c r="Q14" s="35">
        <f t="shared" si="9"/>
        <v>2970</v>
      </c>
      <c r="R14" s="72">
        <f t="shared" si="4"/>
        <v>11880</v>
      </c>
    </row>
    <row r="15" spans="1:18" ht="12.75" hidden="1" outlineLevel="1">
      <c r="A15" s="23" t="s">
        <v>17</v>
      </c>
      <c r="B15" s="62">
        <v>1649.8</v>
      </c>
      <c r="C15" s="62">
        <v>1198.93</v>
      </c>
      <c r="D15" s="62">
        <v>861.06</v>
      </c>
      <c r="E15" s="35">
        <f t="shared" si="6"/>
        <v>3709.79</v>
      </c>
      <c r="F15" s="38">
        <v>583.08</v>
      </c>
      <c r="G15" s="38">
        <v>519.8</v>
      </c>
      <c r="H15" s="38">
        <v>396.63</v>
      </c>
      <c r="I15" s="35">
        <f t="shared" si="7"/>
        <v>1499.5100000000002</v>
      </c>
      <c r="J15" s="38">
        <v>632.8</v>
      </c>
      <c r="K15" s="38">
        <v>471.21</v>
      </c>
      <c r="L15" s="38">
        <v>440.7</v>
      </c>
      <c r="M15" s="35">
        <f t="shared" si="8"/>
        <v>1544.71</v>
      </c>
      <c r="N15" s="38">
        <v>467.82</v>
      </c>
      <c r="O15" s="38">
        <v>459.91</v>
      </c>
      <c r="P15" s="38">
        <v>511.89</v>
      </c>
      <c r="Q15" s="35">
        <f t="shared" si="9"/>
        <v>1439.62</v>
      </c>
      <c r="R15" s="72">
        <f t="shared" si="4"/>
        <v>8193.630000000001</v>
      </c>
    </row>
    <row r="16" spans="1:18" ht="12.75" hidden="1" outlineLevel="1">
      <c r="A16" s="25" t="s">
        <v>18</v>
      </c>
      <c r="B16" s="62">
        <v>161.71</v>
      </c>
      <c r="C16" s="62">
        <v>196.49</v>
      </c>
      <c r="D16" s="62">
        <v>182.81</v>
      </c>
      <c r="E16" s="35">
        <f t="shared" si="6"/>
        <v>541.01</v>
      </c>
      <c r="F16" s="62">
        <v>170.12</v>
      </c>
      <c r="G16" s="62">
        <v>81.07</v>
      </c>
      <c r="H16" s="62">
        <v>15.04</v>
      </c>
      <c r="I16" s="35">
        <f t="shared" si="7"/>
        <v>266.23</v>
      </c>
      <c r="J16" s="62">
        <v>83.51</v>
      </c>
      <c r="K16" s="62">
        <v>83.57</v>
      </c>
      <c r="L16" s="62">
        <v>92.11</v>
      </c>
      <c r="M16" s="35">
        <f t="shared" si="8"/>
        <v>259.19</v>
      </c>
      <c r="N16" s="62">
        <v>417.89</v>
      </c>
      <c r="O16" s="62">
        <v>94.96</v>
      </c>
      <c r="P16" s="62">
        <v>800</v>
      </c>
      <c r="Q16" s="35">
        <f t="shared" si="9"/>
        <v>1312.85</v>
      </c>
      <c r="R16" s="72">
        <f t="shared" si="4"/>
        <v>2379.2799999999997</v>
      </c>
    </row>
    <row r="17" spans="1:18" ht="12.75" hidden="1" outlineLevel="1">
      <c r="A17" s="23" t="s">
        <v>19</v>
      </c>
      <c r="B17" s="62">
        <v>24.18</v>
      </c>
      <c r="C17" s="62">
        <v>40.92</v>
      </c>
      <c r="D17" s="62">
        <v>56.73</v>
      </c>
      <c r="E17" s="35">
        <f t="shared" si="6"/>
        <v>121.82999999999998</v>
      </c>
      <c r="F17" s="38">
        <v>9.3</v>
      </c>
      <c r="G17" s="38">
        <v>7.44</v>
      </c>
      <c r="H17" s="38">
        <v>8.37</v>
      </c>
      <c r="I17" s="35">
        <f t="shared" si="7"/>
        <v>25.11</v>
      </c>
      <c r="J17" s="38">
        <v>11.16</v>
      </c>
      <c r="K17" s="38">
        <v>5.58</v>
      </c>
      <c r="L17" s="38">
        <v>7.44</v>
      </c>
      <c r="M17" s="35">
        <f t="shared" si="8"/>
        <v>24.180000000000003</v>
      </c>
      <c r="N17" s="38">
        <v>8.37</v>
      </c>
      <c r="O17" s="38">
        <v>2.79</v>
      </c>
      <c r="P17" s="38">
        <v>9.3</v>
      </c>
      <c r="Q17" s="35">
        <f t="shared" si="9"/>
        <v>20.46</v>
      </c>
      <c r="R17" s="72">
        <f t="shared" si="4"/>
        <v>191.57999999999998</v>
      </c>
    </row>
    <row r="18" spans="1:18" ht="12.75" hidden="1" outlineLevel="1">
      <c r="A18" s="23" t="s">
        <v>20</v>
      </c>
      <c r="B18" s="62">
        <v>1039.5</v>
      </c>
      <c r="C18" s="62">
        <v>1473</v>
      </c>
      <c r="D18" s="62">
        <v>1114</v>
      </c>
      <c r="E18" s="35">
        <f t="shared" si="6"/>
        <v>3626.5</v>
      </c>
      <c r="F18" s="38">
        <v>2050.5</v>
      </c>
      <c r="G18" s="38">
        <v>491.5</v>
      </c>
      <c r="H18" s="38">
        <f>435.5+43</f>
        <v>478.5</v>
      </c>
      <c r="I18" s="35">
        <f t="shared" si="7"/>
        <v>3020.5</v>
      </c>
      <c r="J18" s="38">
        <v>799</v>
      </c>
      <c r="K18" s="38">
        <v>562</v>
      </c>
      <c r="L18" s="38">
        <v>634</v>
      </c>
      <c r="M18" s="35">
        <f t="shared" si="8"/>
        <v>1995</v>
      </c>
      <c r="N18" s="38">
        <v>599</v>
      </c>
      <c r="O18" s="38">
        <v>849</v>
      </c>
      <c r="P18" s="38">
        <v>581</v>
      </c>
      <c r="Q18" s="35">
        <f t="shared" si="9"/>
        <v>2029</v>
      </c>
      <c r="R18" s="72">
        <f t="shared" si="4"/>
        <v>10671</v>
      </c>
    </row>
    <row r="19" spans="1:18" ht="12.75" hidden="1" outlineLevel="1">
      <c r="A19" s="23" t="s">
        <v>72</v>
      </c>
      <c r="B19" s="62">
        <v>0.84</v>
      </c>
      <c r="C19" s="82">
        <f>4.26+1568.44</f>
        <v>1572.7</v>
      </c>
      <c r="D19" s="62">
        <f>2.94+1774.1</f>
        <v>1777.04</v>
      </c>
      <c r="E19" s="35">
        <f t="shared" si="6"/>
        <v>3350.58</v>
      </c>
      <c r="F19" s="38">
        <f>3.72+9.04</f>
        <v>12.76</v>
      </c>
      <c r="G19" s="38">
        <v>1.44</v>
      </c>
      <c r="H19" s="38">
        <f>0.66+1.13</f>
        <v>1.79</v>
      </c>
      <c r="I19" s="35">
        <f t="shared" si="7"/>
        <v>15.989999999999998</v>
      </c>
      <c r="J19" s="38">
        <v>0.54</v>
      </c>
      <c r="K19" s="38">
        <v>1.85</v>
      </c>
      <c r="L19" s="38">
        <v>0.66</v>
      </c>
      <c r="M19" s="35">
        <f t="shared" si="8"/>
        <v>3.0500000000000003</v>
      </c>
      <c r="N19" s="38">
        <v>1.73</v>
      </c>
      <c r="O19" s="38">
        <v>0.66</v>
      </c>
      <c r="P19" s="38">
        <v>2.21</v>
      </c>
      <c r="Q19" s="35">
        <f t="shared" si="9"/>
        <v>4.6</v>
      </c>
      <c r="R19" s="72">
        <f t="shared" si="4"/>
        <v>3374.22</v>
      </c>
    </row>
    <row r="20" spans="1:18" ht="12.75" hidden="1" outlineLevel="1">
      <c r="A20" s="23" t="s">
        <v>21</v>
      </c>
      <c r="B20" s="62"/>
      <c r="C20" s="62"/>
      <c r="D20" s="62"/>
      <c r="E20" s="35">
        <f t="shared" si="6"/>
        <v>0</v>
      </c>
      <c r="F20" s="38"/>
      <c r="G20" s="38"/>
      <c r="H20" s="38"/>
      <c r="I20" s="35">
        <f t="shared" si="7"/>
        <v>0</v>
      </c>
      <c r="J20" s="38"/>
      <c r="K20" s="38"/>
      <c r="L20" s="38"/>
      <c r="M20" s="35">
        <f t="shared" si="8"/>
        <v>0</v>
      </c>
      <c r="N20" s="38"/>
      <c r="O20" s="38"/>
      <c r="P20" s="38"/>
      <c r="Q20" s="35">
        <f t="shared" si="9"/>
        <v>0</v>
      </c>
      <c r="R20" s="72">
        <f t="shared" si="4"/>
        <v>0</v>
      </c>
    </row>
    <row r="21" spans="1:18" ht="12.75" hidden="1" outlineLevel="1">
      <c r="A21" s="23" t="s">
        <v>22</v>
      </c>
      <c r="B21" s="62">
        <v>183.18</v>
      </c>
      <c r="C21" s="62">
        <v>434.52</v>
      </c>
      <c r="D21" s="62">
        <v>651.78</v>
      </c>
      <c r="E21" s="35">
        <f t="shared" si="6"/>
        <v>1269.48</v>
      </c>
      <c r="F21" s="38">
        <v>2223.72</v>
      </c>
      <c r="G21" s="38">
        <v>481.38</v>
      </c>
      <c r="H21" s="38">
        <v>464.34</v>
      </c>
      <c r="I21" s="35">
        <f t="shared" si="7"/>
        <v>3169.44</v>
      </c>
      <c r="J21" s="38">
        <v>464.34</v>
      </c>
      <c r="K21" s="38">
        <v>796.62</v>
      </c>
      <c r="L21" s="38">
        <v>877.56</v>
      </c>
      <c r="M21" s="35">
        <f t="shared" si="8"/>
        <v>2138.52</v>
      </c>
      <c r="N21" s="38">
        <v>1337.64</v>
      </c>
      <c r="O21" s="38">
        <v>374.88</v>
      </c>
      <c r="P21" s="38">
        <v>911.64</v>
      </c>
      <c r="Q21" s="35">
        <f t="shared" si="9"/>
        <v>2624.16</v>
      </c>
      <c r="R21" s="72">
        <f t="shared" si="4"/>
        <v>9201.6</v>
      </c>
    </row>
    <row r="22" spans="1:18" ht="12.75" hidden="1" outlineLevel="1">
      <c r="A22" s="93" t="s">
        <v>61</v>
      </c>
      <c r="B22" s="62"/>
      <c r="C22" s="62"/>
      <c r="D22" s="62"/>
      <c r="E22" s="36">
        <f t="shared" si="6"/>
        <v>0</v>
      </c>
      <c r="F22" s="38"/>
      <c r="G22" s="38"/>
      <c r="H22" s="38"/>
      <c r="I22" s="36">
        <f t="shared" si="7"/>
        <v>0</v>
      </c>
      <c r="J22" s="38"/>
      <c r="K22" s="38"/>
      <c r="L22" s="38"/>
      <c r="M22" s="36">
        <f t="shared" si="8"/>
        <v>0</v>
      </c>
      <c r="N22" s="38"/>
      <c r="O22" s="38"/>
      <c r="P22" s="38"/>
      <c r="Q22" s="36">
        <f t="shared" si="9"/>
        <v>0</v>
      </c>
      <c r="R22" s="94">
        <f t="shared" si="4"/>
        <v>0</v>
      </c>
    </row>
    <row r="23" spans="1:18" s="70" customFormat="1" ht="12.75" hidden="1" outlineLevel="1">
      <c r="A23" s="89" t="s">
        <v>49</v>
      </c>
      <c r="B23" s="33">
        <f aca="true" t="shared" si="10" ref="B23:R23">SUM(B13:B22)</f>
        <v>10670.93</v>
      </c>
      <c r="C23" s="33">
        <f t="shared" si="10"/>
        <v>11982.76</v>
      </c>
      <c r="D23" s="33">
        <f t="shared" si="10"/>
        <v>11707.94</v>
      </c>
      <c r="E23" s="33">
        <f t="shared" si="10"/>
        <v>34361.630000000005</v>
      </c>
      <c r="F23" s="33">
        <f t="shared" si="10"/>
        <v>12058.68</v>
      </c>
      <c r="G23" s="33">
        <f t="shared" si="10"/>
        <v>8715.189999999999</v>
      </c>
      <c r="H23" s="33">
        <f t="shared" si="10"/>
        <v>8496.15</v>
      </c>
      <c r="I23" s="33">
        <f t="shared" si="10"/>
        <v>29270.02</v>
      </c>
      <c r="J23" s="33">
        <f t="shared" si="10"/>
        <v>9018.190000000002</v>
      </c>
      <c r="K23" s="33">
        <f t="shared" si="10"/>
        <v>8938.43</v>
      </c>
      <c r="L23" s="33">
        <f t="shared" si="10"/>
        <v>9066.109999999999</v>
      </c>
      <c r="M23" s="33">
        <f t="shared" si="10"/>
        <v>27022.73</v>
      </c>
      <c r="N23" s="33">
        <f t="shared" si="10"/>
        <v>9840.449999999999</v>
      </c>
      <c r="O23" s="33">
        <f t="shared" si="10"/>
        <v>8786.96</v>
      </c>
      <c r="P23" s="33">
        <f t="shared" si="10"/>
        <v>9826.439999999999</v>
      </c>
      <c r="Q23" s="33">
        <f t="shared" si="10"/>
        <v>28453.849999999995</v>
      </c>
      <c r="R23" s="90">
        <f t="shared" si="10"/>
        <v>119108.23000000003</v>
      </c>
    </row>
    <row r="24" spans="1:21" ht="13.5" collapsed="1" thickBot="1">
      <c r="A24" s="84" t="s">
        <v>48</v>
      </c>
      <c r="B24" s="49">
        <f aca="true" t="shared" si="11" ref="B24:R24">B23+B12</f>
        <v>10670.93</v>
      </c>
      <c r="C24" s="49">
        <f t="shared" si="11"/>
        <v>11982.76</v>
      </c>
      <c r="D24" s="49">
        <f t="shared" si="11"/>
        <v>31116.940000000002</v>
      </c>
      <c r="E24" s="48">
        <f t="shared" si="11"/>
        <v>53770.630000000005</v>
      </c>
      <c r="F24" s="49">
        <f t="shared" si="11"/>
        <v>21283.370000000003</v>
      </c>
      <c r="G24" s="49">
        <f t="shared" si="11"/>
        <v>20332.93</v>
      </c>
      <c r="H24" s="49">
        <f t="shared" si="11"/>
        <v>8496.15</v>
      </c>
      <c r="I24" s="48">
        <f t="shared" si="11"/>
        <v>50112.45</v>
      </c>
      <c r="J24" s="49">
        <f t="shared" si="11"/>
        <v>9018.190000000002</v>
      </c>
      <c r="K24" s="49">
        <f t="shared" si="11"/>
        <v>8938.43</v>
      </c>
      <c r="L24" s="49">
        <f t="shared" si="11"/>
        <v>9066.109999999999</v>
      </c>
      <c r="M24" s="48">
        <f t="shared" si="11"/>
        <v>27022.73</v>
      </c>
      <c r="N24" s="49">
        <f t="shared" si="11"/>
        <v>9840.449999999999</v>
      </c>
      <c r="O24" s="49">
        <f t="shared" si="11"/>
        <v>8786.96</v>
      </c>
      <c r="P24" s="49">
        <f t="shared" si="11"/>
        <v>51786.240000000005</v>
      </c>
      <c r="Q24" s="48">
        <f t="shared" si="11"/>
        <v>70413.65</v>
      </c>
      <c r="R24" s="50">
        <f t="shared" si="11"/>
        <v>201319.46000000002</v>
      </c>
      <c r="S24" s="65">
        <f>((B13/0.12)+(C13/0.12)+(D13/0.12)+(F13/0.12)+(G13/0.12)+(H13/0.12)+(J13/0.12)+(K13/0.12)+(L13/0.12)+(N13/0.12)+(O13/0.12)+(P13/0.12))/12</f>
        <v>50845.083333333336</v>
      </c>
      <c r="T24" s="54">
        <f>IF(R24&gt;0,R24/S24,0)</f>
        <v>3.95946759847314</v>
      </c>
      <c r="U24" s="66">
        <f>IF(R15&gt;0,R15/R24,0)</f>
        <v>0.04069964225018287</v>
      </c>
    </row>
    <row r="25" spans="1:18" ht="12.75">
      <c r="A25" s="85" t="s">
        <v>27</v>
      </c>
      <c r="B25" s="86"/>
      <c r="C25" s="86"/>
      <c r="D25" s="86"/>
      <c r="E25" s="87"/>
      <c r="F25" s="86"/>
      <c r="G25" s="86"/>
      <c r="H25" s="86"/>
      <c r="I25" s="87"/>
      <c r="J25" s="86"/>
      <c r="K25" s="86"/>
      <c r="L25" s="86"/>
      <c r="M25" s="87"/>
      <c r="N25" s="86"/>
      <c r="O25" s="86"/>
      <c r="P25" s="86"/>
      <c r="Q25" s="87"/>
      <c r="R25" s="88"/>
    </row>
    <row r="26" spans="1:18" ht="12.75" hidden="1" outlineLevel="1">
      <c r="A26" s="19" t="s">
        <v>40</v>
      </c>
      <c r="B26" s="62"/>
      <c r="C26" s="62"/>
      <c r="D26" s="62"/>
      <c r="E26" s="35">
        <f aca="true" t="shared" si="12" ref="E26:E33">SUM(B26:D26)</f>
        <v>0</v>
      </c>
      <c r="F26" s="38"/>
      <c r="G26" s="38"/>
      <c r="H26" s="38"/>
      <c r="I26" s="35">
        <f aca="true" t="shared" si="13" ref="I26:I33">SUM(F26:H26)</f>
        <v>0</v>
      </c>
      <c r="J26" s="38"/>
      <c r="K26" s="38"/>
      <c r="L26" s="38"/>
      <c r="M26" s="35">
        <f aca="true" t="shared" si="14" ref="M26:M33">SUM(J26:L26)</f>
        <v>0</v>
      </c>
      <c r="N26" s="38"/>
      <c r="O26" s="38"/>
      <c r="P26" s="38"/>
      <c r="Q26" s="35">
        <f aca="true" t="shared" si="15" ref="Q26:Q33">SUM(N26:P26)</f>
        <v>0</v>
      </c>
      <c r="R26" s="72">
        <f aca="true" t="shared" si="16" ref="R26:R40">Q26+M26+I26+E26</f>
        <v>0</v>
      </c>
    </row>
    <row r="27" spans="1:18" ht="12.75" hidden="1" outlineLevel="1">
      <c r="A27" s="19" t="s">
        <v>41</v>
      </c>
      <c r="B27" s="62"/>
      <c r="C27" s="62"/>
      <c r="D27" s="62"/>
      <c r="E27" s="35">
        <f t="shared" si="12"/>
        <v>0</v>
      </c>
      <c r="F27" s="38"/>
      <c r="G27" s="38"/>
      <c r="H27" s="38"/>
      <c r="I27" s="35">
        <f t="shared" si="13"/>
        <v>0</v>
      </c>
      <c r="J27" s="38"/>
      <c r="K27" s="38"/>
      <c r="L27" s="38"/>
      <c r="M27" s="35">
        <f t="shared" si="14"/>
        <v>0</v>
      </c>
      <c r="N27" s="38"/>
      <c r="O27" s="38"/>
      <c r="P27" s="38"/>
      <c r="Q27" s="35">
        <f t="shared" si="15"/>
        <v>0</v>
      </c>
      <c r="R27" s="72">
        <f t="shared" si="16"/>
        <v>0</v>
      </c>
    </row>
    <row r="28" spans="1:18" ht="12.75" hidden="1" outlineLevel="1">
      <c r="A28" s="19" t="s">
        <v>42</v>
      </c>
      <c r="B28" s="62"/>
      <c r="C28" s="62"/>
      <c r="D28" s="62"/>
      <c r="E28" s="35">
        <f t="shared" si="12"/>
        <v>0</v>
      </c>
      <c r="F28" s="38"/>
      <c r="G28" s="38"/>
      <c r="H28" s="38"/>
      <c r="I28" s="35">
        <f t="shared" si="13"/>
        <v>0</v>
      </c>
      <c r="J28" s="38"/>
      <c r="K28" s="38"/>
      <c r="L28" s="38"/>
      <c r="M28" s="35">
        <f t="shared" si="14"/>
        <v>0</v>
      </c>
      <c r="N28" s="38"/>
      <c r="O28" s="38"/>
      <c r="P28" s="38"/>
      <c r="Q28" s="35">
        <f t="shared" si="15"/>
        <v>0</v>
      </c>
      <c r="R28" s="72">
        <f t="shared" si="16"/>
        <v>0</v>
      </c>
    </row>
    <row r="29" spans="1:21" ht="12.75" hidden="1" outlineLevel="1">
      <c r="A29" s="19" t="s">
        <v>43</v>
      </c>
      <c r="B29" s="95"/>
      <c r="C29" s="62"/>
      <c r="D29" s="62"/>
      <c r="E29" s="35">
        <f t="shared" si="12"/>
        <v>0</v>
      </c>
      <c r="F29" s="38"/>
      <c r="G29" s="38"/>
      <c r="H29" s="38"/>
      <c r="I29" s="35">
        <f t="shared" si="13"/>
        <v>0</v>
      </c>
      <c r="J29" s="38"/>
      <c r="K29" s="38"/>
      <c r="L29" s="38"/>
      <c r="M29" s="35">
        <f t="shared" si="14"/>
        <v>0</v>
      </c>
      <c r="N29" s="38"/>
      <c r="O29" s="38"/>
      <c r="P29" s="38"/>
      <c r="Q29" s="35">
        <f t="shared" si="15"/>
        <v>0</v>
      </c>
      <c r="R29" s="72">
        <f t="shared" si="16"/>
        <v>0</v>
      </c>
      <c r="U29" s="66"/>
    </row>
    <row r="30" spans="1:18" ht="12.75" hidden="1" outlineLevel="1">
      <c r="A30" s="19" t="s">
        <v>44</v>
      </c>
      <c r="B30" s="62"/>
      <c r="C30" s="62"/>
      <c r="D30" s="62"/>
      <c r="E30" s="35">
        <f t="shared" si="12"/>
        <v>0</v>
      </c>
      <c r="F30" s="38"/>
      <c r="G30" s="38"/>
      <c r="H30" s="38"/>
      <c r="I30" s="35">
        <f t="shared" si="13"/>
        <v>0</v>
      </c>
      <c r="J30" s="38"/>
      <c r="K30" s="38"/>
      <c r="L30" s="38"/>
      <c r="M30" s="35">
        <f t="shared" si="14"/>
        <v>0</v>
      </c>
      <c r="N30" s="38"/>
      <c r="O30" s="38"/>
      <c r="P30" s="38"/>
      <c r="Q30" s="35">
        <f t="shared" si="15"/>
        <v>0</v>
      </c>
      <c r="R30" s="72">
        <f t="shared" si="16"/>
        <v>0</v>
      </c>
    </row>
    <row r="31" spans="1:18" ht="12.75" hidden="1" outlineLevel="1">
      <c r="A31" s="19" t="s">
        <v>45</v>
      </c>
      <c r="B31" s="62"/>
      <c r="C31" s="62"/>
      <c r="D31" s="62">
        <v>1389.67</v>
      </c>
      <c r="E31" s="35">
        <f t="shared" si="12"/>
        <v>1389.67</v>
      </c>
      <c r="F31" s="62">
        <v>636.43</v>
      </c>
      <c r="G31" s="62">
        <f>680.97+150.86</f>
        <v>831.83</v>
      </c>
      <c r="H31" s="62"/>
      <c r="I31" s="35">
        <f t="shared" si="13"/>
        <v>1468.26</v>
      </c>
      <c r="J31" s="62"/>
      <c r="K31" s="62"/>
      <c r="L31" s="62"/>
      <c r="M31" s="35">
        <f t="shared" si="14"/>
        <v>0</v>
      </c>
      <c r="N31" s="62"/>
      <c r="O31" s="62"/>
      <c r="P31" s="62">
        <v>2495.38</v>
      </c>
      <c r="Q31" s="35">
        <f t="shared" si="15"/>
        <v>2495.38</v>
      </c>
      <c r="R31" s="72">
        <f t="shared" si="16"/>
        <v>5353.31</v>
      </c>
    </row>
    <row r="32" spans="1:18" ht="12.75" hidden="1" outlineLevel="1">
      <c r="A32" s="19" t="s">
        <v>46</v>
      </c>
      <c r="B32" s="62"/>
      <c r="C32" s="62"/>
      <c r="D32" s="62"/>
      <c r="E32" s="35">
        <f t="shared" si="12"/>
        <v>0</v>
      </c>
      <c r="F32" s="38"/>
      <c r="G32" s="38"/>
      <c r="H32" s="38"/>
      <c r="I32" s="35">
        <f t="shared" si="13"/>
        <v>0</v>
      </c>
      <c r="J32" s="38"/>
      <c r="K32" s="38"/>
      <c r="L32" s="38"/>
      <c r="M32" s="35">
        <f t="shared" si="14"/>
        <v>0</v>
      </c>
      <c r="N32" s="38"/>
      <c r="O32" s="38"/>
      <c r="P32" s="38"/>
      <c r="Q32" s="35">
        <f t="shared" si="15"/>
        <v>0</v>
      </c>
      <c r="R32" s="72">
        <f t="shared" si="16"/>
        <v>0</v>
      </c>
    </row>
    <row r="33" spans="1:18" ht="12.75" hidden="1" outlineLevel="1">
      <c r="A33" s="19" t="s">
        <v>58</v>
      </c>
      <c r="B33" s="62"/>
      <c r="C33" s="62"/>
      <c r="D33" s="62"/>
      <c r="E33" s="35">
        <f t="shared" si="12"/>
        <v>0</v>
      </c>
      <c r="F33" s="38"/>
      <c r="G33" s="38"/>
      <c r="H33" s="38"/>
      <c r="I33" s="35">
        <f t="shared" si="13"/>
        <v>0</v>
      </c>
      <c r="J33" s="38"/>
      <c r="K33" s="38"/>
      <c r="L33" s="38"/>
      <c r="M33" s="35">
        <f t="shared" si="14"/>
        <v>0</v>
      </c>
      <c r="N33" s="38"/>
      <c r="O33" s="38"/>
      <c r="P33" s="38"/>
      <c r="Q33" s="35">
        <f t="shared" si="15"/>
        <v>0</v>
      </c>
      <c r="R33" s="72">
        <f t="shared" si="16"/>
        <v>0</v>
      </c>
    </row>
    <row r="34" spans="1:18" s="70" customFormat="1" ht="12.75" hidden="1" outlineLevel="1">
      <c r="A34" s="22" t="s">
        <v>47</v>
      </c>
      <c r="B34" s="33">
        <f aca="true" t="shared" si="17" ref="B34:Q34">SUM(B26:B33)</f>
        <v>0</v>
      </c>
      <c r="C34" s="33">
        <f t="shared" si="17"/>
        <v>0</v>
      </c>
      <c r="D34" s="33">
        <f t="shared" si="17"/>
        <v>1389.67</v>
      </c>
      <c r="E34" s="33">
        <f t="shared" si="17"/>
        <v>1389.67</v>
      </c>
      <c r="F34" s="33">
        <f t="shared" si="17"/>
        <v>636.43</v>
      </c>
      <c r="G34" s="33">
        <f t="shared" si="17"/>
        <v>831.83</v>
      </c>
      <c r="H34" s="33">
        <f t="shared" si="17"/>
        <v>0</v>
      </c>
      <c r="I34" s="33">
        <f t="shared" si="17"/>
        <v>1468.26</v>
      </c>
      <c r="J34" s="33">
        <f t="shared" si="17"/>
        <v>0</v>
      </c>
      <c r="K34" s="33">
        <f t="shared" si="17"/>
        <v>0</v>
      </c>
      <c r="L34" s="33">
        <f t="shared" si="17"/>
        <v>0</v>
      </c>
      <c r="M34" s="33">
        <f t="shared" si="17"/>
        <v>0</v>
      </c>
      <c r="N34" s="33">
        <f t="shared" si="17"/>
        <v>0</v>
      </c>
      <c r="O34" s="33">
        <f t="shared" si="17"/>
        <v>0</v>
      </c>
      <c r="P34" s="33">
        <f t="shared" si="17"/>
        <v>2495.38</v>
      </c>
      <c r="Q34" s="33">
        <f t="shared" si="17"/>
        <v>2495.38</v>
      </c>
      <c r="R34" s="34">
        <f t="shared" si="16"/>
        <v>5353.31</v>
      </c>
    </row>
    <row r="35" spans="1:18" ht="12.75" hidden="1" outlineLevel="1">
      <c r="A35" s="23" t="s">
        <v>15</v>
      </c>
      <c r="B35" s="63">
        <v>476.16</v>
      </c>
      <c r="C35" s="63">
        <v>477.96</v>
      </c>
      <c r="D35" s="63">
        <v>478.44</v>
      </c>
      <c r="E35" s="35">
        <f aca="true" t="shared" si="18" ref="E35:E44">SUM(B35:D35)</f>
        <v>1432.56</v>
      </c>
      <c r="F35" s="37">
        <v>474.96</v>
      </c>
      <c r="G35" s="37">
        <v>351.48</v>
      </c>
      <c r="H35" s="37">
        <v>351.48</v>
      </c>
      <c r="I35" s="35">
        <f aca="true" t="shared" si="19" ref="I35:I40">SUM(F35:H35)</f>
        <v>1177.92</v>
      </c>
      <c r="J35" s="37">
        <v>351.6</v>
      </c>
      <c r="K35" s="37">
        <v>351.84</v>
      </c>
      <c r="L35" s="37">
        <v>355.68</v>
      </c>
      <c r="M35" s="35">
        <f aca="true" t="shared" si="20" ref="M35:M40">SUM(J35:L35)</f>
        <v>1059.1200000000001</v>
      </c>
      <c r="N35" s="37">
        <v>356.28</v>
      </c>
      <c r="O35" s="38">
        <v>355.92</v>
      </c>
      <c r="P35" s="38">
        <v>354</v>
      </c>
      <c r="Q35" s="35">
        <f aca="true" t="shared" si="21" ref="Q35:Q40">SUM(N35:P35)</f>
        <v>1066.2</v>
      </c>
      <c r="R35" s="34">
        <f t="shared" si="16"/>
        <v>4735.8</v>
      </c>
    </row>
    <row r="36" spans="1:18" ht="12.75" hidden="1" outlineLevel="1">
      <c r="A36" s="23" t="s">
        <v>16</v>
      </c>
      <c r="B36" s="63">
        <v>88</v>
      </c>
      <c r="C36" s="63">
        <v>88</v>
      </c>
      <c r="D36" s="62">
        <v>88</v>
      </c>
      <c r="E36" s="35">
        <f t="shared" si="18"/>
        <v>264</v>
      </c>
      <c r="F36" s="62">
        <v>88</v>
      </c>
      <c r="G36" s="62">
        <v>88</v>
      </c>
      <c r="H36" s="62">
        <v>88</v>
      </c>
      <c r="I36" s="35">
        <f t="shared" si="19"/>
        <v>264</v>
      </c>
      <c r="J36" s="62">
        <v>88</v>
      </c>
      <c r="K36" s="62">
        <v>88</v>
      </c>
      <c r="L36" s="62">
        <v>88</v>
      </c>
      <c r="M36" s="35">
        <f t="shared" si="20"/>
        <v>264</v>
      </c>
      <c r="N36" s="62">
        <v>88</v>
      </c>
      <c r="O36" s="62">
        <v>88</v>
      </c>
      <c r="P36" s="62">
        <v>88</v>
      </c>
      <c r="Q36" s="35">
        <f t="shared" si="21"/>
        <v>264</v>
      </c>
      <c r="R36" s="34">
        <f t="shared" si="16"/>
        <v>1056</v>
      </c>
    </row>
    <row r="37" spans="1:18" ht="12.75" hidden="1" outlineLevel="1">
      <c r="A37" s="23" t="s">
        <v>17</v>
      </c>
      <c r="B37" s="63">
        <v>125.43</v>
      </c>
      <c r="C37" s="63">
        <v>126.56</v>
      </c>
      <c r="D37" s="63">
        <v>73.45</v>
      </c>
      <c r="E37" s="35">
        <f t="shared" si="18"/>
        <v>325.44</v>
      </c>
      <c r="F37" s="37">
        <v>50.85</v>
      </c>
      <c r="G37" s="37">
        <v>29.38</v>
      </c>
      <c r="H37" s="37">
        <v>20.34</v>
      </c>
      <c r="I37" s="35">
        <f t="shared" si="19"/>
        <v>100.57000000000001</v>
      </c>
      <c r="J37" s="37">
        <v>58.76</v>
      </c>
      <c r="K37" s="37">
        <v>33.9</v>
      </c>
      <c r="L37" s="37">
        <v>68.93</v>
      </c>
      <c r="M37" s="35">
        <f t="shared" si="20"/>
        <v>161.59</v>
      </c>
      <c r="N37" s="37">
        <v>61.02</v>
      </c>
      <c r="O37" s="38">
        <v>35.03</v>
      </c>
      <c r="P37" s="38">
        <v>29.38</v>
      </c>
      <c r="Q37" s="35">
        <f t="shared" si="21"/>
        <v>125.43</v>
      </c>
      <c r="R37" s="34">
        <f t="shared" si="16"/>
        <v>713.03</v>
      </c>
    </row>
    <row r="38" spans="1:18" ht="12.75" hidden="1" outlineLevel="1">
      <c r="A38" s="25" t="s">
        <v>18</v>
      </c>
      <c r="B38" s="63">
        <v>118</v>
      </c>
      <c r="C38" s="63">
        <v>143.37</v>
      </c>
      <c r="D38" s="63">
        <v>133.39</v>
      </c>
      <c r="E38" s="35">
        <f t="shared" si="18"/>
        <v>394.76</v>
      </c>
      <c r="F38" s="37">
        <v>124.13</v>
      </c>
      <c r="G38" s="37">
        <v>59.16</v>
      </c>
      <c r="H38" s="37">
        <v>10.97</v>
      </c>
      <c r="I38" s="35">
        <f t="shared" si="19"/>
        <v>194.26</v>
      </c>
      <c r="J38" s="37">
        <v>60.93</v>
      </c>
      <c r="K38" s="37">
        <v>60.98</v>
      </c>
      <c r="L38" s="37">
        <v>67.21</v>
      </c>
      <c r="M38" s="35">
        <f t="shared" si="20"/>
        <v>189.12</v>
      </c>
      <c r="N38" s="37">
        <v>24.85</v>
      </c>
      <c r="O38" s="38">
        <v>69.29</v>
      </c>
      <c r="P38" s="38">
        <v>584.3</v>
      </c>
      <c r="Q38" s="35">
        <f t="shared" si="21"/>
        <v>678.4399999999999</v>
      </c>
      <c r="R38" s="34">
        <f t="shared" si="16"/>
        <v>1456.58</v>
      </c>
    </row>
    <row r="39" spans="1:18" ht="12.75" hidden="1" outlineLevel="1">
      <c r="A39" s="23" t="s">
        <v>19</v>
      </c>
      <c r="B39" s="63">
        <v>4.65</v>
      </c>
      <c r="C39" s="63">
        <v>3.72</v>
      </c>
      <c r="D39" s="63">
        <v>4.65</v>
      </c>
      <c r="E39" s="35">
        <f t="shared" si="18"/>
        <v>13.020000000000001</v>
      </c>
      <c r="F39" s="37"/>
      <c r="G39" s="37"/>
      <c r="H39" s="37"/>
      <c r="I39" s="35">
        <f t="shared" si="19"/>
        <v>0</v>
      </c>
      <c r="J39" s="37">
        <v>0.93</v>
      </c>
      <c r="K39" s="37"/>
      <c r="L39" s="37"/>
      <c r="M39" s="35">
        <f t="shared" si="20"/>
        <v>0.93</v>
      </c>
      <c r="N39" s="37"/>
      <c r="O39" s="38">
        <v>0.93</v>
      </c>
      <c r="P39" s="38">
        <v>1.86</v>
      </c>
      <c r="Q39" s="35">
        <f t="shared" si="21"/>
        <v>2.79</v>
      </c>
      <c r="R39" s="34">
        <f t="shared" si="16"/>
        <v>16.740000000000002</v>
      </c>
    </row>
    <row r="40" spans="1:18" ht="12.75" hidden="1" outlineLevel="1">
      <c r="A40" s="23" t="s">
        <v>20</v>
      </c>
      <c r="B40" s="63">
        <v>131</v>
      </c>
      <c r="C40" s="63">
        <v>104.5</v>
      </c>
      <c r="D40" s="63">
        <v>90.5</v>
      </c>
      <c r="E40" s="35">
        <f t="shared" si="18"/>
        <v>326</v>
      </c>
      <c r="F40" s="37">
        <v>130.5</v>
      </c>
      <c r="G40" s="37">
        <v>46</v>
      </c>
      <c r="H40" s="37">
        <v>48.5</v>
      </c>
      <c r="I40" s="35">
        <f t="shared" si="19"/>
        <v>225</v>
      </c>
      <c r="J40" s="37">
        <v>98.5</v>
      </c>
      <c r="K40" s="37">
        <v>34.5</v>
      </c>
      <c r="L40" s="37">
        <v>36.5</v>
      </c>
      <c r="M40" s="35">
        <f t="shared" si="20"/>
        <v>169.5</v>
      </c>
      <c r="N40" s="37">
        <v>28.5</v>
      </c>
      <c r="O40" s="38">
        <v>44.5</v>
      </c>
      <c r="P40" s="38">
        <v>27.5</v>
      </c>
      <c r="Q40" s="35">
        <f t="shared" si="21"/>
        <v>100.5</v>
      </c>
      <c r="R40" s="34">
        <f t="shared" si="16"/>
        <v>821</v>
      </c>
    </row>
    <row r="41" spans="1:18" ht="12.75" hidden="1" outlineLevel="1">
      <c r="A41" s="23" t="s">
        <v>72</v>
      </c>
      <c r="B41" s="63"/>
      <c r="C41" s="63">
        <f>0.3+89.27</f>
        <v>89.57</v>
      </c>
      <c r="D41" s="63">
        <f>0.24+117.52</f>
        <v>117.75999999999999</v>
      </c>
      <c r="E41" s="35">
        <f t="shared" si="18"/>
        <v>207.32999999999998</v>
      </c>
      <c r="F41" s="37"/>
      <c r="G41" s="37"/>
      <c r="H41" s="37"/>
      <c r="I41" s="35"/>
      <c r="J41" s="37"/>
      <c r="K41" s="37"/>
      <c r="L41" s="37"/>
      <c r="M41" s="35"/>
      <c r="N41" s="37"/>
      <c r="O41" s="38"/>
      <c r="P41" s="38"/>
      <c r="Q41" s="35"/>
      <c r="R41" s="34"/>
    </row>
    <row r="42" spans="1:18" ht="12.75" hidden="1" outlineLevel="1">
      <c r="A42" s="23" t="s">
        <v>21</v>
      </c>
      <c r="B42" s="63"/>
      <c r="C42" s="63"/>
      <c r="D42" s="63"/>
      <c r="E42" s="35">
        <f t="shared" si="18"/>
        <v>0</v>
      </c>
      <c r="F42" s="37"/>
      <c r="G42" s="37"/>
      <c r="H42" s="37"/>
      <c r="I42" s="35">
        <f>SUM(F42:H42)</f>
        <v>0</v>
      </c>
      <c r="J42" s="37"/>
      <c r="K42" s="37"/>
      <c r="L42" s="37"/>
      <c r="M42" s="35">
        <f>SUM(J42:L42)</f>
        <v>0</v>
      </c>
      <c r="N42" s="37"/>
      <c r="O42" s="38"/>
      <c r="P42" s="38"/>
      <c r="Q42" s="35">
        <f>SUM(N42:P42)</f>
        <v>0</v>
      </c>
      <c r="R42" s="34">
        <f>Q42+M42+I42+E42</f>
        <v>0</v>
      </c>
    </row>
    <row r="43" spans="1:18" ht="12.75" hidden="1" outlineLevel="1">
      <c r="A43" s="23" t="s">
        <v>22</v>
      </c>
      <c r="B43" s="63">
        <v>51.12</v>
      </c>
      <c r="C43" s="63">
        <v>25.56</v>
      </c>
      <c r="D43" s="63">
        <v>42.6</v>
      </c>
      <c r="E43" s="35">
        <f t="shared" si="18"/>
        <v>119.28</v>
      </c>
      <c r="F43" s="37">
        <v>170.4</v>
      </c>
      <c r="G43" s="37">
        <v>12.78</v>
      </c>
      <c r="H43" s="37">
        <v>4.26</v>
      </c>
      <c r="I43" s="35">
        <f>SUM(F43:H43)</f>
        <v>187.44</v>
      </c>
      <c r="J43" s="37"/>
      <c r="K43" s="37">
        <v>17.04</v>
      </c>
      <c r="L43" s="37">
        <v>72.42</v>
      </c>
      <c r="M43" s="35">
        <f>SUM(J43:L43)</f>
        <v>89.46000000000001</v>
      </c>
      <c r="N43" s="37">
        <v>144.84</v>
      </c>
      <c r="O43" s="38">
        <v>21.3</v>
      </c>
      <c r="P43" s="38">
        <v>55.38</v>
      </c>
      <c r="Q43" s="35">
        <f>SUM(N43:P43)</f>
        <v>221.52</v>
      </c>
      <c r="R43" s="34">
        <f>Q43+M43+I43+E43</f>
        <v>617.7</v>
      </c>
    </row>
    <row r="44" spans="1:18" ht="12.75" hidden="1" outlineLevel="1">
      <c r="A44" s="23" t="s">
        <v>61</v>
      </c>
      <c r="B44" s="63"/>
      <c r="C44" s="63"/>
      <c r="D44" s="62"/>
      <c r="E44" s="35">
        <f t="shared" si="18"/>
        <v>0</v>
      </c>
      <c r="F44" s="38"/>
      <c r="G44" s="38"/>
      <c r="H44" s="38"/>
      <c r="I44" s="35">
        <f>SUM(F44:H44)</f>
        <v>0</v>
      </c>
      <c r="J44" s="38"/>
      <c r="K44" s="38"/>
      <c r="L44" s="38"/>
      <c r="M44" s="35">
        <f>SUM(J44:L44)</f>
        <v>0</v>
      </c>
      <c r="N44" s="38"/>
      <c r="O44" s="38"/>
      <c r="P44" s="38"/>
      <c r="Q44" s="35">
        <f>SUM(N44:P44)</f>
        <v>0</v>
      </c>
      <c r="R44" s="34">
        <f>Q44+M44+I44+E44</f>
        <v>0</v>
      </c>
    </row>
    <row r="45" spans="1:25" ht="12.75" hidden="1" outlineLevel="1">
      <c r="A45" s="89" t="s">
        <v>49</v>
      </c>
      <c r="B45" s="33">
        <f aca="true" t="shared" si="22" ref="B45:Y45">SUM(B35:B44)</f>
        <v>994.3600000000001</v>
      </c>
      <c r="C45" s="33">
        <f t="shared" si="22"/>
        <v>1059.24</v>
      </c>
      <c r="D45" s="33">
        <f t="shared" si="22"/>
        <v>1028.79</v>
      </c>
      <c r="E45" s="33">
        <f t="shared" si="22"/>
        <v>3082.3900000000003</v>
      </c>
      <c r="F45" s="33">
        <f t="shared" si="22"/>
        <v>1038.8400000000001</v>
      </c>
      <c r="G45" s="33">
        <f t="shared" si="22"/>
        <v>586.8</v>
      </c>
      <c r="H45" s="33">
        <f t="shared" si="22"/>
        <v>523.55</v>
      </c>
      <c r="I45" s="33">
        <f t="shared" si="22"/>
        <v>2149.19</v>
      </c>
      <c r="J45" s="33">
        <f t="shared" si="22"/>
        <v>658.7199999999999</v>
      </c>
      <c r="K45" s="33">
        <f t="shared" si="22"/>
        <v>586.2599999999999</v>
      </c>
      <c r="L45" s="33">
        <f t="shared" si="22"/>
        <v>688.74</v>
      </c>
      <c r="M45" s="33">
        <f t="shared" si="22"/>
        <v>1933.72</v>
      </c>
      <c r="N45" s="33">
        <f t="shared" si="22"/>
        <v>703.49</v>
      </c>
      <c r="O45" s="33">
        <f t="shared" si="22"/>
        <v>614.9699999999999</v>
      </c>
      <c r="P45" s="33">
        <f t="shared" si="22"/>
        <v>1140.4199999999998</v>
      </c>
      <c r="Q45" s="33">
        <f t="shared" si="22"/>
        <v>2458.88</v>
      </c>
      <c r="R45" s="90">
        <f t="shared" si="22"/>
        <v>9416.85</v>
      </c>
      <c r="S45" s="33">
        <f t="shared" si="22"/>
        <v>0</v>
      </c>
      <c r="T45" s="33">
        <f t="shared" si="22"/>
        <v>0</v>
      </c>
      <c r="U45" s="33">
        <f t="shared" si="22"/>
        <v>0</v>
      </c>
      <c r="V45" s="33">
        <f t="shared" si="22"/>
        <v>0</v>
      </c>
      <c r="W45" s="33">
        <f t="shared" si="22"/>
        <v>0</v>
      </c>
      <c r="X45" s="33">
        <f t="shared" si="22"/>
        <v>0</v>
      </c>
      <c r="Y45" s="33">
        <f t="shared" si="22"/>
        <v>0</v>
      </c>
    </row>
    <row r="46" spans="1:21" ht="13.5" collapsed="1" thickBot="1">
      <c r="A46" s="84" t="s">
        <v>48</v>
      </c>
      <c r="B46" s="49">
        <f aca="true" t="shared" si="23" ref="B46:R46">B45+B34</f>
        <v>994.3600000000001</v>
      </c>
      <c r="C46" s="49">
        <f t="shared" si="23"/>
        <v>1059.24</v>
      </c>
      <c r="D46" s="49">
        <f t="shared" si="23"/>
        <v>2418.46</v>
      </c>
      <c r="E46" s="48">
        <f t="shared" si="23"/>
        <v>4472.06</v>
      </c>
      <c r="F46" s="49">
        <f t="shared" si="23"/>
        <v>1675.27</v>
      </c>
      <c r="G46" s="49">
        <f t="shared" si="23"/>
        <v>1418.63</v>
      </c>
      <c r="H46" s="49">
        <f t="shared" si="23"/>
        <v>523.55</v>
      </c>
      <c r="I46" s="48">
        <f t="shared" si="23"/>
        <v>3617.45</v>
      </c>
      <c r="J46" s="49">
        <f t="shared" si="23"/>
        <v>658.7199999999999</v>
      </c>
      <c r="K46" s="49">
        <f t="shared" si="23"/>
        <v>586.2599999999999</v>
      </c>
      <c r="L46" s="49">
        <f t="shared" si="23"/>
        <v>688.74</v>
      </c>
      <c r="M46" s="48">
        <f t="shared" si="23"/>
        <v>1933.72</v>
      </c>
      <c r="N46" s="49">
        <f t="shared" si="23"/>
        <v>703.49</v>
      </c>
      <c r="O46" s="49">
        <f t="shared" si="23"/>
        <v>614.9699999999999</v>
      </c>
      <c r="P46" s="49">
        <f t="shared" si="23"/>
        <v>3635.8</v>
      </c>
      <c r="Q46" s="48">
        <f t="shared" si="23"/>
        <v>4954.26</v>
      </c>
      <c r="R46" s="50">
        <f t="shared" si="23"/>
        <v>14770.16</v>
      </c>
      <c r="S46" s="65">
        <f>((B35/0.12)+(C35/0.12)+(D35/0.12)+(F35/0.12)+(G35/0.12)+(H35/0.12)+(J35/0.12)+(K35/0.12)+(L35/0.12)+(N35/0.12)+(O35/0.12)+(P35/0.12))/12</f>
        <v>3288.75</v>
      </c>
      <c r="T46" s="54">
        <f>IF(R46&gt;0,R46/S46,0)</f>
        <v>4.491116685670848</v>
      </c>
      <c r="U46" s="66">
        <f>IF(R37&gt;0,R37/R46,0)</f>
        <v>0.04827503561234272</v>
      </c>
    </row>
    <row r="47" spans="1:18" ht="12.75">
      <c r="A47" s="85" t="s">
        <v>28</v>
      </c>
      <c r="B47" s="86"/>
      <c r="C47" s="86"/>
      <c r="D47" s="86"/>
      <c r="E47" s="87"/>
      <c r="F47" s="86"/>
      <c r="G47" s="86"/>
      <c r="H47" s="86"/>
      <c r="I47" s="87"/>
      <c r="J47" s="86"/>
      <c r="K47" s="86"/>
      <c r="L47" s="86"/>
      <c r="M47" s="87"/>
      <c r="N47" s="86"/>
      <c r="O47" s="86"/>
      <c r="P47" s="86"/>
      <c r="Q47" s="87"/>
      <c r="R47" s="88"/>
    </row>
    <row r="48" spans="1:18" ht="12.75" hidden="1" outlineLevel="1">
      <c r="A48" s="19" t="s">
        <v>40</v>
      </c>
      <c r="B48" s="20"/>
      <c r="C48" s="20"/>
      <c r="D48" s="20"/>
      <c r="E48" s="67">
        <f aca="true" t="shared" si="24" ref="E48:E55">SUM(B48:D48)</f>
        <v>0</v>
      </c>
      <c r="F48" s="20"/>
      <c r="G48" s="20"/>
      <c r="H48" s="20"/>
      <c r="I48" s="67">
        <f aca="true" t="shared" si="25" ref="I48:I55">SUM(F48:H48)</f>
        <v>0</v>
      </c>
      <c r="J48" s="20"/>
      <c r="K48" s="20"/>
      <c r="L48" s="20"/>
      <c r="M48" s="67">
        <f aca="true" t="shared" si="26" ref="M48:M55">SUM(J48:L48)</f>
        <v>0</v>
      </c>
      <c r="N48" s="20"/>
      <c r="O48" s="20"/>
      <c r="P48" s="20"/>
      <c r="Q48" s="67">
        <f aca="true" t="shared" si="27" ref="Q48:Q55">SUM(N48:P48)</f>
        <v>0</v>
      </c>
      <c r="R48" s="21">
        <f aca="true" t="shared" si="28" ref="R48:R62">Q48+M48+I48+E48</f>
        <v>0</v>
      </c>
    </row>
    <row r="49" spans="1:18" ht="12.75" hidden="1" outlineLevel="1">
      <c r="A49" s="19" t="s">
        <v>41</v>
      </c>
      <c r="B49" s="20"/>
      <c r="C49" s="20"/>
      <c r="D49" s="20"/>
      <c r="E49" s="67">
        <f t="shared" si="24"/>
        <v>0</v>
      </c>
      <c r="F49" s="20"/>
      <c r="G49" s="20"/>
      <c r="H49" s="20"/>
      <c r="I49" s="67">
        <f t="shared" si="25"/>
        <v>0</v>
      </c>
      <c r="J49" s="20"/>
      <c r="K49" s="20"/>
      <c r="L49" s="20"/>
      <c r="M49" s="67">
        <f t="shared" si="26"/>
        <v>0</v>
      </c>
      <c r="N49" s="20"/>
      <c r="O49" s="20"/>
      <c r="P49" s="20"/>
      <c r="Q49" s="67">
        <f t="shared" si="27"/>
        <v>0</v>
      </c>
      <c r="R49" s="21">
        <f t="shared" si="28"/>
        <v>0</v>
      </c>
    </row>
    <row r="50" spans="1:18" ht="12.75" hidden="1" outlineLevel="1">
      <c r="A50" s="19" t="s">
        <v>42</v>
      </c>
      <c r="B50" s="20"/>
      <c r="C50" s="20"/>
      <c r="D50" s="20"/>
      <c r="E50" s="67">
        <f t="shared" si="24"/>
        <v>0</v>
      </c>
      <c r="F50" s="20"/>
      <c r="G50" s="20"/>
      <c r="H50" s="20"/>
      <c r="I50" s="67">
        <f t="shared" si="25"/>
        <v>0</v>
      </c>
      <c r="J50" s="20"/>
      <c r="K50" s="20"/>
      <c r="L50" s="20"/>
      <c r="M50" s="67">
        <f t="shared" si="26"/>
        <v>0</v>
      </c>
      <c r="N50" s="20"/>
      <c r="O50" s="20"/>
      <c r="P50" s="20"/>
      <c r="Q50" s="67">
        <f t="shared" si="27"/>
        <v>0</v>
      </c>
      <c r="R50" s="21">
        <f t="shared" si="28"/>
        <v>0</v>
      </c>
    </row>
    <row r="51" spans="1:18" ht="12.75" hidden="1" outlineLevel="1">
      <c r="A51" s="19" t="s">
        <v>43</v>
      </c>
      <c r="B51" s="20"/>
      <c r="C51" s="20"/>
      <c r="D51" s="20"/>
      <c r="E51" s="67">
        <f t="shared" si="24"/>
        <v>0</v>
      </c>
      <c r="F51" s="20"/>
      <c r="G51" s="20"/>
      <c r="H51" s="20"/>
      <c r="I51" s="67">
        <f t="shared" si="25"/>
        <v>0</v>
      </c>
      <c r="J51" s="20"/>
      <c r="K51" s="20"/>
      <c r="L51" s="20"/>
      <c r="M51" s="67">
        <f t="shared" si="26"/>
        <v>0</v>
      </c>
      <c r="N51" s="20"/>
      <c r="O51" s="20"/>
      <c r="P51" s="20"/>
      <c r="Q51" s="67">
        <f t="shared" si="27"/>
        <v>0</v>
      </c>
      <c r="R51" s="21">
        <f t="shared" si="28"/>
        <v>0</v>
      </c>
    </row>
    <row r="52" spans="1:18" ht="12.75" hidden="1" outlineLevel="1">
      <c r="A52" s="19" t="s">
        <v>44</v>
      </c>
      <c r="B52" s="20"/>
      <c r="C52" s="20"/>
      <c r="D52" s="20"/>
      <c r="E52" s="67">
        <f t="shared" si="24"/>
        <v>0</v>
      </c>
      <c r="F52" s="20"/>
      <c r="G52" s="20"/>
      <c r="H52" s="20"/>
      <c r="I52" s="67">
        <f t="shared" si="25"/>
        <v>0</v>
      </c>
      <c r="J52" s="20"/>
      <c r="K52" s="20"/>
      <c r="L52" s="20"/>
      <c r="M52" s="67">
        <f t="shared" si="26"/>
        <v>0</v>
      </c>
      <c r="N52" s="20"/>
      <c r="O52" s="20"/>
      <c r="P52" s="20"/>
      <c r="Q52" s="67">
        <f t="shared" si="27"/>
        <v>0</v>
      </c>
      <c r="R52" s="21">
        <f t="shared" si="28"/>
        <v>0</v>
      </c>
    </row>
    <row r="53" spans="1:18" ht="12.75" hidden="1" outlineLevel="1">
      <c r="A53" s="19" t="s">
        <v>45</v>
      </c>
      <c r="B53" s="62"/>
      <c r="C53" s="62"/>
      <c r="D53" s="62">
        <v>2231.42</v>
      </c>
      <c r="E53" s="35">
        <f t="shared" si="24"/>
        <v>2231.42</v>
      </c>
      <c r="F53" s="20">
        <v>1021.9</v>
      </c>
      <c r="G53" s="20">
        <f>1093.43+242.24</f>
        <v>1335.67</v>
      </c>
      <c r="H53" s="62"/>
      <c r="I53" s="35">
        <f t="shared" si="25"/>
        <v>2357.57</v>
      </c>
      <c r="J53" s="62"/>
      <c r="K53" s="62"/>
      <c r="L53" s="62"/>
      <c r="M53" s="35">
        <f t="shared" si="26"/>
        <v>0</v>
      </c>
      <c r="N53" s="62"/>
      <c r="O53" s="62"/>
      <c r="P53" s="62">
        <v>5450.61</v>
      </c>
      <c r="Q53" s="35">
        <f t="shared" si="27"/>
        <v>5450.61</v>
      </c>
      <c r="R53" s="34">
        <f t="shared" si="28"/>
        <v>10039.6</v>
      </c>
    </row>
    <row r="54" spans="1:18" ht="12.75" hidden="1" outlineLevel="1">
      <c r="A54" s="19" t="s">
        <v>46</v>
      </c>
      <c r="B54" s="20"/>
      <c r="C54" s="20"/>
      <c r="D54" s="20"/>
      <c r="E54" s="67">
        <f t="shared" si="24"/>
        <v>0</v>
      </c>
      <c r="F54" s="20"/>
      <c r="G54" s="20"/>
      <c r="H54" s="20"/>
      <c r="I54" s="67">
        <f t="shared" si="25"/>
        <v>0</v>
      </c>
      <c r="J54" s="20"/>
      <c r="K54" s="20"/>
      <c r="L54" s="20"/>
      <c r="M54" s="67">
        <f t="shared" si="26"/>
        <v>0</v>
      </c>
      <c r="N54" s="20"/>
      <c r="O54" s="20"/>
      <c r="P54" s="20"/>
      <c r="Q54" s="67">
        <f t="shared" si="27"/>
        <v>0</v>
      </c>
      <c r="R54" s="21">
        <f t="shared" si="28"/>
        <v>0</v>
      </c>
    </row>
    <row r="55" spans="1:18" ht="12.75" hidden="1" outlineLevel="1">
      <c r="A55" s="19" t="s">
        <v>58</v>
      </c>
      <c r="B55" s="62"/>
      <c r="C55" s="62"/>
      <c r="D55" s="62"/>
      <c r="E55" s="59">
        <f t="shared" si="24"/>
        <v>0</v>
      </c>
      <c r="F55" s="20"/>
      <c r="G55" s="20"/>
      <c r="H55" s="52"/>
      <c r="I55" s="59">
        <f t="shared" si="25"/>
        <v>0</v>
      </c>
      <c r="J55" s="52"/>
      <c r="K55" s="52"/>
      <c r="L55" s="52"/>
      <c r="M55" s="59">
        <f t="shared" si="26"/>
        <v>0</v>
      </c>
      <c r="N55" s="52"/>
      <c r="O55" s="52"/>
      <c r="P55" s="52"/>
      <c r="Q55" s="59">
        <f t="shared" si="27"/>
        <v>0</v>
      </c>
      <c r="R55" s="60">
        <f t="shared" si="28"/>
        <v>0</v>
      </c>
    </row>
    <row r="56" spans="1:18" ht="12.75" hidden="1" outlineLevel="1">
      <c r="A56" s="22" t="s">
        <v>47</v>
      </c>
      <c r="B56" s="33">
        <f aca="true" t="shared" si="29" ref="B56:Q56">SUM(B48:B55)</f>
        <v>0</v>
      </c>
      <c r="C56" s="33">
        <f t="shared" si="29"/>
        <v>0</v>
      </c>
      <c r="D56" s="33">
        <f t="shared" si="29"/>
        <v>2231.42</v>
      </c>
      <c r="E56" s="33">
        <f t="shared" si="29"/>
        <v>2231.42</v>
      </c>
      <c r="F56" s="33">
        <f t="shared" si="29"/>
        <v>1021.9</v>
      </c>
      <c r="G56" s="33">
        <f t="shared" si="29"/>
        <v>1335.67</v>
      </c>
      <c r="H56" s="33">
        <f t="shared" si="29"/>
        <v>0</v>
      </c>
      <c r="I56" s="33">
        <f t="shared" si="29"/>
        <v>2357.57</v>
      </c>
      <c r="J56" s="33">
        <f t="shared" si="29"/>
        <v>0</v>
      </c>
      <c r="K56" s="33">
        <f t="shared" si="29"/>
        <v>0</v>
      </c>
      <c r="L56" s="33">
        <f t="shared" si="29"/>
        <v>0</v>
      </c>
      <c r="M56" s="33">
        <f t="shared" si="29"/>
        <v>0</v>
      </c>
      <c r="N56" s="33">
        <f t="shared" si="29"/>
        <v>0</v>
      </c>
      <c r="O56" s="33">
        <f t="shared" si="29"/>
        <v>0</v>
      </c>
      <c r="P56" s="33">
        <f t="shared" si="29"/>
        <v>5450.61</v>
      </c>
      <c r="Q56" s="33">
        <f t="shared" si="29"/>
        <v>5450.61</v>
      </c>
      <c r="R56" s="34">
        <f t="shared" si="28"/>
        <v>10039.6</v>
      </c>
    </row>
    <row r="57" spans="1:20" ht="12.75" hidden="1" outlineLevel="1">
      <c r="A57" s="23" t="s">
        <v>15</v>
      </c>
      <c r="B57" s="63">
        <v>763.2</v>
      </c>
      <c r="C57" s="63">
        <v>761.04</v>
      </c>
      <c r="D57" s="63">
        <v>763.2</v>
      </c>
      <c r="E57" s="35">
        <f aca="true" t="shared" si="30" ref="E57:E66">SUM(B57:D57)</f>
        <v>2287.44</v>
      </c>
      <c r="F57" s="83">
        <v>766.08</v>
      </c>
      <c r="G57" s="83">
        <v>767.28</v>
      </c>
      <c r="H57" s="37">
        <v>767.28</v>
      </c>
      <c r="I57" s="35">
        <f aca="true" t="shared" si="31" ref="I57:I63">SUM(F57:H57)</f>
        <v>2300.6400000000003</v>
      </c>
      <c r="J57" s="37">
        <v>770.64</v>
      </c>
      <c r="K57" s="37">
        <v>774.72</v>
      </c>
      <c r="L57" s="37">
        <v>808.08</v>
      </c>
      <c r="M57" s="35">
        <f aca="true" t="shared" si="32" ref="M57:M63">SUM(J57:L57)</f>
        <v>2353.44</v>
      </c>
      <c r="N57" s="37">
        <v>821.88</v>
      </c>
      <c r="O57" s="37">
        <v>822.96</v>
      </c>
      <c r="P57" s="38">
        <v>818.4</v>
      </c>
      <c r="Q57" s="35">
        <f aca="true" t="shared" si="33" ref="Q57:Q62">SUM(N57:P57)</f>
        <v>2463.2400000000002</v>
      </c>
      <c r="R57" s="34">
        <f t="shared" si="28"/>
        <v>9404.76</v>
      </c>
      <c r="T57" s="54"/>
    </row>
    <row r="58" spans="1:18" ht="12.75" hidden="1" outlineLevel="1">
      <c r="A58" s="23" t="s">
        <v>51</v>
      </c>
      <c r="B58" s="63">
        <v>132</v>
      </c>
      <c r="C58" s="63">
        <v>132</v>
      </c>
      <c r="D58" s="63">
        <v>132</v>
      </c>
      <c r="E58" s="35">
        <f t="shared" si="30"/>
        <v>396</v>
      </c>
      <c r="F58" s="83">
        <v>132</v>
      </c>
      <c r="G58" s="83">
        <v>132</v>
      </c>
      <c r="H58" s="37">
        <v>132</v>
      </c>
      <c r="I58" s="35">
        <f t="shared" si="31"/>
        <v>396</v>
      </c>
      <c r="J58" s="37">
        <v>132</v>
      </c>
      <c r="K58" s="37">
        <v>132</v>
      </c>
      <c r="L58" s="37">
        <v>132</v>
      </c>
      <c r="M58" s="35">
        <f t="shared" si="32"/>
        <v>396</v>
      </c>
      <c r="N58" s="37">
        <v>132</v>
      </c>
      <c r="O58" s="37">
        <v>132</v>
      </c>
      <c r="P58" s="38">
        <v>132</v>
      </c>
      <c r="Q58" s="35">
        <f t="shared" si="33"/>
        <v>396</v>
      </c>
      <c r="R58" s="34">
        <f t="shared" si="28"/>
        <v>1584</v>
      </c>
    </row>
    <row r="59" spans="1:18" ht="12.75" hidden="1" outlineLevel="1">
      <c r="A59" s="23" t="s">
        <v>17</v>
      </c>
      <c r="B59" s="63">
        <v>175.15</v>
      </c>
      <c r="C59" s="63">
        <v>204.53</v>
      </c>
      <c r="D59" s="63">
        <v>167.24</v>
      </c>
      <c r="E59" s="35">
        <f t="shared" si="30"/>
        <v>546.9200000000001</v>
      </c>
      <c r="F59" s="83">
        <v>125.43</v>
      </c>
      <c r="G59" s="83">
        <v>131.08</v>
      </c>
      <c r="H59" s="37">
        <v>100.57</v>
      </c>
      <c r="I59" s="35">
        <f t="shared" si="31"/>
        <v>357.08</v>
      </c>
      <c r="J59" s="37">
        <v>142.38</v>
      </c>
      <c r="K59" s="37">
        <v>144.64</v>
      </c>
      <c r="L59" s="37">
        <v>305.1</v>
      </c>
      <c r="M59" s="35">
        <f t="shared" si="32"/>
        <v>592.12</v>
      </c>
      <c r="N59" s="37">
        <v>345.78</v>
      </c>
      <c r="O59" s="37">
        <v>185.32</v>
      </c>
      <c r="P59" s="38">
        <v>114.13</v>
      </c>
      <c r="Q59" s="35">
        <f t="shared" si="33"/>
        <v>645.2299999999999</v>
      </c>
      <c r="R59" s="34">
        <f t="shared" si="28"/>
        <v>2141.35</v>
      </c>
    </row>
    <row r="60" spans="1:18" ht="12.75" hidden="1" outlineLevel="1">
      <c r="A60" s="25" t="s">
        <v>18</v>
      </c>
      <c r="B60" s="62">
        <v>191.04</v>
      </c>
      <c r="C60" s="62">
        <v>232.13</v>
      </c>
      <c r="D60" s="62">
        <v>215.96</v>
      </c>
      <c r="E60" s="35">
        <f t="shared" si="30"/>
        <v>639.13</v>
      </c>
      <c r="F60" s="83">
        <v>200.97</v>
      </c>
      <c r="G60" s="83">
        <v>95.78</v>
      </c>
      <c r="H60" s="62">
        <v>17.77</v>
      </c>
      <c r="I60" s="35">
        <f t="shared" si="31"/>
        <v>314.52</v>
      </c>
      <c r="J60" s="62">
        <v>98.65</v>
      </c>
      <c r="K60" s="62">
        <v>98.73</v>
      </c>
      <c r="L60" s="62">
        <v>108.82</v>
      </c>
      <c r="M60" s="35">
        <f t="shared" si="32"/>
        <v>306.2</v>
      </c>
      <c r="N60" s="62">
        <v>54.28</v>
      </c>
      <c r="O60" s="62">
        <v>112.18</v>
      </c>
      <c r="P60" s="62">
        <v>946</v>
      </c>
      <c r="Q60" s="35">
        <f t="shared" si="33"/>
        <v>1112.46</v>
      </c>
      <c r="R60" s="34">
        <f t="shared" si="28"/>
        <v>2372.31</v>
      </c>
    </row>
    <row r="61" spans="1:18" ht="12.75" hidden="1" outlineLevel="1">
      <c r="A61" s="23" t="s">
        <v>19</v>
      </c>
      <c r="B61" s="63">
        <v>0.93</v>
      </c>
      <c r="C61" s="63"/>
      <c r="D61" s="63">
        <v>1.86</v>
      </c>
      <c r="E61" s="35">
        <f t="shared" si="30"/>
        <v>2.79</v>
      </c>
      <c r="F61" s="20"/>
      <c r="G61" s="20"/>
      <c r="H61" s="37"/>
      <c r="I61" s="35">
        <f t="shared" si="31"/>
        <v>0</v>
      </c>
      <c r="J61" s="37">
        <v>0.93</v>
      </c>
      <c r="K61" s="37"/>
      <c r="L61" s="37"/>
      <c r="M61" s="35">
        <f t="shared" si="32"/>
        <v>0.93</v>
      </c>
      <c r="N61" s="37">
        <v>0.93</v>
      </c>
      <c r="O61" s="37"/>
      <c r="P61" s="38"/>
      <c r="Q61" s="35">
        <f t="shared" si="33"/>
        <v>0.93</v>
      </c>
      <c r="R61" s="34">
        <f t="shared" si="28"/>
        <v>4.65</v>
      </c>
    </row>
    <row r="62" spans="1:18" ht="12.75" hidden="1" outlineLevel="1">
      <c r="A62" s="23" t="s">
        <v>20</v>
      </c>
      <c r="B62" s="63">
        <v>128.5</v>
      </c>
      <c r="C62" s="63">
        <v>141</v>
      </c>
      <c r="D62" s="63">
        <v>251</v>
      </c>
      <c r="E62" s="35">
        <f t="shared" si="30"/>
        <v>520.5</v>
      </c>
      <c r="F62" s="83">
        <v>324.5</v>
      </c>
      <c r="G62" s="83">
        <v>124</v>
      </c>
      <c r="H62" s="37">
        <v>57</v>
      </c>
      <c r="I62" s="35">
        <f t="shared" si="31"/>
        <v>505.5</v>
      </c>
      <c r="J62" s="37">
        <v>99</v>
      </c>
      <c r="K62" s="37">
        <v>86.5</v>
      </c>
      <c r="L62" s="37">
        <v>121</v>
      </c>
      <c r="M62" s="35">
        <f t="shared" si="32"/>
        <v>306.5</v>
      </c>
      <c r="N62" s="37">
        <v>179.5</v>
      </c>
      <c r="O62" s="37">
        <v>100</v>
      </c>
      <c r="P62" s="38">
        <v>89</v>
      </c>
      <c r="Q62" s="35">
        <f t="shared" si="33"/>
        <v>368.5</v>
      </c>
      <c r="R62" s="34">
        <f t="shared" si="28"/>
        <v>1701</v>
      </c>
    </row>
    <row r="63" spans="1:18" ht="12.75" hidden="1" outlineLevel="1">
      <c r="A63" s="23" t="s">
        <v>72</v>
      </c>
      <c r="B63" s="63">
        <v>0.12</v>
      </c>
      <c r="C63" s="63">
        <f>0.54+247.47</f>
        <v>248.01</v>
      </c>
      <c r="D63" s="63">
        <f>0.24+228.26</f>
        <v>228.5</v>
      </c>
      <c r="E63" s="35">
        <f t="shared" si="30"/>
        <v>476.63</v>
      </c>
      <c r="F63" s="83">
        <v>0.24</v>
      </c>
      <c r="G63" s="83">
        <v>0.54</v>
      </c>
      <c r="H63" s="37">
        <v>0.06</v>
      </c>
      <c r="I63" s="35">
        <f t="shared" si="31"/>
        <v>0.8400000000000001</v>
      </c>
      <c r="J63" s="37">
        <v>106.5</v>
      </c>
      <c r="K63" s="37">
        <v>0.18</v>
      </c>
      <c r="L63" s="37">
        <v>0.06</v>
      </c>
      <c r="M63" s="35">
        <f t="shared" si="32"/>
        <v>106.74000000000001</v>
      </c>
      <c r="N63" s="37"/>
      <c r="O63" s="37">
        <v>0.18</v>
      </c>
      <c r="P63" s="38">
        <v>0.48</v>
      </c>
      <c r="Q63" s="35"/>
      <c r="R63" s="34"/>
    </row>
    <row r="64" spans="1:18" ht="12.75" hidden="1" outlineLevel="1">
      <c r="A64" s="23" t="s">
        <v>21</v>
      </c>
      <c r="B64" s="63"/>
      <c r="C64" s="63"/>
      <c r="D64" s="63"/>
      <c r="E64" s="35">
        <f t="shared" si="30"/>
        <v>0</v>
      </c>
      <c r="F64" s="20"/>
      <c r="G64" s="20"/>
      <c r="H64" s="37"/>
      <c r="I64" s="35">
        <f>SUM(F64:H64)</f>
        <v>0</v>
      </c>
      <c r="J64" s="37"/>
      <c r="K64" s="37"/>
      <c r="L64" s="37"/>
      <c r="M64" s="35">
        <f>SUM(J64:L64)</f>
        <v>0</v>
      </c>
      <c r="N64" s="37"/>
      <c r="O64" s="37"/>
      <c r="P64" s="38"/>
      <c r="Q64" s="35">
        <f>SUM(N64:P64)</f>
        <v>0</v>
      </c>
      <c r="R64" s="34">
        <f>Q64+M64+I64+E64</f>
        <v>0</v>
      </c>
    </row>
    <row r="65" spans="1:18" ht="12.75" hidden="1" outlineLevel="1">
      <c r="A65" s="23" t="s">
        <v>22</v>
      </c>
      <c r="B65" s="63">
        <v>29.82</v>
      </c>
      <c r="C65" s="62">
        <v>59.64</v>
      </c>
      <c r="D65" s="63">
        <v>97.98</v>
      </c>
      <c r="E65" s="35">
        <f t="shared" si="30"/>
        <v>187.44</v>
      </c>
      <c r="F65" s="83">
        <v>85.2</v>
      </c>
      <c r="G65" s="83">
        <v>76.68</v>
      </c>
      <c r="H65" s="37">
        <v>132.06</v>
      </c>
      <c r="I65" s="35">
        <f>SUM(F65:H65)</f>
        <v>293.94</v>
      </c>
      <c r="J65" s="37"/>
      <c r="K65" s="37">
        <v>149.1</v>
      </c>
      <c r="L65" s="37">
        <v>85.2</v>
      </c>
      <c r="M65" s="35">
        <f>SUM(J65:L65)</f>
        <v>234.3</v>
      </c>
      <c r="N65" s="37">
        <v>161.88</v>
      </c>
      <c r="O65" s="37">
        <v>106.5</v>
      </c>
      <c r="P65" s="38">
        <v>170.4</v>
      </c>
      <c r="Q65" s="35">
        <f>SUM(N65:P65)</f>
        <v>438.78</v>
      </c>
      <c r="R65" s="34">
        <f>Q65+M65+I65+E65</f>
        <v>1154.46</v>
      </c>
    </row>
    <row r="66" spans="1:18" ht="12.75" hidden="1" outlineLevel="1">
      <c r="A66" s="23" t="s">
        <v>61</v>
      </c>
      <c r="B66" s="62"/>
      <c r="C66" s="20"/>
      <c r="D66" s="62"/>
      <c r="E66" s="35">
        <f t="shared" si="30"/>
        <v>0</v>
      </c>
      <c r="F66" s="20"/>
      <c r="G66" s="20"/>
      <c r="H66" s="38"/>
      <c r="I66" s="35">
        <f>SUM(F66:H66)</f>
        <v>0</v>
      </c>
      <c r="J66" s="38"/>
      <c r="K66" s="38"/>
      <c r="L66" s="38"/>
      <c r="M66" s="35">
        <f>SUM(J66:L66)</f>
        <v>0</v>
      </c>
      <c r="N66" s="38"/>
      <c r="O66" s="38"/>
      <c r="P66" s="38"/>
      <c r="Q66" s="35">
        <f>SUM(N66:P66)</f>
        <v>0</v>
      </c>
      <c r="R66" s="34">
        <f>Q66+M66+I66+E66</f>
        <v>0</v>
      </c>
    </row>
    <row r="67" spans="1:25" ht="12.75" hidden="1" outlineLevel="1">
      <c r="A67" s="89" t="s">
        <v>49</v>
      </c>
      <c r="B67" s="33">
        <f aca="true" t="shared" si="34" ref="B67:Y67">SUM(B57:B66)</f>
        <v>1420.76</v>
      </c>
      <c r="C67" s="33">
        <f t="shared" si="34"/>
        <v>1778.35</v>
      </c>
      <c r="D67" s="33">
        <f t="shared" si="34"/>
        <v>1857.74</v>
      </c>
      <c r="E67" s="33">
        <f t="shared" si="34"/>
        <v>5056.85</v>
      </c>
      <c r="F67" s="33">
        <f t="shared" si="34"/>
        <v>1634.42</v>
      </c>
      <c r="G67" s="33">
        <f t="shared" si="34"/>
        <v>1327.36</v>
      </c>
      <c r="H67" s="33">
        <f t="shared" si="34"/>
        <v>1206.7399999999998</v>
      </c>
      <c r="I67" s="33">
        <f t="shared" si="34"/>
        <v>4168.52</v>
      </c>
      <c r="J67" s="33">
        <f t="shared" si="34"/>
        <v>1350.1000000000001</v>
      </c>
      <c r="K67" s="33">
        <f t="shared" si="34"/>
        <v>1385.8700000000001</v>
      </c>
      <c r="L67" s="33">
        <f t="shared" si="34"/>
        <v>1560.26</v>
      </c>
      <c r="M67" s="33">
        <f t="shared" si="34"/>
        <v>4296.23</v>
      </c>
      <c r="N67" s="33">
        <f t="shared" si="34"/>
        <v>1696.25</v>
      </c>
      <c r="O67" s="33">
        <f t="shared" si="34"/>
        <v>1459.14</v>
      </c>
      <c r="P67" s="33">
        <f t="shared" si="34"/>
        <v>2270.41</v>
      </c>
      <c r="Q67" s="33">
        <f t="shared" si="34"/>
        <v>5425.14</v>
      </c>
      <c r="R67" s="90">
        <f t="shared" si="34"/>
        <v>18362.53</v>
      </c>
      <c r="S67" s="33">
        <f t="shared" si="34"/>
        <v>0</v>
      </c>
      <c r="T67" s="33">
        <f t="shared" si="34"/>
        <v>0</v>
      </c>
      <c r="U67" s="33">
        <f t="shared" si="34"/>
        <v>0</v>
      </c>
      <c r="V67" s="33">
        <f t="shared" si="34"/>
        <v>0</v>
      </c>
      <c r="W67" s="33">
        <f t="shared" si="34"/>
        <v>0</v>
      </c>
      <c r="X67" s="33">
        <f t="shared" si="34"/>
        <v>0</v>
      </c>
      <c r="Y67" s="33">
        <f t="shared" si="34"/>
        <v>0</v>
      </c>
    </row>
    <row r="68" spans="1:21" ht="13.5" collapsed="1" thickBot="1">
      <c r="A68" s="84" t="s">
        <v>48</v>
      </c>
      <c r="B68" s="49">
        <f aca="true" t="shared" si="35" ref="B68:R68">B67+B56</f>
        <v>1420.76</v>
      </c>
      <c r="C68" s="49">
        <f t="shared" si="35"/>
        <v>1778.35</v>
      </c>
      <c r="D68" s="49">
        <f t="shared" si="35"/>
        <v>4089.16</v>
      </c>
      <c r="E68" s="48">
        <f t="shared" si="35"/>
        <v>7288.27</v>
      </c>
      <c r="F68" s="49">
        <f>F67+F56</f>
        <v>2656.32</v>
      </c>
      <c r="G68" s="49">
        <f>G67+G56</f>
        <v>2663.0299999999997</v>
      </c>
      <c r="H68" s="49">
        <f>H67+H56</f>
        <v>1206.7399999999998</v>
      </c>
      <c r="I68" s="48">
        <f>I67+I56</f>
        <v>6526.09</v>
      </c>
      <c r="J68" s="49">
        <f t="shared" si="35"/>
        <v>1350.1000000000001</v>
      </c>
      <c r="K68" s="49">
        <f t="shared" si="35"/>
        <v>1385.8700000000001</v>
      </c>
      <c r="L68" s="49">
        <f t="shared" si="35"/>
        <v>1560.26</v>
      </c>
      <c r="M68" s="48">
        <f t="shared" si="35"/>
        <v>4296.23</v>
      </c>
      <c r="N68" s="49">
        <f t="shared" si="35"/>
        <v>1696.25</v>
      </c>
      <c r="O68" s="49">
        <f t="shared" si="35"/>
        <v>1459.14</v>
      </c>
      <c r="P68" s="49">
        <f t="shared" si="35"/>
        <v>7721.0199999999995</v>
      </c>
      <c r="Q68" s="48">
        <f t="shared" si="35"/>
        <v>10875.75</v>
      </c>
      <c r="R68" s="50">
        <f t="shared" si="35"/>
        <v>28402.129999999997</v>
      </c>
      <c r="S68" s="65">
        <f>((B57/0.12)+(C57/0.12)+(D57/0.12)+(F57/0.12)+(G57/0.12)+(H57/0.12)+(J57/0.12)+(K57/0.12)+(L57/0.12)+(N57/0.12)+(O57/0.12)+(P57/0.12))/12</f>
        <v>6531.083333333333</v>
      </c>
      <c r="T68" s="54">
        <f>IF(R68&gt;0,R68/S68,0)</f>
        <v>4.348762456458219</v>
      </c>
      <c r="U68" s="66">
        <f>IF(R59&gt;0,R59/R68,0)</f>
        <v>0.07539399333782361</v>
      </c>
    </row>
    <row r="69" spans="1:18" ht="12.75">
      <c r="A69" s="85" t="s">
        <v>29</v>
      </c>
      <c r="B69" s="86"/>
      <c r="C69" s="86"/>
      <c r="D69" s="86"/>
      <c r="E69" s="87"/>
      <c r="F69" s="86"/>
      <c r="G69" s="86"/>
      <c r="H69" s="86"/>
      <c r="I69" s="87"/>
      <c r="J69" s="86"/>
      <c r="K69" s="86"/>
      <c r="L69" s="86"/>
      <c r="M69" s="87"/>
      <c r="N69" s="86"/>
      <c r="O69" s="86"/>
      <c r="P69" s="86"/>
      <c r="Q69" s="87"/>
      <c r="R69" s="88"/>
    </row>
    <row r="70" spans="1:18" ht="12.75" hidden="1" outlineLevel="1">
      <c r="A70" s="19" t="s">
        <v>40</v>
      </c>
      <c r="B70" s="20"/>
      <c r="C70" s="20"/>
      <c r="D70" s="20"/>
      <c r="E70" s="67">
        <f aca="true" t="shared" si="36" ref="E70:E77">SUM(B70:D70)</f>
        <v>0</v>
      </c>
      <c r="F70" s="20"/>
      <c r="G70" s="20"/>
      <c r="H70" s="20"/>
      <c r="I70" s="67">
        <f aca="true" t="shared" si="37" ref="I70:I77">SUM(F70:H70)</f>
        <v>0</v>
      </c>
      <c r="J70" s="20"/>
      <c r="K70" s="20"/>
      <c r="L70" s="20"/>
      <c r="M70" s="67">
        <f aca="true" t="shared" si="38" ref="M70:M77">SUM(J70:L70)</f>
        <v>0</v>
      </c>
      <c r="N70" s="20"/>
      <c r="O70" s="20"/>
      <c r="P70" s="20"/>
      <c r="Q70" s="67">
        <f aca="true" t="shared" si="39" ref="Q70:Q77">SUM(N70:P70)</f>
        <v>0</v>
      </c>
      <c r="R70" s="21">
        <f aca="true" t="shared" si="40" ref="R70:R84">Q70+M70+I70+E70</f>
        <v>0</v>
      </c>
    </row>
    <row r="71" spans="1:18" ht="12.75" hidden="1" outlineLevel="1">
      <c r="A71" s="19" t="s">
        <v>41</v>
      </c>
      <c r="B71" s="20"/>
      <c r="C71" s="20"/>
      <c r="D71" s="20"/>
      <c r="E71" s="67">
        <f t="shared" si="36"/>
        <v>0</v>
      </c>
      <c r="F71" s="20"/>
      <c r="G71" s="20"/>
      <c r="H71" s="20"/>
      <c r="I71" s="67">
        <f t="shared" si="37"/>
        <v>0</v>
      </c>
      <c r="J71" s="20"/>
      <c r="K71" s="20"/>
      <c r="L71" s="20"/>
      <c r="M71" s="67">
        <f t="shared" si="38"/>
        <v>0</v>
      </c>
      <c r="N71" s="20"/>
      <c r="O71" s="20"/>
      <c r="P71" s="20"/>
      <c r="Q71" s="67">
        <f t="shared" si="39"/>
        <v>0</v>
      </c>
      <c r="R71" s="21">
        <f t="shared" si="40"/>
        <v>0</v>
      </c>
    </row>
    <row r="72" spans="1:18" ht="12.75" hidden="1" outlineLevel="1">
      <c r="A72" s="19" t="s">
        <v>42</v>
      </c>
      <c r="B72" s="20"/>
      <c r="C72" s="20"/>
      <c r="D72" s="20"/>
      <c r="E72" s="67">
        <f t="shared" si="36"/>
        <v>0</v>
      </c>
      <c r="F72" s="20"/>
      <c r="G72" s="20"/>
      <c r="H72" s="20"/>
      <c r="I72" s="67">
        <f t="shared" si="37"/>
        <v>0</v>
      </c>
      <c r="J72" s="20"/>
      <c r="K72" s="20"/>
      <c r="L72" s="20"/>
      <c r="M72" s="67">
        <f t="shared" si="38"/>
        <v>0</v>
      </c>
      <c r="N72" s="20"/>
      <c r="O72" s="20"/>
      <c r="P72" s="20"/>
      <c r="Q72" s="67">
        <f t="shared" si="39"/>
        <v>0</v>
      </c>
      <c r="R72" s="21">
        <f t="shared" si="40"/>
        <v>0</v>
      </c>
    </row>
    <row r="73" spans="1:18" ht="12.75" hidden="1" outlineLevel="1">
      <c r="A73" s="19" t="s">
        <v>43</v>
      </c>
      <c r="B73" s="20"/>
      <c r="C73" s="20"/>
      <c r="D73" s="20"/>
      <c r="E73" s="67">
        <f t="shared" si="36"/>
        <v>0</v>
      </c>
      <c r="F73" s="20"/>
      <c r="G73" s="20"/>
      <c r="H73" s="20"/>
      <c r="I73" s="67">
        <f t="shared" si="37"/>
        <v>0</v>
      </c>
      <c r="J73" s="20"/>
      <c r="K73" s="20"/>
      <c r="L73" s="20"/>
      <c r="M73" s="67">
        <f t="shared" si="38"/>
        <v>0</v>
      </c>
      <c r="N73" s="20"/>
      <c r="O73" s="20"/>
      <c r="P73" s="20"/>
      <c r="Q73" s="67">
        <f t="shared" si="39"/>
        <v>0</v>
      </c>
      <c r="R73" s="21">
        <f t="shared" si="40"/>
        <v>0</v>
      </c>
    </row>
    <row r="74" spans="1:18" ht="12.75" hidden="1" outlineLevel="1">
      <c r="A74" s="19" t="s">
        <v>44</v>
      </c>
      <c r="B74" s="20"/>
      <c r="C74" s="20"/>
      <c r="D74" s="20"/>
      <c r="E74" s="67">
        <f t="shared" si="36"/>
        <v>0</v>
      </c>
      <c r="F74" s="20"/>
      <c r="G74" s="20"/>
      <c r="H74" s="20"/>
      <c r="I74" s="67">
        <f t="shared" si="37"/>
        <v>0</v>
      </c>
      <c r="J74" s="20"/>
      <c r="K74" s="20"/>
      <c r="L74" s="20"/>
      <c r="M74" s="67">
        <f t="shared" si="38"/>
        <v>0</v>
      </c>
      <c r="N74" s="20"/>
      <c r="O74" s="20"/>
      <c r="P74" s="20"/>
      <c r="Q74" s="67">
        <f t="shared" si="39"/>
        <v>0</v>
      </c>
      <c r="R74" s="21">
        <f t="shared" si="40"/>
        <v>0</v>
      </c>
    </row>
    <row r="75" spans="1:18" ht="12.75" hidden="1" outlineLevel="1">
      <c r="A75" s="19" t="s">
        <v>45</v>
      </c>
      <c r="B75" s="62"/>
      <c r="C75" s="62"/>
      <c r="D75" s="62">
        <v>358.06</v>
      </c>
      <c r="E75" s="35">
        <f t="shared" si="36"/>
        <v>358.06</v>
      </c>
      <c r="F75" s="62">
        <v>163.98</v>
      </c>
      <c r="G75" s="62">
        <f>175.46+38.87</f>
        <v>214.33</v>
      </c>
      <c r="H75" s="62"/>
      <c r="I75" s="35">
        <f t="shared" si="37"/>
        <v>378.31</v>
      </c>
      <c r="J75" s="62"/>
      <c r="K75" s="62"/>
      <c r="L75" s="62"/>
      <c r="M75" s="35">
        <f t="shared" si="38"/>
        <v>0</v>
      </c>
      <c r="N75" s="62"/>
      <c r="O75" s="62"/>
      <c r="P75" s="62">
        <v>822.75</v>
      </c>
      <c r="Q75" s="35">
        <f t="shared" si="39"/>
        <v>822.75</v>
      </c>
      <c r="R75" s="34">
        <f t="shared" si="40"/>
        <v>1559.12</v>
      </c>
    </row>
    <row r="76" spans="1:18" ht="12.75" hidden="1" outlineLevel="1">
      <c r="A76" s="19" t="s">
        <v>46</v>
      </c>
      <c r="B76" s="20"/>
      <c r="C76" s="20"/>
      <c r="D76" s="20"/>
      <c r="E76" s="67">
        <f t="shared" si="36"/>
        <v>0</v>
      </c>
      <c r="F76" s="20"/>
      <c r="G76" s="20"/>
      <c r="H76" s="20"/>
      <c r="I76" s="67">
        <f t="shared" si="37"/>
        <v>0</v>
      </c>
      <c r="J76" s="20"/>
      <c r="K76" s="20"/>
      <c r="L76" s="20"/>
      <c r="M76" s="67">
        <f t="shared" si="38"/>
        <v>0</v>
      </c>
      <c r="N76" s="20"/>
      <c r="O76" s="20"/>
      <c r="P76" s="20"/>
      <c r="Q76" s="67">
        <f t="shared" si="39"/>
        <v>0</v>
      </c>
      <c r="R76" s="21">
        <f t="shared" si="40"/>
        <v>0</v>
      </c>
    </row>
    <row r="77" spans="1:18" ht="12.75" hidden="1" outlineLevel="1">
      <c r="A77" s="19" t="s">
        <v>58</v>
      </c>
      <c r="B77" s="62"/>
      <c r="C77" s="62"/>
      <c r="D77" s="62"/>
      <c r="E77" s="59">
        <f t="shared" si="36"/>
        <v>0</v>
      </c>
      <c r="F77" s="52"/>
      <c r="G77" s="52"/>
      <c r="H77" s="52"/>
      <c r="I77" s="59">
        <f t="shared" si="37"/>
        <v>0</v>
      </c>
      <c r="J77" s="52"/>
      <c r="K77" s="52"/>
      <c r="L77" s="52"/>
      <c r="M77" s="59">
        <f t="shared" si="38"/>
        <v>0</v>
      </c>
      <c r="N77" s="52"/>
      <c r="O77" s="52"/>
      <c r="P77" s="52"/>
      <c r="Q77" s="59">
        <f t="shared" si="39"/>
        <v>0</v>
      </c>
      <c r="R77" s="60">
        <f t="shared" si="40"/>
        <v>0</v>
      </c>
    </row>
    <row r="78" spans="1:18" ht="12.75" hidden="1" outlineLevel="1">
      <c r="A78" s="22" t="s">
        <v>47</v>
      </c>
      <c r="B78" s="33">
        <f aca="true" t="shared" si="41" ref="B78:Q78">SUM(B70:B77)</f>
        <v>0</v>
      </c>
      <c r="C78" s="33">
        <f t="shared" si="41"/>
        <v>0</v>
      </c>
      <c r="D78" s="33">
        <f t="shared" si="41"/>
        <v>358.06</v>
      </c>
      <c r="E78" s="33">
        <f t="shared" si="41"/>
        <v>358.06</v>
      </c>
      <c r="F78" s="33">
        <f t="shared" si="41"/>
        <v>163.98</v>
      </c>
      <c r="G78" s="33">
        <f t="shared" si="41"/>
        <v>214.33</v>
      </c>
      <c r="H78" s="33">
        <f t="shared" si="41"/>
        <v>0</v>
      </c>
      <c r="I78" s="33">
        <f t="shared" si="41"/>
        <v>378.31</v>
      </c>
      <c r="J78" s="33">
        <f t="shared" si="41"/>
        <v>0</v>
      </c>
      <c r="K78" s="33">
        <f t="shared" si="41"/>
        <v>0</v>
      </c>
      <c r="L78" s="33">
        <f t="shared" si="41"/>
        <v>0</v>
      </c>
      <c r="M78" s="33">
        <f t="shared" si="41"/>
        <v>0</v>
      </c>
      <c r="N78" s="33">
        <f t="shared" si="41"/>
        <v>0</v>
      </c>
      <c r="O78" s="33">
        <f t="shared" si="41"/>
        <v>0</v>
      </c>
      <c r="P78" s="33">
        <f t="shared" si="41"/>
        <v>822.75</v>
      </c>
      <c r="Q78" s="33">
        <f t="shared" si="41"/>
        <v>822.75</v>
      </c>
      <c r="R78" s="34">
        <f t="shared" si="40"/>
        <v>1559.12</v>
      </c>
    </row>
    <row r="79" spans="1:18" ht="12.75" hidden="1" outlineLevel="1">
      <c r="A79" s="23" t="s">
        <v>15</v>
      </c>
      <c r="B79" s="63">
        <v>126</v>
      </c>
      <c r="C79" s="63">
        <v>120</v>
      </c>
      <c r="D79" s="63">
        <v>119.52</v>
      </c>
      <c r="E79" s="35">
        <f aca="true" t="shared" si="42" ref="E79:E84">SUM(B79:D79)</f>
        <v>365.52</v>
      </c>
      <c r="F79" s="37">
        <v>117.96</v>
      </c>
      <c r="G79" s="37">
        <v>117.36</v>
      </c>
      <c r="H79" s="37">
        <v>116.76</v>
      </c>
      <c r="I79" s="35">
        <f aca="true" t="shared" si="43" ref="I79:I84">SUM(F79:H79)</f>
        <v>352.08</v>
      </c>
      <c r="J79" s="37">
        <v>115.92</v>
      </c>
      <c r="K79" s="37">
        <v>114.84</v>
      </c>
      <c r="L79" s="37">
        <v>117.24</v>
      </c>
      <c r="M79" s="35">
        <f aca="true" t="shared" si="44" ref="M79:M84">SUM(J79:L79)</f>
        <v>348</v>
      </c>
      <c r="N79" s="37">
        <v>116.16</v>
      </c>
      <c r="O79" s="37">
        <v>115.68</v>
      </c>
      <c r="P79" s="38">
        <v>113.4</v>
      </c>
      <c r="Q79" s="35">
        <f aca="true" t="shared" si="45" ref="Q79:Q84">SUM(N79:P79)</f>
        <v>345.24</v>
      </c>
      <c r="R79" s="34">
        <f t="shared" si="40"/>
        <v>1410.84</v>
      </c>
    </row>
    <row r="80" spans="1:18" ht="12.75" hidden="1" outlineLevel="1">
      <c r="A80" s="23" t="s">
        <v>16</v>
      </c>
      <c r="B80" s="62">
        <v>19</v>
      </c>
      <c r="C80" s="62">
        <v>19</v>
      </c>
      <c r="D80" s="62">
        <v>19</v>
      </c>
      <c r="E80" s="35">
        <f t="shared" si="42"/>
        <v>57</v>
      </c>
      <c r="F80" s="62">
        <v>19</v>
      </c>
      <c r="G80" s="62">
        <v>19</v>
      </c>
      <c r="H80" s="62">
        <v>19</v>
      </c>
      <c r="I80" s="35">
        <f t="shared" si="43"/>
        <v>57</v>
      </c>
      <c r="J80" s="62">
        <v>19</v>
      </c>
      <c r="K80" s="62">
        <v>19</v>
      </c>
      <c r="L80" s="62">
        <v>19</v>
      </c>
      <c r="M80" s="35">
        <f t="shared" si="44"/>
        <v>57</v>
      </c>
      <c r="N80" s="62">
        <v>19</v>
      </c>
      <c r="O80" s="62">
        <v>19</v>
      </c>
      <c r="P80" s="62">
        <v>19</v>
      </c>
      <c r="Q80" s="35">
        <f t="shared" si="45"/>
        <v>57</v>
      </c>
      <c r="R80" s="34">
        <f t="shared" si="40"/>
        <v>228</v>
      </c>
    </row>
    <row r="81" spans="1:18" ht="12.75" hidden="1" outlineLevel="1">
      <c r="A81" s="23" t="s">
        <v>17</v>
      </c>
      <c r="B81" s="63">
        <v>28.25</v>
      </c>
      <c r="C81" s="63">
        <v>28.25</v>
      </c>
      <c r="D81" s="63">
        <v>31.64</v>
      </c>
      <c r="E81" s="35">
        <f t="shared" si="42"/>
        <v>88.14</v>
      </c>
      <c r="F81" s="37">
        <v>10.17</v>
      </c>
      <c r="G81" s="37">
        <v>14.69</v>
      </c>
      <c r="H81" s="37">
        <v>7.91</v>
      </c>
      <c r="I81" s="35">
        <f t="shared" si="43"/>
        <v>32.769999999999996</v>
      </c>
      <c r="J81" s="37">
        <v>11.3</v>
      </c>
      <c r="K81" s="37">
        <v>15.82</v>
      </c>
      <c r="L81" s="37">
        <v>32.77</v>
      </c>
      <c r="M81" s="35">
        <f t="shared" si="44"/>
        <v>59.89</v>
      </c>
      <c r="N81" s="37">
        <v>18.08</v>
      </c>
      <c r="O81" s="37">
        <v>9.04</v>
      </c>
      <c r="P81" s="38">
        <v>14.69</v>
      </c>
      <c r="Q81" s="35">
        <f t="shared" si="45"/>
        <v>41.809999999999995</v>
      </c>
      <c r="R81" s="34">
        <f t="shared" si="40"/>
        <v>222.60999999999996</v>
      </c>
    </row>
    <row r="82" spans="1:18" ht="12.75" hidden="1" outlineLevel="1">
      <c r="A82" s="25" t="s">
        <v>18</v>
      </c>
      <c r="B82" s="63">
        <v>30.89</v>
      </c>
      <c r="C82" s="63">
        <v>37.53</v>
      </c>
      <c r="D82" s="63">
        <v>34.92</v>
      </c>
      <c r="E82" s="35">
        <f t="shared" si="42"/>
        <v>103.34</v>
      </c>
      <c r="F82" s="37">
        <v>32.5</v>
      </c>
      <c r="G82" s="37">
        <v>15.49</v>
      </c>
      <c r="H82" s="37">
        <v>2.87</v>
      </c>
      <c r="I82" s="35">
        <f t="shared" si="43"/>
        <v>50.86</v>
      </c>
      <c r="J82" s="37">
        <v>15.95</v>
      </c>
      <c r="K82" s="37">
        <v>15.96</v>
      </c>
      <c r="L82" s="37">
        <v>17.6</v>
      </c>
      <c r="M82" s="35">
        <f t="shared" si="44"/>
        <v>49.510000000000005</v>
      </c>
      <c r="N82" s="37">
        <v>8.19</v>
      </c>
      <c r="O82" s="37">
        <v>18.14</v>
      </c>
      <c r="P82" s="38">
        <v>152.97</v>
      </c>
      <c r="Q82" s="35">
        <f t="shared" si="45"/>
        <v>179.3</v>
      </c>
      <c r="R82" s="34">
        <f t="shared" si="40"/>
        <v>383.01</v>
      </c>
    </row>
    <row r="83" spans="1:18" ht="12.75" hidden="1" outlineLevel="1">
      <c r="A83" s="23" t="s">
        <v>19</v>
      </c>
      <c r="B83" s="63">
        <v>0.93</v>
      </c>
      <c r="C83" s="63"/>
      <c r="D83" s="63">
        <v>0.93</v>
      </c>
      <c r="E83" s="35">
        <f t="shared" si="42"/>
        <v>1.86</v>
      </c>
      <c r="F83" s="37">
        <v>3.72</v>
      </c>
      <c r="G83" s="37"/>
      <c r="H83" s="37"/>
      <c r="I83" s="35">
        <f t="shared" si="43"/>
        <v>3.72</v>
      </c>
      <c r="J83" s="37"/>
      <c r="K83" s="37"/>
      <c r="L83" s="37"/>
      <c r="M83" s="35">
        <f t="shared" si="44"/>
        <v>0</v>
      </c>
      <c r="N83" s="37"/>
      <c r="O83" s="37">
        <v>0.93</v>
      </c>
      <c r="P83" s="38"/>
      <c r="Q83" s="35">
        <f t="shared" si="45"/>
        <v>0.93</v>
      </c>
      <c r="R83" s="34">
        <f t="shared" si="40"/>
        <v>6.510000000000001</v>
      </c>
    </row>
    <row r="84" spans="1:18" ht="12.75" hidden="1" outlineLevel="1">
      <c r="A84" s="23" t="s">
        <v>20</v>
      </c>
      <c r="B84" s="63">
        <v>23</v>
      </c>
      <c r="C84" s="63">
        <v>61</v>
      </c>
      <c r="D84" s="63">
        <v>92.5</v>
      </c>
      <c r="E84" s="35">
        <f t="shared" si="42"/>
        <v>176.5</v>
      </c>
      <c r="F84" s="37">
        <v>115.5</v>
      </c>
      <c r="G84" s="37">
        <v>32.5</v>
      </c>
      <c r="H84" s="37">
        <v>50.5</v>
      </c>
      <c r="I84" s="35">
        <f t="shared" si="43"/>
        <v>198.5</v>
      </c>
      <c r="J84" s="37">
        <v>20</v>
      </c>
      <c r="K84" s="37">
        <v>14.5</v>
      </c>
      <c r="L84" s="37">
        <v>14.5</v>
      </c>
      <c r="M84" s="35">
        <f t="shared" si="44"/>
        <v>49</v>
      </c>
      <c r="N84" s="37">
        <v>18</v>
      </c>
      <c r="O84" s="37">
        <v>42</v>
      </c>
      <c r="P84" s="38">
        <v>8</v>
      </c>
      <c r="Q84" s="35">
        <f t="shared" si="45"/>
        <v>68</v>
      </c>
      <c r="R84" s="34">
        <f t="shared" si="40"/>
        <v>492</v>
      </c>
    </row>
    <row r="85" spans="1:18" ht="12.75" hidden="1" outlineLevel="1">
      <c r="A85" s="23" t="s">
        <v>72</v>
      </c>
      <c r="B85" s="63"/>
      <c r="C85" s="63">
        <f>0.06+6.78</f>
        <v>6.84</v>
      </c>
      <c r="D85" s="63">
        <v>24.86</v>
      </c>
      <c r="E85" s="35"/>
      <c r="F85" s="37"/>
      <c r="G85" s="37"/>
      <c r="H85" s="37"/>
      <c r="I85" s="35"/>
      <c r="J85" s="37"/>
      <c r="K85" s="37"/>
      <c r="L85" s="37"/>
      <c r="M85" s="35"/>
      <c r="N85" s="37"/>
      <c r="O85" s="37"/>
      <c r="P85" s="38"/>
      <c r="Q85" s="35"/>
      <c r="R85" s="34"/>
    </row>
    <row r="86" spans="1:18" ht="12.75" hidden="1" outlineLevel="1">
      <c r="A86" s="23" t="s">
        <v>21</v>
      </c>
      <c r="B86" s="63"/>
      <c r="C86" s="63"/>
      <c r="D86" s="63"/>
      <c r="E86" s="35">
        <f>SUM(B86:D86)</f>
        <v>0</v>
      </c>
      <c r="F86" s="37"/>
      <c r="G86" s="37"/>
      <c r="H86" s="37"/>
      <c r="I86" s="35">
        <f>SUM(F86:H86)</f>
        <v>0</v>
      </c>
      <c r="J86" s="37"/>
      <c r="K86" s="37"/>
      <c r="L86" s="37"/>
      <c r="M86" s="35">
        <f>SUM(J86:L86)</f>
        <v>0</v>
      </c>
      <c r="N86" s="37"/>
      <c r="O86" s="37"/>
      <c r="P86" s="38"/>
      <c r="Q86" s="35">
        <f>SUM(N86:P86)</f>
        <v>0</v>
      </c>
      <c r="R86" s="34">
        <f>Q86+M86+I86+E86</f>
        <v>0</v>
      </c>
    </row>
    <row r="87" spans="1:18" ht="12.75" hidden="1" outlineLevel="1">
      <c r="A87" s="23" t="s">
        <v>22</v>
      </c>
      <c r="B87" s="63">
        <v>25.56</v>
      </c>
      <c r="C87" s="63">
        <v>12.78</v>
      </c>
      <c r="D87" s="63">
        <v>80.94</v>
      </c>
      <c r="E87" s="35">
        <f>SUM(B87:D87)</f>
        <v>119.28</v>
      </c>
      <c r="F87" s="37">
        <v>51.12</v>
      </c>
      <c r="G87" s="37">
        <v>25.56</v>
      </c>
      <c r="H87" s="37">
        <v>21.3</v>
      </c>
      <c r="I87" s="35">
        <f>SUM(F87:H87)</f>
        <v>97.97999999999999</v>
      </c>
      <c r="J87" s="37">
        <v>93.72</v>
      </c>
      <c r="K87" s="37">
        <v>4.26</v>
      </c>
      <c r="L87" s="37">
        <v>25.56</v>
      </c>
      <c r="M87" s="35">
        <f>SUM(J87:L87)</f>
        <v>123.54</v>
      </c>
      <c r="N87" s="37">
        <v>46.86</v>
      </c>
      <c r="O87" s="37">
        <v>85.2</v>
      </c>
      <c r="P87" s="38">
        <v>72.42</v>
      </c>
      <c r="Q87" s="35">
        <f>SUM(N87:P87)</f>
        <v>204.48000000000002</v>
      </c>
      <c r="R87" s="34">
        <f>Q87+M87+I87+E87</f>
        <v>545.28</v>
      </c>
    </row>
    <row r="88" spans="1:18" ht="12.75" hidden="1" outlineLevel="1">
      <c r="A88" s="23" t="s">
        <v>61</v>
      </c>
      <c r="B88" s="62"/>
      <c r="C88" s="62"/>
      <c r="D88" s="62"/>
      <c r="E88" s="35">
        <f>SUM(B88:D88)</f>
        <v>0</v>
      </c>
      <c r="F88" s="38"/>
      <c r="G88" s="38"/>
      <c r="H88" s="38"/>
      <c r="I88" s="35">
        <f>SUM(F88:H88)</f>
        <v>0</v>
      </c>
      <c r="J88" s="38"/>
      <c r="K88" s="38"/>
      <c r="L88" s="38"/>
      <c r="M88" s="35">
        <f>SUM(J88:L88)</f>
        <v>0</v>
      </c>
      <c r="N88" s="38"/>
      <c r="O88" s="38"/>
      <c r="P88" s="38"/>
      <c r="Q88" s="35">
        <f>SUM(N88:P88)</f>
        <v>0</v>
      </c>
      <c r="R88" s="34">
        <f>Q88+M88+I88+E88</f>
        <v>0</v>
      </c>
    </row>
    <row r="89" spans="1:25" ht="12.75" hidden="1" outlineLevel="1">
      <c r="A89" s="89" t="s">
        <v>49</v>
      </c>
      <c r="B89" s="33">
        <f aca="true" t="shared" si="46" ref="B89:Y89">SUM(B79:B88)</f>
        <v>253.63</v>
      </c>
      <c r="C89" s="33">
        <f t="shared" si="46"/>
        <v>285.3999999999999</v>
      </c>
      <c r="D89" s="33">
        <f t="shared" si="46"/>
        <v>404.31</v>
      </c>
      <c r="E89" s="33">
        <f t="shared" si="46"/>
        <v>911.64</v>
      </c>
      <c r="F89" s="33">
        <f t="shared" si="46"/>
        <v>349.96999999999997</v>
      </c>
      <c r="G89" s="33">
        <f t="shared" si="46"/>
        <v>224.60000000000002</v>
      </c>
      <c r="H89" s="33">
        <f t="shared" si="46"/>
        <v>218.34</v>
      </c>
      <c r="I89" s="33">
        <f t="shared" si="46"/>
        <v>792.9100000000001</v>
      </c>
      <c r="J89" s="33">
        <f t="shared" si="46"/>
        <v>275.89</v>
      </c>
      <c r="K89" s="33">
        <f t="shared" si="46"/>
        <v>184.38</v>
      </c>
      <c r="L89" s="33">
        <f t="shared" si="46"/>
        <v>226.67000000000002</v>
      </c>
      <c r="M89" s="33">
        <f t="shared" si="46"/>
        <v>686.9399999999999</v>
      </c>
      <c r="N89" s="33">
        <f t="shared" si="46"/>
        <v>226.29000000000002</v>
      </c>
      <c r="O89" s="33">
        <f t="shared" si="46"/>
        <v>289.99</v>
      </c>
      <c r="P89" s="33">
        <f t="shared" si="46"/>
        <v>380.48</v>
      </c>
      <c r="Q89" s="33">
        <f t="shared" si="46"/>
        <v>896.76</v>
      </c>
      <c r="R89" s="90">
        <f t="shared" si="46"/>
        <v>3288.25</v>
      </c>
      <c r="S89" s="33">
        <f t="shared" si="46"/>
        <v>0</v>
      </c>
      <c r="T89" s="33">
        <f t="shared" si="46"/>
        <v>0</v>
      </c>
      <c r="U89" s="33">
        <f t="shared" si="46"/>
        <v>0</v>
      </c>
      <c r="V89" s="33">
        <f t="shared" si="46"/>
        <v>0</v>
      </c>
      <c r="W89" s="33">
        <f t="shared" si="46"/>
        <v>0</v>
      </c>
      <c r="X89" s="33">
        <f t="shared" si="46"/>
        <v>0</v>
      </c>
      <c r="Y89" s="33">
        <f t="shared" si="46"/>
        <v>0</v>
      </c>
    </row>
    <row r="90" spans="1:21" ht="13.5" collapsed="1" thickBot="1">
      <c r="A90" s="84" t="s">
        <v>48</v>
      </c>
      <c r="B90" s="49">
        <f aca="true" t="shared" si="47" ref="B90:R90">B89+B78</f>
        <v>253.63</v>
      </c>
      <c r="C90" s="49">
        <f t="shared" si="47"/>
        <v>285.3999999999999</v>
      </c>
      <c r="D90" s="49">
        <f t="shared" si="47"/>
        <v>762.37</v>
      </c>
      <c r="E90" s="48">
        <f t="shared" si="47"/>
        <v>1269.7</v>
      </c>
      <c r="F90" s="49">
        <f>F89+F78</f>
        <v>513.9499999999999</v>
      </c>
      <c r="G90" s="49">
        <f>G89+G78</f>
        <v>438.93000000000006</v>
      </c>
      <c r="H90" s="49">
        <f t="shared" si="47"/>
        <v>218.34</v>
      </c>
      <c r="I90" s="48">
        <f t="shared" si="47"/>
        <v>1171.22</v>
      </c>
      <c r="J90" s="49">
        <f t="shared" si="47"/>
        <v>275.89</v>
      </c>
      <c r="K90" s="49">
        <f t="shared" si="47"/>
        <v>184.38</v>
      </c>
      <c r="L90" s="49">
        <f t="shared" si="47"/>
        <v>226.67000000000002</v>
      </c>
      <c r="M90" s="48">
        <f t="shared" si="47"/>
        <v>686.9399999999999</v>
      </c>
      <c r="N90" s="49">
        <f t="shared" si="47"/>
        <v>226.29000000000002</v>
      </c>
      <c r="O90" s="49">
        <f t="shared" si="47"/>
        <v>289.99</v>
      </c>
      <c r="P90" s="49">
        <f t="shared" si="47"/>
        <v>1203.23</v>
      </c>
      <c r="Q90" s="48">
        <f t="shared" si="47"/>
        <v>1719.51</v>
      </c>
      <c r="R90" s="50">
        <f t="shared" si="47"/>
        <v>4847.37</v>
      </c>
      <c r="S90" s="65">
        <f>((B79/0.12)+(C79/0.12)+(D79/0.12)+(F79/0.12)+(G79/0.12)+(H79/0.12)+(J79/0.12)+(K79/0.12)+(L79/0.12)+(N79/0.12)+(O79/0.12)+(P79/0.12))/12</f>
        <v>979.75</v>
      </c>
      <c r="T90" s="54">
        <f>IF(R90&gt;0,R90/S90,0)</f>
        <v>4.947558050523092</v>
      </c>
      <c r="U90" s="66">
        <f>IF(R81&gt;0,R81/R90,0)</f>
        <v>0.04592387212034566</v>
      </c>
    </row>
    <row r="91" spans="1:18" ht="12.75">
      <c r="A91" s="85" t="s">
        <v>30</v>
      </c>
      <c r="B91" s="86"/>
      <c r="C91" s="86"/>
      <c r="D91" s="86"/>
      <c r="E91" s="87"/>
      <c r="F91" s="86"/>
      <c r="G91" s="86"/>
      <c r="H91" s="86"/>
      <c r="I91" s="87"/>
      <c r="J91" s="86"/>
      <c r="K91" s="86"/>
      <c r="L91" s="86"/>
      <c r="M91" s="87"/>
      <c r="N91" s="86"/>
      <c r="O91" s="86"/>
      <c r="P91" s="86"/>
      <c r="Q91" s="87"/>
      <c r="R91" s="88"/>
    </row>
    <row r="92" spans="1:18" ht="12.75" hidden="1" outlineLevel="1">
      <c r="A92" s="19" t="s">
        <v>40</v>
      </c>
      <c r="B92" s="20"/>
      <c r="C92" s="20"/>
      <c r="D92" s="20"/>
      <c r="E92" s="67">
        <f aca="true" t="shared" si="48" ref="E92:E99">SUM(B92:D92)</f>
        <v>0</v>
      </c>
      <c r="F92" s="20"/>
      <c r="G92" s="20"/>
      <c r="H92" s="20"/>
      <c r="I92" s="67">
        <f aca="true" t="shared" si="49" ref="I92:I99">SUM(F92:H92)</f>
        <v>0</v>
      </c>
      <c r="J92" s="20"/>
      <c r="K92" s="20"/>
      <c r="L92" s="20"/>
      <c r="M92" s="67">
        <f aca="true" t="shared" si="50" ref="M92:M99">SUM(J92:L92)</f>
        <v>0</v>
      </c>
      <c r="N92" s="20"/>
      <c r="O92" s="20"/>
      <c r="P92" s="20"/>
      <c r="Q92" s="67">
        <f aca="true" t="shared" si="51" ref="Q92:Q99">SUM(N92:P92)</f>
        <v>0</v>
      </c>
      <c r="R92" s="21">
        <f aca="true" t="shared" si="52" ref="R92:R106">Q92+M92+I92+E92</f>
        <v>0</v>
      </c>
    </row>
    <row r="93" spans="1:18" ht="12.75" hidden="1" outlineLevel="1">
      <c r="A93" s="19" t="s">
        <v>41</v>
      </c>
      <c r="B93" s="20"/>
      <c r="C93" s="20"/>
      <c r="D93" s="20"/>
      <c r="E93" s="67">
        <f t="shared" si="48"/>
        <v>0</v>
      </c>
      <c r="F93" s="20"/>
      <c r="G93" s="20"/>
      <c r="H93" s="20"/>
      <c r="I93" s="67">
        <f t="shared" si="49"/>
        <v>0</v>
      </c>
      <c r="J93" s="20"/>
      <c r="K93" s="20"/>
      <c r="L93" s="20"/>
      <c r="M93" s="67">
        <f t="shared" si="50"/>
        <v>0</v>
      </c>
      <c r="N93" s="20"/>
      <c r="O93" s="20"/>
      <c r="P93" s="20"/>
      <c r="Q93" s="67">
        <f t="shared" si="51"/>
        <v>0</v>
      </c>
      <c r="R93" s="21">
        <f t="shared" si="52"/>
        <v>0</v>
      </c>
    </row>
    <row r="94" spans="1:18" ht="12.75" hidden="1" outlineLevel="1">
      <c r="A94" s="19" t="s">
        <v>42</v>
      </c>
      <c r="B94" s="20"/>
      <c r="C94" s="20"/>
      <c r="D94" s="20"/>
      <c r="E94" s="67">
        <f t="shared" si="48"/>
        <v>0</v>
      </c>
      <c r="F94" s="20"/>
      <c r="G94" s="20"/>
      <c r="H94" s="20"/>
      <c r="I94" s="67">
        <f t="shared" si="49"/>
        <v>0</v>
      </c>
      <c r="J94" s="20"/>
      <c r="K94" s="20"/>
      <c r="L94" s="20"/>
      <c r="M94" s="67">
        <f t="shared" si="50"/>
        <v>0</v>
      </c>
      <c r="N94" s="20"/>
      <c r="O94" s="20"/>
      <c r="P94" s="20"/>
      <c r="Q94" s="67">
        <f t="shared" si="51"/>
        <v>0</v>
      </c>
      <c r="R94" s="21">
        <f t="shared" si="52"/>
        <v>0</v>
      </c>
    </row>
    <row r="95" spans="1:18" ht="12.75" hidden="1" outlineLevel="1">
      <c r="A95" s="19" t="s">
        <v>43</v>
      </c>
      <c r="B95" s="20"/>
      <c r="C95" s="20"/>
      <c r="D95" s="20"/>
      <c r="E95" s="67">
        <f t="shared" si="48"/>
        <v>0</v>
      </c>
      <c r="F95" s="20"/>
      <c r="G95" s="20"/>
      <c r="H95" s="20"/>
      <c r="I95" s="67">
        <f t="shared" si="49"/>
        <v>0</v>
      </c>
      <c r="J95" s="20"/>
      <c r="K95" s="20"/>
      <c r="L95" s="20"/>
      <c r="M95" s="67">
        <f t="shared" si="50"/>
        <v>0</v>
      </c>
      <c r="N95" s="20"/>
      <c r="O95" s="20"/>
      <c r="P95" s="20"/>
      <c r="Q95" s="67">
        <f t="shared" si="51"/>
        <v>0</v>
      </c>
      <c r="R95" s="21">
        <f t="shared" si="52"/>
        <v>0</v>
      </c>
    </row>
    <row r="96" spans="1:18" ht="12.75" hidden="1" outlineLevel="1">
      <c r="A96" s="19" t="s">
        <v>44</v>
      </c>
      <c r="B96" s="20"/>
      <c r="C96" s="20"/>
      <c r="D96" s="20"/>
      <c r="E96" s="67">
        <f t="shared" si="48"/>
        <v>0</v>
      </c>
      <c r="F96" s="20"/>
      <c r="G96" s="20"/>
      <c r="H96" s="20"/>
      <c r="I96" s="67">
        <f t="shared" si="49"/>
        <v>0</v>
      </c>
      <c r="J96" s="20"/>
      <c r="K96" s="20"/>
      <c r="L96" s="20"/>
      <c r="M96" s="67">
        <f t="shared" si="50"/>
        <v>0</v>
      </c>
      <c r="N96" s="20"/>
      <c r="O96" s="20"/>
      <c r="P96" s="20"/>
      <c r="Q96" s="67">
        <f t="shared" si="51"/>
        <v>0</v>
      </c>
      <c r="R96" s="21">
        <f t="shared" si="52"/>
        <v>0</v>
      </c>
    </row>
    <row r="97" spans="1:18" ht="12.75" hidden="1" outlineLevel="1">
      <c r="A97" s="19" t="s">
        <v>45</v>
      </c>
      <c r="B97" s="62"/>
      <c r="C97" s="62"/>
      <c r="D97" s="62">
        <v>128.13</v>
      </c>
      <c r="E97" s="35">
        <f t="shared" si="48"/>
        <v>128.13</v>
      </c>
      <c r="F97" s="62">
        <v>58.68</v>
      </c>
      <c r="G97" s="62">
        <f>62.78+13.91</f>
        <v>76.69</v>
      </c>
      <c r="H97" s="62"/>
      <c r="I97" s="35">
        <f t="shared" si="49"/>
        <v>135.37</v>
      </c>
      <c r="J97" s="62"/>
      <c r="K97" s="62"/>
      <c r="L97" s="62"/>
      <c r="M97" s="35">
        <f t="shared" si="50"/>
        <v>0</v>
      </c>
      <c r="N97" s="62"/>
      <c r="O97" s="62"/>
      <c r="P97" s="62">
        <v>314.33</v>
      </c>
      <c r="Q97" s="35">
        <f t="shared" si="51"/>
        <v>314.33</v>
      </c>
      <c r="R97" s="34">
        <f t="shared" si="52"/>
        <v>577.8299999999999</v>
      </c>
    </row>
    <row r="98" spans="1:18" ht="12.75" hidden="1" outlineLevel="1">
      <c r="A98" s="19" t="s">
        <v>46</v>
      </c>
      <c r="B98" s="20"/>
      <c r="C98" s="20"/>
      <c r="D98" s="20"/>
      <c r="E98" s="67">
        <f t="shared" si="48"/>
        <v>0</v>
      </c>
      <c r="F98" s="20"/>
      <c r="G98" s="20"/>
      <c r="H98" s="20"/>
      <c r="I98" s="67">
        <f t="shared" si="49"/>
        <v>0</v>
      </c>
      <c r="J98" s="20"/>
      <c r="K98" s="20"/>
      <c r="L98" s="20"/>
      <c r="M98" s="67">
        <f t="shared" si="50"/>
        <v>0</v>
      </c>
      <c r="N98" s="20"/>
      <c r="O98" s="20"/>
      <c r="P98" s="20"/>
      <c r="Q98" s="67">
        <f t="shared" si="51"/>
        <v>0</v>
      </c>
      <c r="R98" s="21">
        <f t="shared" si="52"/>
        <v>0</v>
      </c>
    </row>
    <row r="99" spans="1:18" ht="12.75" hidden="1" outlineLevel="1">
      <c r="A99" s="19" t="s">
        <v>58</v>
      </c>
      <c r="B99" s="62"/>
      <c r="C99" s="62"/>
      <c r="D99" s="62"/>
      <c r="E99" s="59">
        <f t="shared" si="48"/>
        <v>0</v>
      </c>
      <c r="F99" s="52"/>
      <c r="G99" s="52"/>
      <c r="H99" s="52"/>
      <c r="I99" s="59">
        <f t="shared" si="49"/>
        <v>0</v>
      </c>
      <c r="J99" s="52"/>
      <c r="K99" s="52"/>
      <c r="L99" s="52"/>
      <c r="M99" s="59">
        <f t="shared" si="50"/>
        <v>0</v>
      </c>
      <c r="N99" s="52"/>
      <c r="O99" s="52"/>
      <c r="P99" s="52"/>
      <c r="Q99" s="59">
        <f t="shared" si="51"/>
        <v>0</v>
      </c>
      <c r="R99" s="60">
        <f t="shared" si="52"/>
        <v>0</v>
      </c>
    </row>
    <row r="100" spans="1:18" ht="12.75" hidden="1" outlineLevel="1">
      <c r="A100" s="22" t="s">
        <v>47</v>
      </c>
      <c r="B100" s="33">
        <f aca="true" t="shared" si="53" ref="B100:Q100">SUM(B92:B99)</f>
        <v>0</v>
      </c>
      <c r="C100" s="33">
        <f t="shared" si="53"/>
        <v>0</v>
      </c>
      <c r="D100" s="33">
        <f t="shared" si="53"/>
        <v>128.13</v>
      </c>
      <c r="E100" s="33">
        <f t="shared" si="53"/>
        <v>128.13</v>
      </c>
      <c r="F100" s="33">
        <f t="shared" si="53"/>
        <v>58.68</v>
      </c>
      <c r="G100" s="33">
        <f t="shared" si="53"/>
        <v>76.69</v>
      </c>
      <c r="H100" s="33">
        <f t="shared" si="53"/>
        <v>0</v>
      </c>
      <c r="I100" s="33">
        <f t="shared" si="53"/>
        <v>135.37</v>
      </c>
      <c r="J100" s="33">
        <f t="shared" si="53"/>
        <v>0</v>
      </c>
      <c r="K100" s="33">
        <f t="shared" si="53"/>
        <v>0</v>
      </c>
      <c r="L100" s="33">
        <f t="shared" si="53"/>
        <v>0</v>
      </c>
      <c r="M100" s="33">
        <f t="shared" si="53"/>
        <v>0</v>
      </c>
      <c r="N100" s="33">
        <f t="shared" si="53"/>
        <v>0</v>
      </c>
      <c r="O100" s="33">
        <f t="shared" si="53"/>
        <v>0</v>
      </c>
      <c r="P100" s="33">
        <f t="shared" si="53"/>
        <v>314.33</v>
      </c>
      <c r="Q100" s="33">
        <f t="shared" si="53"/>
        <v>314.33</v>
      </c>
      <c r="R100" s="34">
        <f t="shared" si="52"/>
        <v>577.8299999999999</v>
      </c>
    </row>
    <row r="101" spans="1:18" ht="12.75" hidden="1" outlineLevel="1">
      <c r="A101" s="23" t="s">
        <v>15</v>
      </c>
      <c r="B101" s="63">
        <v>44.64</v>
      </c>
      <c r="C101" s="63">
        <v>44.64</v>
      </c>
      <c r="D101" s="63">
        <v>44.16</v>
      </c>
      <c r="E101" s="35">
        <f aca="true" t="shared" si="54" ref="E101:E106">SUM(B101:D101)</f>
        <v>133.44</v>
      </c>
      <c r="F101" s="37">
        <v>44.04</v>
      </c>
      <c r="G101" s="37">
        <v>44.16</v>
      </c>
      <c r="H101" s="37">
        <v>44.4</v>
      </c>
      <c r="I101" s="35">
        <f aca="true" t="shared" si="55" ref="I101:I106">SUM(F101:H101)</f>
        <v>132.6</v>
      </c>
      <c r="J101" s="37">
        <v>44.4</v>
      </c>
      <c r="K101" s="37">
        <v>44.4</v>
      </c>
      <c r="L101" s="37">
        <v>44.76</v>
      </c>
      <c r="M101" s="35">
        <f aca="true" t="shared" si="56" ref="M101:M106">SUM(J101:L101)</f>
        <v>133.56</v>
      </c>
      <c r="N101" s="37">
        <v>45.36</v>
      </c>
      <c r="O101" s="37">
        <v>45.48</v>
      </c>
      <c r="P101" s="38">
        <v>45.48</v>
      </c>
      <c r="Q101" s="35">
        <f aca="true" t="shared" si="57" ref="Q101:Q106">SUM(N101:P101)</f>
        <v>136.32</v>
      </c>
      <c r="R101" s="34">
        <f t="shared" si="52"/>
        <v>535.9200000000001</v>
      </c>
    </row>
    <row r="102" spans="1:18" ht="12.75" hidden="1" outlineLevel="1">
      <c r="A102" s="23" t="s">
        <v>16</v>
      </c>
      <c r="B102" s="62">
        <v>9</v>
      </c>
      <c r="C102" s="62">
        <v>9</v>
      </c>
      <c r="D102" s="62">
        <v>9</v>
      </c>
      <c r="E102" s="35">
        <f t="shared" si="54"/>
        <v>27</v>
      </c>
      <c r="F102" s="62">
        <v>9</v>
      </c>
      <c r="G102" s="62">
        <v>9</v>
      </c>
      <c r="H102" s="62">
        <v>9</v>
      </c>
      <c r="I102" s="35">
        <f t="shared" si="55"/>
        <v>27</v>
      </c>
      <c r="J102" s="62">
        <v>9</v>
      </c>
      <c r="K102" s="62">
        <v>9</v>
      </c>
      <c r="L102" s="62">
        <v>9</v>
      </c>
      <c r="M102" s="35">
        <f t="shared" si="56"/>
        <v>27</v>
      </c>
      <c r="N102" s="62">
        <v>9</v>
      </c>
      <c r="O102" s="62">
        <v>9</v>
      </c>
      <c r="P102" s="62">
        <v>9</v>
      </c>
      <c r="Q102" s="35">
        <f t="shared" si="57"/>
        <v>27</v>
      </c>
      <c r="R102" s="34">
        <f t="shared" si="52"/>
        <v>108</v>
      </c>
    </row>
    <row r="103" spans="1:18" ht="12.75" hidden="1" outlineLevel="1">
      <c r="A103" s="23" t="s">
        <v>17</v>
      </c>
      <c r="B103" s="63">
        <v>10.17</v>
      </c>
      <c r="C103" s="63">
        <v>9.04</v>
      </c>
      <c r="D103" s="63">
        <v>1.13</v>
      </c>
      <c r="E103" s="35">
        <f t="shared" si="54"/>
        <v>20.34</v>
      </c>
      <c r="F103" s="37">
        <v>1.13</v>
      </c>
      <c r="G103" s="37">
        <v>3.39</v>
      </c>
      <c r="H103" s="37">
        <v>9.04</v>
      </c>
      <c r="I103" s="35">
        <f t="shared" si="55"/>
        <v>13.559999999999999</v>
      </c>
      <c r="J103" s="37">
        <v>11.3</v>
      </c>
      <c r="K103" s="37">
        <v>7.91</v>
      </c>
      <c r="L103" s="37">
        <v>3.39</v>
      </c>
      <c r="M103" s="35">
        <f t="shared" si="56"/>
        <v>22.6</v>
      </c>
      <c r="N103" s="37">
        <v>9.04</v>
      </c>
      <c r="O103" s="37">
        <v>5.65</v>
      </c>
      <c r="P103" s="38">
        <v>4.52</v>
      </c>
      <c r="Q103" s="35">
        <f t="shared" si="57"/>
        <v>19.21</v>
      </c>
      <c r="R103" s="34">
        <f t="shared" si="52"/>
        <v>75.71000000000001</v>
      </c>
    </row>
    <row r="104" spans="1:18" ht="12.75" hidden="1" outlineLevel="1">
      <c r="A104" s="25" t="s">
        <v>18</v>
      </c>
      <c r="B104" s="63">
        <v>11.14</v>
      </c>
      <c r="C104" s="63">
        <v>13.53</v>
      </c>
      <c r="D104" s="63">
        <v>12.59</v>
      </c>
      <c r="E104" s="35">
        <f t="shared" si="54"/>
        <v>37.260000000000005</v>
      </c>
      <c r="F104" s="37">
        <v>11.72</v>
      </c>
      <c r="G104" s="37">
        <v>5.58</v>
      </c>
      <c r="H104" s="37">
        <v>1.04</v>
      </c>
      <c r="I104" s="35">
        <f t="shared" si="55"/>
        <v>18.34</v>
      </c>
      <c r="J104" s="37">
        <v>5.75</v>
      </c>
      <c r="K104" s="37">
        <v>5.76</v>
      </c>
      <c r="L104" s="37">
        <v>6.34</v>
      </c>
      <c r="M104" s="35">
        <f t="shared" si="56"/>
        <v>17.85</v>
      </c>
      <c r="N104" s="37">
        <v>3.13</v>
      </c>
      <c r="O104" s="37">
        <v>6.54</v>
      </c>
      <c r="P104" s="38">
        <v>55.15</v>
      </c>
      <c r="Q104" s="35">
        <f t="shared" si="57"/>
        <v>64.82</v>
      </c>
      <c r="R104" s="34">
        <f t="shared" si="52"/>
        <v>138.26999999999998</v>
      </c>
    </row>
    <row r="105" spans="1:18" ht="12.75" hidden="1" outlineLevel="1">
      <c r="A105" s="23" t="s">
        <v>19</v>
      </c>
      <c r="B105" s="63"/>
      <c r="C105" s="63"/>
      <c r="D105" s="63"/>
      <c r="E105" s="35">
        <f t="shared" si="54"/>
        <v>0</v>
      </c>
      <c r="F105" s="37"/>
      <c r="G105" s="37"/>
      <c r="H105" s="37"/>
      <c r="I105" s="35">
        <f t="shared" si="55"/>
        <v>0</v>
      </c>
      <c r="J105" s="37"/>
      <c r="K105" s="37"/>
      <c r="L105" s="37"/>
      <c r="M105" s="35">
        <f t="shared" si="56"/>
        <v>0</v>
      </c>
      <c r="N105" s="37"/>
      <c r="O105" s="37"/>
      <c r="P105" s="38"/>
      <c r="Q105" s="35">
        <f t="shared" si="57"/>
        <v>0</v>
      </c>
      <c r="R105" s="34">
        <f t="shared" si="52"/>
        <v>0</v>
      </c>
    </row>
    <row r="106" spans="1:18" ht="12.75" hidden="1" outlineLevel="1">
      <c r="A106" s="23" t="s">
        <v>20</v>
      </c>
      <c r="B106" s="63">
        <v>9.5</v>
      </c>
      <c r="C106" s="63">
        <v>5.5</v>
      </c>
      <c r="D106" s="63">
        <v>1.5</v>
      </c>
      <c r="E106" s="35">
        <f t="shared" si="54"/>
        <v>16.5</v>
      </c>
      <c r="F106" s="37">
        <v>2</v>
      </c>
      <c r="G106" s="37">
        <v>2.5</v>
      </c>
      <c r="H106" s="37">
        <v>3</v>
      </c>
      <c r="I106" s="35">
        <f t="shared" si="55"/>
        <v>7.5</v>
      </c>
      <c r="J106" s="37">
        <v>10</v>
      </c>
      <c r="K106" s="37">
        <v>4</v>
      </c>
      <c r="L106" s="37">
        <v>3.5</v>
      </c>
      <c r="M106" s="35">
        <f t="shared" si="56"/>
        <v>17.5</v>
      </c>
      <c r="N106" s="37">
        <v>3.5</v>
      </c>
      <c r="O106" s="37">
        <v>5</v>
      </c>
      <c r="P106" s="38"/>
      <c r="Q106" s="35">
        <f t="shared" si="57"/>
        <v>8.5</v>
      </c>
      <c r="R106" s="34">
        <f t="shared" si="52"/>
        <v>50</v>
      </c>
    </row>
    <row r="107" spans="1:18" ht="12.75" hidden="1" outlineLevel="1">
      <c r="A107" s="23" t="s">
        <v>72</v>
      </c>
      <c r="B107" s="63"/>
      <c r="C107" s="63">
        <f>0.06+2.26</f>
        <v>2.32</v>
      </c>
      <c r="D107" s="63">
        <v>4.52</v>
      </c>
      <c r="E107" s="35"/>
      <c r="F107" s="37"/>
      <c r="G107" s="37"/>
      <c r="H107" s="37"/>
      <c r="I107" s="35"/>
      <c r="J107" s="37"/>
      <c r="K107" s="37"/>
      <c r="L107" s="37"/>
      <c r="M107" s="35"/>
      <c r="N107" s="37"/>
      <c r="O107" s="37"/>
      <c r="P107" s="38"/>
      <c r="Q107" s="35"/>
      <c r="R107" s="34"/>
    </row>
    <row r="108" spans="1:18" ht="12.75" hidden="1" outlineLevel="1">
      <c r="A108" s="23" t="s">
        <v>21</v>
      </c>
      <c r="B108" s="63"/>
      <c r="C108" s="63"/>
      <c r="D108" s="63"/>
      <c r="E108" s="35">
        <f>SUM(B108:D108)</f>
        <v>0</v>
      </c>
      <c r="F108" s="37"/>
      <c r="G108" s="37"/>
      <c r="H108" s="37"/>
      <c r="I108" s="35">
        <f>SUM(F108:H108)</f>
        <v>0</v>
      </c>
      <c r="J108" s="37"/>
      <c r="K108" s="37"/>
      <c r="L108" s="37"/>
      <c r="M108" s="35">
        <f>SUM(J108:L108)</f>
        <v>0</v>
      </c>
      <c r="N108" s="37"/>
      <c r="O108" s="37"/>
      <c r="P108" s="38"/>
      <c r="Q108" s="35">
        <f>SUM(N108:P108)</f>
        <v>0</v>
      </c>
      <c r="R108" s="34">
        <f>Q108+M108+I108+E108</f>
        <v>0</v>
      </c>
    </row>
    <row r="109" spans="1:18" ht="12.75" hidden="1" outlineLevel="1">
      <c r="A109" s="23" t="s">
        <v>22</v>
      </c>
      <c r="B109" s="63"/>
      <c r="C109" s="63"/>
      <c r="D109" s="63">
        <v>12.78</v>
      </c>
      <c r="E109" s="35">
        <f>SUM(B109:D109)</f>
        <v>12.78</v>
      </c>
      <c r="F109" s="37"/>
      <c r="G109" s="37"/>
      <c r="H109" s="37">
        <v>25.56</v>
      </c>
      <c r="I109" s="35">
        <f>SUM(F109:H109)</f>
        <v>25.56</v>
      </c>
      <c r="J109" s="37">
        <v>4.26</v>
      </c>
      <c r="K109" s="37"/>
      <c r="L109" s="37"/>
      <c r="M109" s="35">
        <f>SUM(J109:L109)</f>
        <v>4.26</v>
      </c>
      <c r="N109" s="37">
        <v>8.52</v>
      </c>
      <c r="O109" s="37"/>
      <c r="P109" s="38">
        <v>17.04</v>
      </c>
      <c r="Q109" s="35">
        <f>SUM(N109:P109)</f>
        <v>25.56</v>
      </c>
      <c r="R109" s="34">
        <f>Q109+M109+I109+E109</f>
        <v>68.16</v>
      </c>
    </row>
    <row r="110" spans="1:18" ht="12.75" hidden="1" outlineLevel="1">
      <c r="A110" s="23" t="s">
        <v>61</v>
      </c>
      <c r="B110" s="62"/>
      <c r="C110" s="62"/>
      <c r="D110" s="62"/>
      <c r="E110" s="35">
        <f>SUM(B110:D110)</f>
        <v>0</v>
      </c>
      <c r="F110" s="38"/>
      <c r="G110" s="38"/>
      <c r="H110" s="38"/>
      <c r="I110" s="35">
        <f>SUM(F110:H110)</f>
        <v>0</v>
      </c>
      <c r="J110" s="38"/>
      <c r="K110" s="38"/>
      <c r="L110" s="38"/>
      <c r="M110" s="35">
        <f>SUM(J110:L110)</f>
        <v>0</v>
      </c>
      <c r="N110" s="38"/>
      <c r="O110" s="38"/>
      <c r="P110" s="38"/>
      <c r="Q110" s="35">
        <f>SUM(N110:P110)</f>
        <v>0</v>
      </c>
      <c r="R110" s="34">
        <f>Q110+M110+I110+E110</f>
        <v>0</v>
      </c>
    </row>
    <row r="111" spans="1:25" ht="12.75" hidden="1" outlineLevel="1">
      <c r="A111" s="89" t="s">
        <v>49</v>
      </c>
      <c r="B111" s="33">
        <f aca="true" t="shared" si="58" ref="B111:Y111">SUM(B101:B110)</f>
        <v>84.45</v>
      </c>
      <c r="C111" s="33">
        <f t="shared" si="58"/>
        <v>84.02999999999999</v>
      </c>
      <c r="D111" s="33">
        <f t="shared" si="58"/>
        <v>85.67999999999999</v>
      </c>
      <c r="E111" s="33">
        <f t="shared" si="58"/>
        <v>247.32000000000002</v>
      </c>
      <c r="F111" s="33">
        <f t="shared" si="58"/>
        <v>67.89</v>
      </c>
      <c r="G111" s="33">
        <f t="shared" si="58"/>
        <v>64.63</v>
      </c>
      <c r="H111" s="33">
        <f t="shared" si="58"/>
        <v>92.03999999999999</v>
      </c>
      <c r="I111" s="33">
        <f t="shared" si="58"/>
        <v>224.56</v>
      </c>
      <c r="J111" s="33">
        <f t="shared" si="58"/>
        <v>84.71000000000001</v>
      </c>
      <c r="K111" s="33">
        <f t="shared" si="58"/>
        <v>71.07000000000001</v>
      </c>
      <c r="L111" s="33">
        <f t="shared" si="58"/>
        <v>66.99</v>
      </c>
      <c r="M111" s="33">
        <f t="shared" si="58"/>
        <v>222.76999999999998</v>
      </c>
      <c r="N111" s="33">
        <f t="shared" si="58"/>
        <v>78.55</v>
      </c>
      <c r="O111" s="33">
        <f t="shared" si="58"/>
        <v>71.67</v>
      </c>
      <c r="P111" s="33">
        <f t="shared" si="58"/>
        <v>131.19</v>
      </c>
      <c r="Q111" s="33">
        <f t="shared" si="58"/>
        <v>281.40999999999997</v>
      </c>
      <c r="R111" s="90">
        <f t="shared" si="58"/>
        <v>976.0600000000001</v>
      </c>
      <c r="S111" s="33">
        <f t="shared" si="58"/>
        <v>0</v>
      </c>
      <c r="T111" s="33">
        <f t="shared" si="58"/>
        <v>0</v>
      </c>
      <c r="U111" s="33">
        <f t="shared" si="58"/>
        <v>0</v>
      </c>
      <c r="V111" s="33">
        <f t="shared" si="58"/>
        <v>0</v>
      </c>
      <c r="W111" s="33">
        <f t="shared" si="58"/>
        <v>0</v>
      </c>
      <c r="X111" s="33">
        <f t="shared" si="58"/>
        <v>0</v>
      </c>
      <c r="Y111" s="33">
        <f t="shared" si="58"/>
        <v>0</v>
      </c>
    </row>
    <row r="112" spans="1:21" ht="13.5" collapsed="1" thickBot="1">
      <c r="A112" s="84" t="s">
        <v>48</v>
      </c>
      <c r="B112" s="49">
        <f aca="true" t="shared" si="59" ref="B112:R112">B111+B100</f>
        <v>84.45</v>
      </c>
      <c r="C112" s="49">
        <f t="shared" si="59"/>
        <v>84.02999999999999</v>
      </c>
      <c r="D112" s="49">
        <f t="shared" si="59"/>
        <v>213.81</v>
      </c>
      <c r="E112" s="48">
        <f t="shared" si="59"/>
        <v>375.45000000000005</v>
      </c>
      <c r="F112" s="49">
        <f>F111+F100</f>
        <v>126.57</v>
      </c>
      <c r="G112" s="49">
        <f>G111+G100</f>
        <v>141.32</v>
      </c>
      <c r="H112" s="49">
        <f t="shared" si="59"/>
        <v>92.03999999999999</v>
      </c>
      <c r="I112" s="48">
        <f t="shared" si="59"/>
        <v>359.93</v>
      </c>
      <c r="J112" s="49">
        <f t="shared" si="59"/>
        <v>84.71000000000001</v>
      </c>
      <c r="K112" s="49">
        <f t="shared" si="59"/>
        <v>71.07000000000001</v>
      </c>
      <c r="L112" s="49">
        <f t="shared" si="59"/>
        <v>66.99</v>
      </c>
      <c r="M112" s="48">
        <f t="shared" si="59"/>
        <v>222.76999999999998</v>
      </c>
      <c r="N112" s="49">
        <f t="shared" si="59"/>
        <v>78.55</v>
      </c>
      <c r="O112" s="49">
        <f t="shared" si="59"/>
        <v>71.67</v>
      </c>
      <c r="P112" s="49">
        <f t="shared" si="59"/>
        <v>445.52</v>
      </c>
      <c r="Q112" s="48">
        <f t="shared" si="59"/>
        <v>595.74</v>
      </c>
      <c r="R112" s="50">
        <f t="shared" si="59"/>
        <v>1553.8899999999999</v>
      </c>
      <c r="S112" s="65">
        <f>((B101/0.12)+(C101/0.12)+(D101/0.12)+(F101/0.12)+(G101/0.12)+(H101/0.12)+(J101/0.12)+(K101/0.12)+(L101/0.12)+(N101/0.12)+(O101/0.12)+(P101/0.12))/12</f>
        <v>372.1666666666667</v>
      </c>
      <c r="T112" s="54">
        <f>IF(R112&gt;0,R112/S112,0)</f>
        <v>4.175253022839229</v>
      </c>
      <c r="U112" s="66">
        <f>IF(R103&gt;0,R103/R112,0)</f>
        <v>0.048722882572125446</v>
      </c>
    </row>
    <row r="113" spans="1:18" ht="12.75">
      <c r="A113" s="85" t="s">
        <v>31</v>
      </c>
      <c r="B113" s="86"/>
      <c r="C113" s="86"/>
      <c r="D113" s="86"/>
      <c r="E113" s="87"/>
      <c r="F113" s="86"/>
      <c r="G113" s="86"/>
      <c r="H113" s="86"/>
      <c r="I113" s="87"/>
      <c r="J113" s="86"/>
      <c r="K113" s="86"/>
      <c r="L113" s="86"/>
      <c r="M113" s="87"/>
      <c r="N113" s="86"/>
      <c r="O113" s="86"/>
      <c r="P113" s="86"/>
      <c r="Q113" s="87"/>
      <c r="R113" s="88"/>
    </row>
    <row r="114" spans="1:18" ht="12.75" outlineLevel="1">
      <c r="A114" s="19" t="s">
        <v>40</v>
      </c>
      <c r="B114" s="20"/>
      <c r="C114" s="20"/>
      <c r="D114" s="20"/>
      <c r="E114" s="67">
        <f aca="true" t="shared" si="60" ref="E114:E121">SUM(B114:D114)</f>
        <v>0</v>
      </c>
      <c r="F114" s="20"/>
      <c r="G114" s="20"/>
      <c r="H114" s="20"/>
      <c r="I114" s="67">
        <f aca="true" t="shared" si="61" ref="I114:I121">SUM(F114:H114)</f>
        <v>0</v>
      </c>
      <c r="J114" s="20"/>
      <c r="K114" s="20"/>
      <c r="L114" s="20"/>
      <c r="M114" s="67">
        <f aca="true" t="shared" si="62" ref="M114:M121">SUM(J114:L114)</f>
        <v>0</v>
      </c>
      <c r="N114" s="20"/>
      <c r="O114" s="20"/>
      <c r="P114" s="20"/>
      <c r="Q114" s="67">
        <f aca="true" t="shared" si="63" ref="Q114:Q121">SUM(N114:P114)</f>
        <v>0</v>
      </c>
      <c r="R114" s="21">
        <f aca="true" t="shared" si="64" ref="R114:R128">Q114+M114+I114+E114</f>
        <v>0</v>
      </c>
    </row>
    <row r="115" spans="1:18" ht="12.75" outlineLevel="1">
      <c r="A115" s="19" t="s">
        <v>41</v>
      </c>
      <c r="B115" s="20"/>
      <c r="C115" s="20"/>
      <c r="D115" s="20"/>
      <c r="E115" s="67">
        <f t="shared" si="60"/>
        <v>0</v>
      </c>
      <c r="F115" s="20"/>
      <c r="G115" s="20"/>
      <c r="H115" s="20"/>
      <c r="I115" s="67">
        <f t="shared" si="61"/>
        <v>0</v>
      </c>
      <c r="J115" s="20"/>
      <c r="K115" s="20"/>
      <c r="L115" s="20"/>
      <c r="M115" s="67">
        <f t="shared" si="62"/>
        <v>0</v>
      </c>
      <c r="N115" s="20"/>
      <c r="O115" s="20"/>
      <c r="P115" s="20"/>
      <c r="Q115" s="67">
        <f t="shared" si="63"/>
        <v>0</v>
      </c>
      <c r="R115" s="21">
        <f t="shared" si="64"/>
        <v>0</v>
      </c>
    </row>
    <row r="116" spans="1:18" ht="12.75" outlineLevel="1">
      <c r="A116" s="19" t="s">
        <v>42</v>
      </c>
      <c r="B116" s="20"/>
      <c r="C116" s="20"/>
      <c r="D116" s="20"/>
      <c r="E116" s="67">
        <f t="shared" si="60"/>
        <v>0</v>
      </c>
      <c r="F116" s="20"/>
      <c r="G116" s="20"/>
      <c r="H116" s="20"/>
      <c r="I116" s="67">
        <f t="shared" si="61"/>
        <v>0</v>
      </c>
      <c r="J116" s="20"/>
      <c r="K116" s="20"/>
      <c r="L116" s="20"/>
      <c r="M116" s="67">
        <f t="shared" si="62"/>
        <v>0</v>
      </c>
      <c r="N116" s="20"/>
      <c r="O116" s="20"/>
      <c r="P116" s="20"/>
      <c r="Q116" s="67">
        <f t="shared" si="63"/>
        <v>0</v>
      </c>
      <c r="R116" s="21">
        <f t="shared" si="64"/>
        <v>0</v>
      </c>
    </row>
    <row r="117" spans="1:18" ht="12.75" outlineLevel="1">
      <c r="A117" s="19" t="s">
        <v>43</v>
      </c>
      <c r="B117" s="20"/>
      <c r="C117" s="20"/>
      <c r="D117" s="20"/>
      <c r="E117" s="67">
        <f t="shared" si="60"/>
        <v>0</v>
      </c>
      <c r="F117" s="20"/>
      <c r="G117" s="20"/>
      <c r="H117" s="20"/>
      <c r="I117" s="67">
        <f t="shared" si="61"/>
        <v>0</v>
      </c>
      <c r="J117" s="20"/>
      <c r="K117" s="20"/>
      <c r="L117" s="20"/>
      <c r="M117" s="67">
        <f t="shared" si="62"/>
        <v>0</v>
      </c>
      <c r="N117" s="20"/>
      <c r="O117" s="20"/>
      <c r="P117" s="20"/>
      <c r="Q117" s="67">
        <f t="shared" si="63"/>
        <v>0</v>
      </c>
      <c r="R117" s="21">
        <f t="shared" si="64"/>
        <v>0</v>
      </c>
    </row>
    <row r="118" spans="1:18" ht="12.75" outlineLevel="1">
      <c r="A118" s="19" t="s">
        <v>44</v>
      </c>
      <c r="B118" s="20"/>
      <c r="C118" s="20"/>
      <c r="D118" s="20"/>
      <c r="E118" s="67">
        <f t="shared" si="60"/>
        <v>0</v>
      </c>
      <c r="F118" s="20"/>
      <c r="G118" s="20"/>
      <c r="H118" s="20"/>
      <c r="I118" s="67">
        <f t="shared" si="61"/>
        <v>0</v>
      </c>
      <c r="J118" s="20"/>
      <c r="K118" s="20"/>
      <c r="L118" s="20"/>
      <c r="M118" s="67">
        <f t="shared" si="62"/>
        <v>0</v>
      </c>
      <c r="N118" s="20"/>
      <c r="O118" s="20"/>
      <c r="P118" s="20"/>
      <c r="Q118" s="67">
        <f t="shared" si="63"/>
        <v>0</v>
      </c>
      <c r="R118" s="21">
        <f t="shared" si="64"/>
        <v>0</v>
      </c>
    </row>
    <row r="119" spans="1:18" ht="12.75" outlineLevel="1">
      <c r="A119" s="19" t="s">
        <v>45</v>
      </c>
      <c r="B119" s="62"/>
      <c r="C119" s="62"/>
      <c r="D119" s="62">
        <v>222.72</v>
      </c>
      <c r="E119" s="35">
        <f t="shared" si="60"/>
        <v>222.72</v>
      </c>
      <c r="F119" s="62">
        <v>102</v>
      </c>
      <c r="G119" s="62">
        <f>109.14+24.18</f>
        <v>133.32</v>
      </c>
      <c r="H119" s="62"/>
      <c r="I119" s="35">
        <f t="shared" si="61"/>
        <v>235.32</v>
      </c>
      <c r="J119" s="62"/>
      <c r="K119" s="62"/>
      <c r="L119" s="62"/>
      <c r="M119" s="35">
        <f t="shared" si="62"/>
        <v>0</v>
      </c>
      <c r="N119" s="62"/>
      <c r="O119" s="62"/>
      <c r="P119" s="62">
        <v>530.6</v>
      </c>
      <c r="Q119" s="35">
        <f t="shared" si="63"/>
        <v>530.6</v>
      </c>
      <c r="R119" s="34">
        <f t="shared" si="64"/>
        <v>988.6400000000001</v>
      </c>
    </row>
    <row r="120" spans="1:18" ht="12.75" outlineLevel="1">
      <c r="A120" s="19" t="s">
        <v>46</v>
      </c>
      <c r="B120" s="20"/>
      <c r="C120" s="20"/>
      <c r="D120" s="20"/>
      <c r="E120" s="67">
        <f t="shared" si="60"/>
        <v>0</v>
      </c>
      <c r="F120" s="20"/>
      <c r="G120" s="20"/>
      <c r="H120" s="20"/>
      <c r="I120" s="67">
        <f t="shared" si="61"/>
        <v>0</v>
      </c>
      <c r="J120" s="20"/>
      <c r="K120" s="20"/>
      <c r="L120" s="20"/>
      <c r="M120" s="67">
        <f t="shared" si="62"/>
        <v>0</v>
      </c>
      <c r="N120" s="20"/>
      <c r="O120" s="20"/>
      <c r="P120" s="20"/>
      <c r="Q120" s="67">
        <f t="shared" si="63"/>
        <v>0</v>
      </c>
      <c r="R120" s="21">
        <f t="shared" si="64"/>
        <v>0</v>
      </c>
    </row>
    <row r="121" spans="1:18" ht="12.75" outlineLevel="1">
      <c r="A121" s="19" t="s">
        <v>58</v>
      </c>
      <c r="B121" s="62"/>
      <c r="C121" s="62"/>
      <c r="D121" s="62"/>
      <c r="E121" s="59">
        <f t="shared" si="60"/>
        <v>0</v>
      </c>
      <c r="F121" s="52"/>
      <c r="G121" s="52"/>
      <c r="H121" s="52"/>
      <c r="I121" s="59">
        <f t="shared" si="61"/>
        <v>0</v>
      </c>
      <c r="J121" s="52"/>
      <c r="K121" s="52"/>
      <c r="L121" s="52"/>
      <c r="M121" s="59">
        <f t="shared" si="62"/>
        <v>0</v>
      </c>
      <c r="N121" s="52"/>
      <c r="O121" s="52"/>
      <c r="P121" s="52"/>
      <c r="Q121" s="59">
        <f t="shared" si="63"/>
        <v>0</v>
      </c>
      <c r="R121" s="60">
        <f t="shared" si="64"/>
        <v>0</v>
      </c>
    </row>
    <row r="122" spans="1:18" ht="12.75" outlineLevel="1">
      <c r="A122" s="22" t="s">
        <v>47</v>
      </c>
      <c r="B122" s="33">
        <f aca="true" t="shared" si="65" ref="B122:Q122">SUM(B114:B121)</f>
        <v>0</v>
      </c>
      <c r="C122" s="33">
        <f t="shared" si="65"/>
        <v>0</v>
      </c>
      <c r="D122" s="33">
        <f t="shared" si="65"/>
        <v>222.72</v>
      </c>
      <c r="E122" s="33">
        <f t="shared" si="65"/>
        <v>222.72</v>
      </c>
      <c r="F122" s="33">
        <f t="shared" si="65"/>
        <v>102</v>
      </c>
      <c r="G122" s="33">
        <f t="shared" si="65"/>
        <v>133.32</v>
      </c>
      <c r="H122" s="33">
        <f t="shared" si="65"/>
        <v>0</v>
      </c>
      <c r="I122" s="33">
        <f t="shared" si="65"/>
        <v>235.32</v>
      </c>
      <c r="J122" s="33">
        <f t="shared" si="65"/>
        <v>0</v>
      </c>
      <c r="K122" s="33">
        <f t="shared" si="65"/>
        <v>0</v>
      </c>
      <c r="L122" s="33">
        <f t="shared" si="65"/>
        <v>0</v>
      </c>
      <c r="M122" s="33">
        <f t="shared" si="65"/>
        <v>0</v>
      </c>
      <c r="N122" s="33">
        <f t="shared" si="65"/>
        <v>0</v>
      </c>
      <c r="O122" s="33">
        <f t="shared" si="65"/>
        <v>0</v>
      </c>
      <c r="P122" s="33">
        <f t="shared" si="65"/>
        <v>530.6</v>
      </c>
      <c r="Q122" s="33">
        <f t="shared" si="65"/>
        <v>530.6</v>
      </c>
      <c r="R122" s="34">
        <f t="shared" si="64"/>
        <v>988.6400000000001</v>
      </c>
    </row>
    <row r="123" spans="1:18" ht="12.75" outlineLevel="1">
      <c r="A123" s="23" t="s">
        <v>15</v>
      </c>
      <c r="B123" s="63">
        <v>74.76</v>
      </c>
      <c r="C123" s="63">
        <v>74.76</v>
      </c>
      <c r="D123" s="63">
        <v>74.76</v>
      </c>
      <c r="E123" s="35">
        <f aca="true" t="shared" si="66" ref="E123:E128">SUM(B123:D123)</f>
        <v>224.28000000000003</v>
      </c>
      <c r="F123" s="37">
        <v>74.4</v>
      </c>
      <c r="G123" s="37">
        <v>74.52</v>
      </c>
      <c r="H123" s="37">
        <v>74.64</v>
      </c>
      <c r="I123" s="35">
        <f aca="true" t="shared" si="67" ref="I123:I128">SUM(F123:H123)</f>
        <v>223.56</v>
      </c>
      <c r="J123" s="37">
        <v>74.52</v>
      </c>
      <c r="K123" s="37">
        <v>73.56</v>
      </c>
      <c r="L123" s="37">
        <v>75.48</v>
      </c>
      <c r="M123" s="35">
        <f aca="true" t="shared" si="68" ref="M123:M128">SUM(J123:L123)</f>
        <v>223.56</v>
      </c>
      <c r="N123" s="37">
        <v>75.12</v>
      </c>
      <c r="O123" s="37">
        <v>75</v>
      </c>
      <c r="P123" s="38">
        <v>73.08</v>
      </c>
      <c r="Q123" s="35">
        <f aca="true" t="shared" si="69" ref="Q123:Q128">SUM(N123:P123)</f>
        <v>223.2</v>
      </c>
      <c r="R123" s="34">
        <f t="shared" si="64"/>
        <v>894.5999999999999</v>
      </c>
    </row>
    <row r="124" spans="1:18" ht="12.75" outlineLevel="1">
      <c r="A124" s="23" t="s">
        <v>16</v>
      </c>
      <c r="B124" s="62">
        <v>10</v>
      </c>
      <c r="C124" s="62">
        <v>10</v>
      </c>
      <c r="D124" s="62">
        <v>10</v>
      </c>
      <c r="E124" s="35">
        <f t="shared" si="66"/>
        <v>30</v>
      </c>
      <c r="F124" s="62">
        <v>10</v>
      </c>
      <c r="G124" s="62">
        <v>10</v>
      </c>
      <c r="H124" s="62">
        <v>10</v>
      </c>
      <c r="I124" s="35">
        <f t="shared" si="67"/>
        <v>30</v>
      </c>
      <c r="J124" s="62">
        <v>10</v>
      </c>
      <c r="K124" s="62">
        <v>10</v>
      </c>
      <c r="L124" s="62">
        <v>10</v>
      </c>
      <c r="M124" s="35">
        <f t="shared" si="68"/>
        <v>30</v>
      </c>
      <c r="N124" s="62">
        <v>10</v>
      </c>
      <c r="O124" s="62">
        <v>10</v>
      </c>
      <c r="P124" s="62">
        <v>10</v>
      </c>
      <c r="Q124" s="35">
        <f t="shared" si="69"/>
        <v>30</v>
      </c>
      <c r="R124" s="34">
        <f t="shared" si="64"/>
        <v>120</v>
      </c>
    </row>
    <row r="125" spans="1:18" ht="12.75" outlineLevel="1">
      <c r="A125" s="23" t="s">
        <v>17</v>
      </c>
      <c r="B125" s="63">
        <v>30.51</v>
      </c>
      <c r="C125" s="63">
        <v>15.82</v>
      </c>
      <c r="D125" s="63">
        <v>10.17</v>
      </c>
      <c r="E125" s="35">
        <f t="shared" si="66"/>
        <v>56.5</v>
      </c>
      <c r="F125" s="37">
        <v>9.04</v>
      </c>
      <c r="G125" s="37">
        <v>7.91</v>
      </c>
      <c r="H125" s="37">
        <v>5.65</v>
      </c>
      <c r="I125" s="35">
        <f t="shared" si="67"/>
        <v>22.6</v>
      </c>
      <c r="J125" s="37">
        <v>12.43</v>
      </c>
      <c r="K125" s="37"/>
      <c r="L125" s="37">
        <v>22.6</v>
      </c>
      <c r="M125" s="35">
        <f t="shared" si="68"/>
        <v>35.03</v>
      </c>
      <c r="N125" s="37">
        <v>22.6</v>
      </c>
      <c r="O125" s="37">
        <v>11.3</v>
      </c>
      <c r="P125" s="38">
        <v>2.26</v>
      </c>
      <c r="Q125" s="35">
        <f t="shared" si="69"/>
        <v>36.160000000000004</v>
      </c>
      <c r="R125" s="34">
        <f t="shared" si="64"/>
        <v>150.29</v>
      </c>
    </row>
    <row r="126" spans="1:18" ht="12.75" outlineLevel="1">
      <c r="A126" s="25" t="s">
        <v>18</v>
      </c>
      <c r="B126" s="62">
        <v>19.23</v>
      </c>
      <c r="C126" s="62">
        <v>23.36</v>
      </c>
      <c r="D126" s="62">
        <v>21.73</v>
      </c>
      <c r="E126" s="35">
        <f t="shared" si="66"/>
        <v>64.32000000000001</v>
      </c>
      <c r="F126" s="62">
        <v>20.23</v>
      </c>
      <c r="G126" s="62">
        <v>9.64</v>
      </c>
      <c r="H126" s="62">
        <v>1.79</v>
      </c>
      <c r="I126" s="35">
        <f t="shared" si="67"/>
        <v>31.66</v>
      </c>
      <c r="J126" s="62">
        <v>9.93</v>
      </c>
      <c r="K126" s="62">
        <v>9.94</v>
      </c>
      <c r="L126" s="62">
        <v>10.95</v>
      </c>
      <c r="M126" s="35">
        <f t="shared" si="68"/>
        <v>30.819999999999997</v>
      </c>
      <c r="N126" s="62">
        <v>5.28</v>
      </c>
      <c r="O126" s="62">
        <v>11.29</v>
      </c>
      <c r="P126" s="62">
        <v>95.2</v>
      </c>
      <c r="Q126" s="35">
        <f t="shared" si="69"/>
        <v>111.77000000000001</v>
      </c>
      <c r="R126" s="34">
        <f t="shared" si="64"/>
        <v>238.57</v>
      </c>
    </row>
    <row r="127" spans="1:18" ht="12.75" outlineLevel="1">
      <c r="A127" s="23" t="s">
        <v>19</v>
      </c>
      <c r="B127" s="63"/>
      <c r="C127" s="63"/>
      <c r="D127" s="63"/>
      <c r="E127" s="35">
        <f t="shared" si="66"/>
        <v>0</v>
      </c>
      <c r="F127" s="37"/>
      <c r="G127" s="37"/>
      <c r="H127" s="37"/>
      <c r="I127" s="35">
        <f t="shared" si="67"/>
        <v>0</v>
      </c>
      <c r="J127" s="37"/>
      <c r="K127" s="37"/>
      <c r="L127" s="37"/>
      <c r="M127" s="35">
        <f t="shared" si="68"/>
        <v>0</v>
      </c>
      <c r="N127" s="37"/>
      <c r="O127" s="37"/>
      <c r="P127" s="38"/>
      <c r="Q127" s="35">
        <f t="shared" si="69"/>
        <v>0</v>
      </c>
      <c r="R127" s="34">
        <f t="shared" si="64"/>
        <v>0</v>
      </c>
    </row>
    <row r="128" spans="1:18" ht="12.75" outlineLevel="1">
      <c r="A128" s="23" t="s">
        <v>20</v>
      </c>
      <c r="B128" s="63"/>
      <c r="C128" s="63"/>
      <c r="D128" s="63"/>
      <c r="E128" s="35">
        <f t="shared" si="66"/>
        <v>0</v>
      </c>
      <c r="F128" s="37"/>
      <c r="G128" s="37"/>
      <c r="H128" s="37">
        <v>17</v>
      </c>
      <c r="I128" s="35">
        <f t="shared" si="67"/>
        <v>17</v>
      </c>
      <c r="J128" s="37">
        <v>7</v>
      </c>
      <c r="K128" s="37"/>
      <c r="L128" s="37">
        <v>12.78</v>
      </c>
      <c r="M128" s="35">
        <f t="shared" si="68"/>
        <v>19.78</v>
      </c>
      <c r="N128" s="37"/>
      <c r="O128" s="37"/>
      <c r="P128" s="38"/>
      <c r="Q128" s="35">
        <f t="shared" si="69"/>
        <v>0</v>
      </c>
      <c r="R128" s="34">
        <f t="shared" si="64"/>
        <v>36.78</v>
      </c>
    </row>
    <row r="129" spans="1:18" ht="12.75" outlineLevel="1">
      <c r="A129" s="23" t="s">
        <v>72</v>
      </c>
      <c r="B129" s="63"/>
      <c r="C129" s="63"/>
      <c r="D129" s="63"/>
      <c r="E129" s="35"/>
      <c r="F129" s="37"/>
      <c r="G129" s="37"/>
      <c r="H129" s="37"/>
      <c r="I129" s="35"/>
      <c r="J129" s="37"/>
      <c r="K129" s="37"/>
      <c r="L129" s="37"/>
      <c r="M129" s="35"/>
      <c r="N129" s="37"/>
      <c r="O129" s="37"/>
      <c r="P129" s="38"/>
      <c r="Q129" s="35"/>
      <c r="R129" s="34"/>
    </row>
    <row r="130" spans="1:18" ht="12.75" outlineLevel="1">
      <c r="A130" s="23" t="s">
        <v>21</v>
      </c>
      <c r="B130" s="63"/>
      <c r="C130" s="63"/>
      <c r="D130" s="63"/>
      <c r="E130" s="35">
        <f>SUM(B130:D130)</f>
        <v>0</v>
      </c>
      <c r="F130" s="37"/>
      <c r="G130" s="37"/>
      <c r="H130" s="37"/>
      <c r="I130" s="35">
        <f>SUM(F130:H130)</f>
        <v>0</v>
      </c>
      <c r="J130" s="37"/>
      <c r="K130" s="37"/>
      <c r="L130" s="37"/>
      <c r="M130" s="35">
        <f>SUM(J130:L130)</f>
        <v>0</v>
      </c>
      <c r="N130" s="37"/>
      <c r="O130" s="37"/>
      <c r="P130" s="38"/>
      <c r="Q130" s="35">
        <f>SUM(N130:P130)</f>
        <v>0</v>
      </c>
      <c r="R130" s="34">
        <f>Q130+M130+I130+E130</f>
        <v>0</v>
      </c>
    </row>
    <row r="131" spans="1:18" ht="12.75" outlineLevel="1">
      <c r="A131" s="23" t="s">
        <v>22</v>
      </c>
      <c r="B131" s="63"/>
      <c r="C131" s="63">
        <v>4.26</v>
      </c>
      <c r="D131" s="63"/>
      <c r="E131" s="35">
        <f>SUM(B131:D131)</f>
        <v>4.26</v>
      </c>
      <c r="F131" s="37">
        <v>12.78</v>
      </c>
      <c r="G131" s="37"/>
      <c r="H131" s="37">
        <v>12.78</v>
      </c>
      <c r="I131" s="35">
        <f>SUM(F131:H131)</f>
        <v>25.56</v>
      </c>
      <c r="J131" s="37"/>
      <c r="K131" s="37">
        <v>21.3</v>
      </c>
      <c r="L131" s="37"/>
      <c r="M131" s="35">
        <f>SUM(J131:L131)</f>
        <v>21.3</v>
      </c>
      <c r="N131" s="37"/>
      <c r="O131" s="37">
        <v>4.26</v>
      </c>
      <c r="P131" s="38">
        <v>4.26</v>
      </c>
      <c r="Q131" s="35">
        <f>SUM(N131:P131)</f>
        <v>8.52</v>
      </c>
      <c r="R131" s="34">
        <f>Q131+M131+I131+E131</f>
        <v>59.63999999999999</v>
      </c>
    </row>
    <row r="132" spans="1:18" ht="12.75" outlineLevel="1">
      <c r="A132" s="23" t="s">
        <v>61</v>
      </c>
      <c r="B132" s="62"/>
      <c r="C132" s="62"/>
      <c r="D132" s="62"/>
      <c r="E132" s="35">
        <f>SUM(B132:D132)</f>
        <v>0</v>
      </c>
      <c r="F132" s="38"/>
      <c r="G132" s="38"/>
      <c r="H132" s="38"/>
      <c r="I132" s="35">
        <f>SUM(F132:H132)</f>
        <v>0</v>
      </c>
      <c r="J132" s="38"/>
      <c r="K132" s="38"/>
      <c r="L132" s="38"/>
      <c r="M132" s="35">
        <f>SUM(J132:L132)</f>
        <v>0</v>
      </c>
      <c r="N132" s="38"/>
      <c r="O132" s="38"/>
      <c r="P132" s="38"/>
      <c r="Q132" s="35">
        <f>SUM(N132:P132)</f>
        <v>0</v>
      </c>
      <c r="R132" s="34">
        <f>Q132+M132+I132+E132</f>
        <v>0</v>
      </c>
    </row>
    <row r="133" spans="1:25" ht="12.75" outlineLevel="1">
      <c r="A133" s="22" t="s">
        <v>49</v>
      </c>
      <c r="B133" s="33">
        <f aca="true" t="shared" si="70" ref="B133:Y133">SUM(B123:B132)</f>
        <v>134.5</v>
      </c>
      <c r="C133" s="33">
        <f t="shared" si="70"/>
        <v>128.20000000000002</v>
      </c>
      <c r="D133" s="33">
        <f t="shared" si="70"/>
        <v>116.66000000000001</v>
      </c>
      <c r="E133" s="33">
        <f t="shared" si="70"/>
        <v>379.36</v>
      </c>
      <c r="F133" s="33">
        <f t="shared" si="70"/>
        <v>126.45</v>
      </c>
      <c r="G133" s="33">
        <f t="shared" si="70"/>
        <v>102.07</v>
      </c>
      <c r="H133" s="33">
        <f t="shared" si="70"/>
        <v>121.86000000000001</v>
      </c>
      <c r="I133" s="33">
        <f t="shared" si="70"/>
        <v>350.38000000000005</v>
      </c>
      <c r="J133" s="33">
        <f t="shared" si="70"/>
        <v>113.88</v>
      </c>
      <c r="K133" s="33">
        <f t="shared" si="70"/>
        <v>114.8</v>
      </c>
      <c r="L133" s="33">
        <f t="shared" si="70"/>
        <v>131.81</v>
      </c>
      <c r="M133" s="33">
        <f t="shared" si="70"/>
        <v>360.49000000000007</v>
      </c>
      <c r="N133" s="33">
        <f t="shared" si="70"/>
        <v>113</v>
      </c>
      <c r="O133" s="33">
        <f t="shared" si="70"/>
        <v>111.85000000000001</v>
      </c>
      <c r="P133" s="33">
        <f t="shared" si="70"/>
        <v>184.8</v>
      </c>
      <c r="Q133" s="33">
        <f t="shared" si="70"/>
        <v>409.65</v>
      </c>
      <c r="R133" s="90">
        <f t="shared" si="70"/>
        <v>1499.8799999999999</v>
      </c>
      <c r="S133" s="33">
        <f t="shared" si="70"/>
        <v>0</v>
      </c>
      <c r="T133" s="33">
        <f t="shared" si="70"/>
        <v>0</v>
      </c>
      <c r="U133" s="33">
        <f t="shared" si="70"/>
        <v>0</v>
      </c>
      <c r="V133" s="33">
        <f t="shared" si="70"/>
        <v>0</v>
      </c>
      <c r="W133" s="33">
        <f t="shared" si="70"/>
        <v>0</v>
      </c>
      <c r="X133" s="33">
        <f t="shared" si="70"/>
        <v>0</v>
      </c>
      <c r="Y133" s="33">
        <f t="shared" si="70"/>
        <v>0</v>
      </c>
    </row>
    <row r="134" spans="1:21" ht="13.5" thickBot="1">
      <c r="A134" s="84" t="s">
        <v>48</v>
      </c>
      <c r="B134" s="49">
        <f aca="true" t="shared" si="71" ref="B134:R134">B133+B122</f>
        <v>134.5</v>
      </c>
      <c r="C134" s="49">
        <f t="shared" si="71"/>
        <v>128.20000000000002</v>
      </c>
      <c r="D134" s="49">
        <f t="shared" si="71"/>
        <v>339.38</v>
      </c>
      <c r="E134" s="48">
        <f t="shared" si="71"/>
        <v>602.08</v>
      </c>
      <c r="F134" s="49">
        <f>F133+F122</f>
        <v>228.45</v>
      </c>
      <c r="G134" s="49">
        <f>G133+G122</f>
        <v>235.39</v>
      </c>
      <c r="H134" s="49">
        <f t="shared" si="71"/>
        <v>121.86000000000001</v>
      </c>
      <c r="I134" s="48">
        <f t="shared" si="71"/>
        <v>585.7</v>
      </c>
      <c r="J134" s="49">
        <f t="shared" si="71"/>
        <v>113.88</v>
      </c>
      <c r="K134" s="49">
        <f t="shared" si="71"/>
        <v>114.8</v>
      </c>
      <c r="L134" s="49">
        <f t="shared" si="71"/>
        <v>131.81</v>
      </c>
      <c r="M134" s="48">
        <f t="shared" si="71"/>
        <v>360.49000000000007</v>
      </c>
      <c r="N134" s="49">
        <f t="shared" si="71"/>
        <v>113</v>
      </c>
      <c r="O134" s="49">
        <f t="shared" si="71"/>
        <v>111.85000000000001</v>
      </c>
      <c r="P134" s="49">
        <f t="shared" si="71"/>
        <v>715.4000000000001</v>
      </c>
      <c r="Q134" s="48">
        <f t="shared" si="71"/>
        <v>940.25</v>
      </c>
      <c r="R134" s="50">
        <f t="shared" si="71"/>
        <v>2488.52</v>
      </c>
      <c r="S134" s="65">
        <f>((B123/0.12)+(C123/0.12)+(D123/0.12)+(F123/0.12)+(G123/0.12)+(H123/0.12)+(J123/0.12)+(K123/0.12)+(L123/0.12)+(N123/0.12)+(O123/0.12)+(P123/0.12))/12</f>
        <v>621.25</v>
      </c>
      <c r="T134" s="54">
        <f>IF(R134&gt;0,R134/S134,0)</f>
        <v>4.005665995975855</v>
      </c>
      <c r="U134" s="66">
        <f>IF(R125&gt;0,R125/R134,0)</f>
        <v>0.06039332615369778</v>
      </c>
    </row>
    <row r="135" spans="1:18" ht="12.75">
      <c r="A135" s="85" t="s">
        <v>32</v>
      </c>
      <c r="B135" s="86"/>
      <c r="C135" s="86"/>
      <c r="D135" s="86"/>
      <c r="E135" s="87"/>
      <c r="F135" s="86"/>
      <c r="G135" s="86"/>
      <c r="H135" s="86"/>
      <c r="I135" s="87"/>
      <c r="J135" s="86"/>
      <c r="K135" s="86"/>
      <c r="L135" s="86"/>
      <c r="M135" s="87"/>
      <c r="N135" s="86"/>
      <c r="O135" s="86"/>
      <c r="P135" s="86"/>
      <c r="Q135" s="87"/>
      <c r="R135" s="88"/>
    </row>
    <row r="136" spans="1:18" ht="12.75" hidden="1" outlineLevel="1">
      <c r="A136" s="19" t="s">
        <v>40</v>
      </c>
      <c r="B136" s="20"/>
      <c r="C136" s="20"/>
      <c r="D136" s="20"/>
      <c r="E136" s="67">
        <f aca="true" t="shared" si="72" ref="E136:E143">SUM(B136:D136)</f>
        <v>0</v>
      </c>
      <c r="F136" s="20"/>
      <c r="G136" s="20"/>
      <c r="H136" s="20"/>
      <c r="I136" s="67">
        <f aca="true" t="shared" si="73" ref="I136:I143">SUM(F136:H136)</f>
        <v>0</v>
      </c>
      <c r="J136" s="20"/>
      <c r="K136" s="20"/>
      <c r="L136" s="20"/>
      <c r="M136" s="67">
        <f aca="true" t="shared" si="74" ref="M136:M143">SUM(J136:L136)</f>
        <v>0</v>
      </c>
      <c r="N136" s="20"/>
      <c r="O136" s="20"/>
      <c r="P136" s="20"/>
      <c r="Q136" s="67">
        <f aca="true" t="shared" si="75" ref="Q136:Q143">SUM(N136:P136)</f>
        <v>0</v>
      </c>
      <c r="R136" s="21">
        <f aca="true" t="shared" si="76" ref="R136:R150">Q136+M136+I136+E136</f>
        <v>0</v>
      </c>
    </row>
    <row r="137" spans="1:18" ht="12.75" hidden="1" outlineLevel="1">
      <c r="A137" s="19" t="s">
        <v>41</v>
      </c>
      <c r="B137" s="20"/>
      <c r="C137" s="20"/>
      <c r="D137" s="20"/>
      <c r="E137" s="67">
        <f t="shared" si="72"/>
        <v>0</v>
      </c>
      <c r="F137" s="20"/>
      <c r="G137" s="20"/>
      <c r="H137" s="20"/>
      <c r="I137" s="67">
        <f t="shared" si="73"/>
        <v>0</v>
      </c>
      <c r="J137" s="20"/>
      <c r="K137" s="20"/>
      <c r="L137" s="20"/>
      <c r="M137" s="67">
        <f t="shared" si="74"/>
        <v>0</v>
      </c>
      <c r="N137" s="20"/>
      <c r="O137" s="20"/>
      <c r="P137" s="20"/>
      <c r="Q137" s="67">
        <f t="shared" si="75"/>
        <v>0</v>
      </c>
      <c r="R137" s="21">
        <f t="shared" si="76"/>
        <v>0</v>
      </c>
    </row>
    <row r="138" spans="1:18" ht="12.75" hidden="1" outlineLevel="1">
      <c r="A138" s="19" t="s">
        <v>42</v>
      </c>
      <c r="B138" s="20"/>
      <c r="C138" s="20"/>
      <c r="D138" s="20"/>
      <c r="E138" s="67">
        <f t="shared" si="72"/>
        <v>0</v>
      </c>
      <c r="F138" s="20"/>
      <c r="G138" s="20"/>
      <c r="H138" s="20"/>
      <c r="I138" s="67">
        <f t="shared" si="73"/>
        <v>0</v>
      </c>
      <c r="J138" s="20"/>
      <c r="K138" s="20"/>
      <c r="L138" s="20"/>
      <c r="M138" s="67">
        <f t="shared" si="74"/>
        <v>0</v>
      </c>
      <c r="N138" s="20"/>
      <c r="O138" s="20"/>
      <c r="P138" s="20"/>
      <c r="Q138" s="67">
        <f t="shared" si="75"/>
        <v>0</v>
      </c>
      <c r="R138" s="21">
        <f t="shared" si="76"/>
        <v>0</v>
      </c>
    </row>
    <row r="139" spans="1:18" ht="12.75" hidden="1" outlineLevel="1">
      <c r="A139" s="19" t="s">
        <v>43</v>
      </c>
      <c r="B139" s="20"/>
      <c r="C139" s="20"/>
      <c r="D139" s="20"/>
      <c r="E139" s="67">
        <f t="shared" si="72"/>
        <v>0</v>
      </c>
      <c r="F139" s="20"/>
      <c r="G139" s="20"/>
      <c r="H139" s="20"/>
      <c r="I139" s="67">
        <f t="shared" si="73"/>
        <v>0</v>
      </c>
      <c r="J139" s="20"/>
      <c r="K139" s="20"/>
      <c r="L139" s="20"/>
      <c r="M139" s="67">
        <f t="shared" si="74"/>
        <v>0</v>
      </c>
      <c r="N139" s="20"/>
      <c r="O139" s="20"/>
      <c r="P139" s="20"/>
      <c r="Q139" s="67">
        <f t="shared" si="75"/>
        <v>0</v>
      </c>
      <c r="R139" s="21">
        <f t="shared" si="76"/>
        <v>0</v>
      </c>
    </row>
    <row r="140" spans="1:18" ht="12.75" hidden="1" outlineLevel="1">
      <c r="A140" s="19" t="s">
        <v>44</v>
      </c>
      <c r="B140" s="20"/>
      <c r="C140" s="20"/>
      <c r="D140" s="20"/>
      <c r="E140" s="67">
        <f t="shared" si="72"/>
        <v>0</v>
      </c>
      <c r="F140" s="20"/>
      <c r="G140" s="20"/>
      <c r="H140" s="20"/>
      <c r="I140" s="67">
        <f t="shared" si="73"/>
        <v>0</v>
      </c>
      <c r="J140" s="20"/>
      <c r="K140" s="20"/>
      <c r="L140" s="20"/>
      <c r="M140" s="67">
        <f t="shared" si="74"/>
        <v>0</v>
      </c>
      <c r="N140" s="20"/>
      <c r="O140" s="20"/>
      <c r="P140" s="20"/>
      <c r="Q140" s="67">
        <f t="shared" si="75"/>
        <v>0</v>
      </c>
      <c r="R140" s="21">
        <f t="shared" si="76"/>
        <v>0</v>
      </c>
    </row>
    <row r="141" spans="1:18" ht="12.75" hidden="1" outlineLevel="1">
      <c r="A141" s="19" t="s">
        <v>45</v>
      </c>
      <c r="B141" s="62"/>
      <c r="C141" s="62"/>
      <c r="D141" s="62">
        <v>315.48</v>
      </c>
      <c r="E141" s="35">
        <f t="shared" si="72"/>
        <v>315.48</v>
      </c>
      <c r="F141" s="62">
        <v>144.48</v>
      </c>
      <c r="G141" s="62">
        <f>154.59+34.25</f>
        <v>188.84</v>
      </c>
      <c r="H141" s="62"/>
      <c r="I141" s="35">
        <f t="shared" si="73"/>
        <v>333.32</v>
      </c>
      <c r="J141" s="62"/>
      <c r="K141" s="62"/>
      <c r="L141" s="62"/>
      <c r="M141" s="35">
        <f t="shared" si="74"/>
        <v>0</v>
      </c>
      <c r="N141" s="62"/>
      <c r="O141" s="62"/>
      <c r="P141" s="62">
        <v>741.81</v>
      </c>
      <c r="Q141" s="35">
        <f t="shared" si="75"/>
        <v>741.81</v>
      </c>
      <c r="R141" s="34">
        <f t="shared" si="76"/>
        <v>1390.61</v>
      </c>
    </row>
    <row r="142" spans="1:18" ht="12.75" hidden="1" outlineLevel="1">
      <c r="A142" s="19" t="s">
        <v>46</v>
      </c>
      <c r="B142" s="20"/>
      <c r="C142" s="20"/>
      <c r="D142" s="20"/>
      <c r="E142" s="67">
        <f t="shared" si="72"/>
        <v>0</v>
      </c>
      <c r="F142" s="20"/>
      <c r="G142" s="20"/>
      <c r="H142" s="20"/>
      <c r="I142" s="67">
        <f t="shared" si="73"/>
        <v>0</v>
      </c>
      <c r="J142" s="20"/>
      <c r="K142" s="20"/>
      <c r="L142" s="20"/>
      <c r="M142" s="67">
        <f t="shared" si="74"/>
        <v>0</v>
      </c>
      <c r="N142" s="20"/>
      <c r="O142" s="20"/>
      <c r="P142" s="20"/>
      <c r="Q142" s="67">
        <f t="shared" si="75"/>
        <v>0</v>
      </c>
      <c r="R142" s="21">
        <f t="shared" si="76"/>
        <v>0</v>
      </c>
    </row>
    <row r="143" spans="1:18" ht="12.75" hidden="1" outlineLevel="1">
      <c r="A143" s="19" t="s">
        <v>58</v>
      </c>
      <c r="B143" s="62"/>
      <c r="C143" s="62"/>
      <c r="D143" s="62"/>
      <c r="E143" s="59">
        <f t="shared" si="72"/>
        <v>0</v>
      </c>
      <c r="F143" s="52"/>
      <c r="G143" s="52"/>
      <c r="H143" s="52"/>
      <c r="I143" s="59">
        <f t="shared" si="73"/>
        <v>0</v>
      </c>
      <c r="J143" s="52"/>
      <c r="K143" s="52"/>
      <c r="L143" s="52"/>
      <c r="M143" s="59">
        <f t="shared" si="74"/>
        <v>0</v>
      </c>
      <c r="N143" s="52"/>
      <c r="O143" s="52"/>
      <c r="P143" s="52"/>
      <c r="Q143" s="59">
        <f t="shared" si="75"/>
        <v>0</v>
      </c>
      <c r="R143" s="60">
        <f t="shared" si="76"/>
        <v>0</v>
      </c>
    </row>
    <row r="144" spans="1:18" ht="12.75" hidden="1" outlineLevel="1">
      <c r="A144" s="22" t="s">
        <v>47</v>
      </c>
      <c r="B144" s="33">
        <f aca="true" t="shared" si="77" ref="B144:Q144">SUM(B136:B143)</f>
        <v>0</v>
      </c>
      <c r="C144" s="33">
        <f t="shared" si="77"/>
        <v>0</v>
      </c>
      <c r="D144" s="33">
        <f t="shared" si="77"/>
        <v>315.48</v>
      </c>
      <c r="E144" s="33">
        <f t="shared" si="77"/>
        <v>315.48</v>
      </c>
      <c r="F144" s="33">
        <f t="shared" si="77"/>
        <v>144.48</v>
      </c>
      <c r="G144" s="33">
        <f t="shared" si="77"/>
        <v>188.84</v>
      </c>
      <c r="H144" s="33">
        <f t="shared" si="77"/>
        <v>0</v>
      </c>
      <c r="I144" s="33">
        <f t="shared" si="77"/>
        <v>333.32</v>
      </c>
      <c r="J144" s="33">
        <f t="shared" si="77"/>
        <v>0</v>
      </c>
      <c r="K144" s="33">
        <f t="shared" si="77"/>
        <v>0</v>
      </c>
      <c r="L144" s="33">
        <f t="shared" si="77"/>
        <v>0</v>
      </c>
      <c r="M144" s="33">
        <f t="shared" si="77"/>
        <v>0</v>
      </c>
      <c r="N144" s="33">
        <f t="shared" si="77"/>
        <v>0</v>
      </c>
      <c r="O144" s="33">
        <f t="shared" si="77"/>
        <v>0</v>
      </c>
      <c r="P144" s="33">
        <f t="shared" si="77"/>
        <v>741.81</v>
      </c>
      <c r="Q144" s="33">
        <f t="shared" si="77"/>
        <v>741.81</v>
      </c>
      <c r="R144" s="34">
        <f t="shared" si="76"/>
        <v>1390.61</v>
      </c>
    </row>
    <row r="145" spans="1:18" ht="12.75" hidden="1" outlineLevel="1">
      <c r="A145" s="23" t="s">
        <v>15</v>
      </c>
      <c r="B145" s="63">
        <v>106.68</v>
      </c>
      <c r="C145" s="63">
        <v>106.08</v>
      </c>
      <c r="D145" s="63">
        <v>106.08</v>
      </c>
      <c r="E145" s="35">
        <f aca="true" t="shared" si="78" ref="E145:E150">SUM(B145:D145)</f>
        <v>318.84</v>
      </c>
      <c r="F145" s="37">
        <v>104.76</v>
      </c>
      <c r="G145" s="37">
        <v>104.4</v>
      </c>
      <c r="H145" s="37">
        <v>104.4</v>
      </c>
      <c r="I145" s="35">
        <f aca="true" t="shared" si="79" ref="I145:I151">SUM(F145:H145)</f>
        <v>313.56000000000006</v>
      </c>
      <c r="J145" s="37">
        <v>104.4</v>
      </c>
      <c r="K145" s="37">
        <v>104.52</v>
      </c>
      <c r="L145" s="37">
        <v>103.92</v>
      </c>
      <c r="M145" s="35">
        <f aca="true" t="shared" si="80" ref="M145:M150">SUM(J145:L145)</f>
        <v>312.84000000000003</v>
      </c>
      <c r="N145" s="37">
        <v>103.68</v>
      </c>
      <c r="O145" s="37">
        <v>103.08</v>
      </c>
      <c r="P145" s="38">
        <v>102.48</v>
      </c>
      <c r="Q145" s="35">
        <f aca="true" t="shared" si="81" ref="Q145:Q150">SUM(N145:P145)</f>
        <v>309.24</v>
      </c>
      <c r="R145" s="34">
        <f t="shared" si="76"/>
        <v>1254.48</v>
      </c>
    </row>
    <row r="146" spans="1:18" ht="12.75" hidden="1" outlineLevel="1">
      <c r="A146" s="23" t="s">
        <v>16</v>
      </c>
      <c r="B146" s="62">
        <v>21</v>
      </c>
      <c r="C146" s="62">
        <v>21</v>
      </c>
      <c r="D146" s="62">
        <v>21</v>
      </c>
      <c r="E146" s="35">
        <f t="shared" si="78"/>
        <v>63</v>
      </c>
      <c r="F146" s="62">
        <v>21</v>
      </c>
      <c r="G146" s="62">
        <v>21</v>
      </c>
      <c r="H146" s="62">
        <v>21</v>
      </c>
      <c r="I146" s="35">
        <f t="shared" si="79"/>
        <v>63</v>
      </c>
      <c r="J146" s="62">
        <v>21</v>
      </c>
      <c r="K146" s="62">
        <v>21</v>
      </c>
      <c r="L146" s="62">
        <v>21</v>
      </c>
      <c r="M146" s="35">
        <f t="shared" si="80"/>
        <v>63</v>
      </c>
      <c r="N146" s="62">
        <v>21</v>
      </c>
      <c r="O146" s="62">
        <v>21</v>
      </c>
      <c r="P146" s="62">
        <v>21</v>
      </c>
      <c r="Q146" s="35">
        <f t="shared" si="81"/>
        <v>63</v>
      </c>
      <c r="R146" s="34">
        <f t="shared" si="76"/>
        <v>252</v>
      </c>
    </row>
    <row r="147" spans="1:18" ht="12.75" hidden="1" outlineLevel="1">
      <c r="A147" s="23" t="s">
        <v>17</v>
      </c>
      <c r="B147" s="63">
        <v>16.95</v>
      </c>
      <c r="C147" s="63">
        <v>7.91</v>
      </c>
      <c r="D147" s="63">
        <v>12.43</v>
      </c>
      <c r="E147" s="35">
        <f t="shared" si="78"/>
        <v>37.29</v>
      </c>
      <c r="F147" s="37">
        <v>5.65</v>
      </c>
      <c r="G147" s="37">
        <v>6.78</v>
      </c>
      <c r="H147" s="37">
        <v>9.04</v>
      </c>
      <c r="I147" s="35">
        <f t="shared" si="79"/>
        <v>21.47</v>
      </c>
      <c r="J147" s="37">
        <v>10.17</v>
      </c>
      <c r="K147" s="37">
        <v>9.04</v>
      </c>
      <c r="L147" s="37">
        <v>7.91</v>
      </c>
      <c r="M147" s="35">
        <f t="shared" si="80"/>
        <v>27.12</v>
      </c>
      <c r="N147" s="37">
        <v>7.91</v>
      </c>
      <c r="O147" s="37">
        <v>15.82</v>
      </c>
      <c r="P147" s="38">
        <v>3.39</v>
      </c>
      <c r="Q147" s="35">
        <f t="shared" si="81"/>
        <v>27.12</v>
      </c>
      <c r="R147" s="34">
        <f t="shared" si="76"/>
        <v>113</v>
      </c>
    </row>
    <row r="148" spans="1:18" ht="12.75" hidden="1" outlineLevel="1">
      <c r="A148" s="25" t="s">
        <v>18</v>
      </c>
      <c r="B148" s="62">
        <v>27.13</v>
      </c>
      <c r="C148" s="62">
        <v>32.96</v>
      </c>
      <c r="D148" s="62">
        <v>30.67</v>
      </c>
      <c r="E148" s="35">
        <f t="shared" si="78"/>
        <v>90.76</v>
      </c>
      <c r="F148" s="62">
        <v>28.54</v>
      </c>
      <c r="G148" s="62">
        <v>13.6</v>
      </c>
      <c r="H148" s="62">
        <v>2.52</v>
      </c>
      <c r="I148" s="35">
        <f t="shared" si="79"/>
        <v>44.660000000000004</v>
      </c>
      <c r="J148" s="62">
        <v>14.01</v>
      </c>
      <c r="K148" s="62">
        <v>14.02</v>
      </c>
      <c r="L148" s="62">
        <v>15.45</v>
      </c>
      <c r="M148" s="35">
        <f t="shared" si="80"/>
        <v>43.480000000000004</v>
      </c>
      <c r="N148" s="62">
        <v>7.39</v>
      </c>
      <c r="O148" s="62">
        <v>15.93</v>
      </c>
      <c r="P148" s="62">
        <v>134.33</v>
      </c>
      <c r="Q148" s="35">
        <f t="shared" si="81"/>
        <v>157.65</v>
      </c>
      <c r="R148" s="34">
        <f t="shared" si="76"/>
        <v>336.55</v>
      </c>
    </row>
    <row r="149" spans="1:18" ht="12.75" hidden="1" outlineLevel="1">
      <c r="A149" s="23" t="s">
        <v>19</v>
      </c>
      <c r="B149" s="63"/>
      <c r="C149" s="63"/>
      <c r="D149" s="63"/>
      <c r="E149" s="35">
        <f t="shared" si="78"/>
        <v>0</v>
      </c>
      <c r="F149" s="37"/>
      <c r="G149" s="37"/>
      <c r="H149" s="37"/>
      <c r="I149" s="35">
        <f t="shared" si="79"/>
        <v>0</v>
      </c>
      <c r="J149" s="37"/>
      <c r="K149" s="37"/>
      <c r="L149" s="37"/>
      <c r="M149" s="35">
        <f t="shared" si="80"/>
        <v>0</v>
      </c>
      <c r="N149" s="37"/>
      <c r="O149" s="37"/>
      <c r="P149" s="38"/>
      <c r="Q149" s="35">
        <f t="shared" si="81"/>
        <v>0</v>
      </c>
      <c r="R149" s="34">
        <f t="shared" si="76"/>
        <v>0</v>
      </c>
    </row>
    <row r="150" spans="1:18" ht="12.75" hidden="1" outlineLevel="1">
      <c r="A150" s="23" t="s">
        <v>20</v>
      </c>
      <c r="B150" s="63">
        <v>43.5</v>
      </c>
      <c r="C150" s="63">
        <v>38.5</v>
      </c>
      <c r="D150" s="63">
        <v>45.5</v>
      </c>
      <c r="E150" s="35">
        <f t="shared" si="78"/>
        <v>127.5</v>
      </c>
      <c r="F150" s="37">
        <v>37</v>
      </c>
      <c r="G150" s="37">
        <v>17.5</v>
      </c>
      <c r="H150" s="37">
        <v>22.5</v>
      </c>
      <c r="I150" s="35">
        <f t="shared" si="79"/>
        <v>77</v>
      </c>
      <c r="J150" s="37">
        <v>5</v>
      </c>
      <c r="K150" s="37">
        <v>6.5</v>
      </c>
      <c r="L150" s="37">
        <v>16</v>
      </c>
      <c r="M150" s="35">
        <f t="shared" si="80"/>
        <v>27.5</v>
      </c>
      <c r="N150" s="37">
        <v>44.5</v>
      </c>
      <c r="O150" s="37">
        <v>44</v>
      </c>
      <c r="P150" s="38">
        <v>23</v>
      </c>
      <c r="Q150" s="35">
        <f t="shared" si="81"/>
        <v>111.5</v>
      </c>
      <c r="R150" s="34">
        <f t="shared" si="76"/>
        <v>343.5</v>
      </c>
    </row>
    <row r="151" spans="1:18" ht="12.75" hidden="1" outlineLevel="1">
      <c r="A151" s="23" t="s">
        <v>72</v>
      </c>
      <c r="B151" s="63"/>
      <c r="C151" s="63">
        <f>0.36+41.81</f>
        <v>42.17</v>
      </c>
      <c r="D151" s="63">
        <f>0.12+41.81</f>
        <v>41.93</v>
      </c>
      <c r="E151" s="35"/>
      <c r="F151" s="37">
        <v>0.24</v>
      </c>
      <c r="G151" s="37">
        <v>0.06</v>
      </c>
      <c r="H151" s="37">
        <v>0.06</v>
      </c>
      <c r="I151" s="35">
        <f t="shared" si="79"/>
        <v>0.36</v>
      </c>
      <c r="J151" s="37"/>
      <c r="K151" s="37">
        <v>0.24</v>
      </c>
      <c r="L151" s="37"/>
      <c r="M151" s="35"/>
      <c r="N151" s="37"/>
      <c r="O151" s="37"/>
      <c r="P151" s="38">
        <v>0.06</v>
      </c>
      <c r="Q151" s="35"/>
      <c r="R151" s="34"/>
    </row>
    <row r="152" spans="1:18" ht="12.75" hidden="1" outlineLevel="1">
      <c r="A152" s="23" t="s">
        <v>21</v>
      </c>
      <c r="B152" s="63"/>
      <c r="C152" s="63"/>
      <c r="D152" s="63"/>
      <c r="E152" s="35">
        <f>SUM(B152:D152)</f>
        <v>0</v>
      </c>
      <c r="F152" s="37"/>
      <c r="G152" s="37"/>
      <c r="H152" s="37"/>
      <c r="I152" s="35">
        <f>SUM(F152:H152)</f>
        <v>0</v>
      </c>
      <c r="J152" s="37"/>
      <c r="K152" s="37"/>
      <c r="L152" s="37"/>
      <c r="M152" s="35">
        <f>SUM(J152:L152)</f>
        <v>0</v>
      </c>
      <c r="N152" s="37"/>
      <c r="O152" s="37"/>
      <c r="P152" s="38"/>
      <c r="Q152" s="35">
        <f>SUM(N152:P152)</f>
        <v>0</v>
      </c>
      <c r="R152" s="34">
        <f>Q152+M152+I152+E152</f>
        <v>0</v>
      </c>
    </row>
    <row r="153" spans="1:18" ht="12.75" hidden="1" outlineLevel="1">
      <c r="A153" s="23" t="s">
        <v>22</v>
      </c>
      <c r="B153" s="63"/>
      <c r="C153" s="63">
        <v>29.82</v>
      </c>
      <c r="D153" s="63">
        <v>8.52</v>
      </c>
      <c r="E153" s="35">
        <f>SUM(B153:D153)</f>
        <v>38.34</v>
      </c>
      <c r="F153" s="37">
        <v>25.56</v>
      </c>
      <c r="G153" s="37"/>
      <c r="H153" s="37">
        <v>21.3</v>
      </c>
      <c r="I153" s="35">
        <f>SUM(F153:H153)</f>
        <v>46.86</v>
      </c>
      <c r="J153" s="37">
        <v>8.52</v>
      </c>
      <c r="K153" s="37">
        <v>4.26</v>
      </c>
      <c r="L153" s="37">
        <v>8.52</v>
      </c>
      <c r="M153" s="35">
        <f>SUM(J153:L153)</f>
        <v>21.299999999999997</v>
      </c>
      <c r="N153" s="37">
        <v>8.52</v>
      </c>
      <c r="O153" s="37"/>
      <c r="P153" s="38">
        <v>8.52</v>
      </c>
      <c r="Q153" s="35">
        <f>SUM(N153:P153)</f>
        <v>17.04</v>
      </c>
      <c r="R153" s="34">
        <f>Q153+M153+I153+E153</f>
        <v>123.53999999999999</v>
      </c>
    </row>
    <row r="154" spans="1:18" ht="12.75" hidden="1" outlineLevel="1">
      <c r="A154" s="23" t="s">
        <v>61</v>
      </c>
      <c r="B154" s="62"/>
      <c r="C154" s="62"/>
      <c r="D154" s="62"/>
      <c r="E154" s="35">
        <f>SUM(B154:D154)</f>
        <v>0</v>
      </c>
      <c r="F154" s="38"/>
      <c r="G154" s="38"/>
      <c r="H154" s="38"/>
      <c r="I154" s="35">
        <f>SUM(F154:H154)</f>
        <v>0</v>
      </c>
      <c r="J154" s="38"/>
      <c r="K154" s="38"/>
      <c r="L154" s="38"/>
      <c r="M154" s="35">
        <f>SUM(J154:L154)</f>
        <v>0</v>
      </c>
      <c r="N154" s="38"/>
      <c r="O154" s="38"/>
      <c r="P154" s="38"/>
      <c r="Q154" s="35">
        <f>SUM(N154:P154)</f>
        <v>0</v>
      </c>
      <c r="R154" s="34">
        <f>Q154+M154+I154+E154</f>
        <v>0</v>
      </c>
    </row>
    <row r="155" spans="1:25" ht="12.75" hidden="1" outlineLevel="1">
      <c r="A155" s="89" t="s">
        <v>49</v>
      </c>
      <c r="B155" s="33">
        <f aca="true" t="shared" si="82" ref="B155:Y155">SUM(B145:B154)</f>
        <v>215.26</v>
      </c>
      <c r="C155" s="33">
        <f t="shared" si="82"/>
        <v>278.44</v>
      </c>
      <c r="D155" s="33">
        <f t="shared" si="82"/>
        <v>266.13</v>
      </c>
      <c r="E155" s="33">
        <f t="shared" si="82"/>
        <v>675.73</v>
      </c>
      <c r="F155" s="33">
        <f t="shared" si="82"/>
        <v>222.75</v>
      </c>
      <c r="G155" s="33">
        <f t="shared" si="82"/>
        <v>163.34</v>
      </c>
      <c r="H155" s="33">
        <f t="shared" si="82"/>
        <v>180.82000000000002</v>
      </c>
      <c r="I155" s="33">
        <f t="shared" si="82"/>
        <v>566.9100000000001</v>
      </c>
      <c r="J155" s="33">
        <f t="shared" si="82"/>
        <v>163.1</v>
      </c>
      <c r="K155" s="33">
        <f t="shared" si="82"/>
        <v>159.58</v>
      </c>
      <c r="L155" s="33">
        <f t="shared" si="82"/>
        <v>172.8</v>
      </c>
      <c r="M155" s="33">
        <f t="shared" si="82"/>
        <v>495.24000000000007</v>
      </c>
      <c r="N155" s="33">
        <f t="shared" si="82"/>
        <v>193</v>
      </c>
      <c r="O155" s="33">
        <f t="shared" si="82"/>
        <v>199.83</v>
      </c>
      <c r="P155" s="33">
        <f t="shared" si="82"/>
        <v>292.78000000000003</v>
      </c>
      <c r="Q155" s="33">
        <f t="shared" si="82"/>
        <v>685.55</v>
      </c>
      <c r="R155" s="90">
        <f t="shared" si="82"/>
        <v>2423.0699999999997</v>
      </c>
      <c r="S155" s="33">
        <f t="shared" si="82"/>
        <v>0</v>
      </c>
      <c r="T155" s="33">
        <f t="shared" si="82"/>
        <v>0</v>
      </c>
      <c r="U155" s="33">
        <f t="shared" si="82"/>
        <v>0</v>
      </c>
      <c r="V155" s="33">
        <f t="shared" si="82"/>
        <v>0</v>
      </c>
      <c r="W155" s="33">
        <f t="shared" si="82"/>
        <v>0</v>
      </c>
      <c r="X155" s="33">
        <f t="shared" si="82"/>
        <v>0</v>
      </c>
      <c r="Y155" s="33">
        <f t="shared" si="82"/>
        <v>0</v>
      </c>
    </row>
    <row r="156" spans="1:21" ht="13.5" collapsed="1" thickBot="1">
      <c r="A156" s="84" t="s">
        <v>48</v>
      </c>
      <c r="B156" s="49">
        <f aca="true" t="shared" si="83" ref="B156:R156">B155+B144</f>
        <v>215.26</v>
      </c>
      <c r="C156" s="49">
        <f t="shared" si="83"/>
        <v>278.44</v>
      </c>
      <c r="D156" s="49">
        <f t="shared" si="83"/>
        <v>581.61</v>
      </c>
      <c r="E156" s="48">
        <f t="shared" si="83"/>
        <v>991.21</v>
      </c>
      <c r="F156" s="49">
        <f>F155+F144</f>
        <v>367.23</v>
      </c>
      <c r="G156" s="49">
        <f>G155+G144</f>
        <v>352.18</v>
      </c>
      <c r="H156" s="49">
        <f t="shared" si="83"/>
        <v>180.82000000000002</v>
      </c>
      <c r="I156" s="48">
        <f t="shared" si="83"/>
        <v>900.23</v>
      </c>
      <c r="J156" s="49">
        <f t="shared" si="83"/>
        <v>163.1</v>
      </c>
      <c r="K156" s="49">
        <f t="shared" si="83"/>
        <v>159.58</v>
      </c>
      <c r="L156" s="49">
        <f t="shared" si="83"/>
        <v>172.8</v>
      </c>
      <c r="M156" s="48">
        <f t="shared" si="83"/>
        <v>495.24000000000007</v>
      </c>
      <c r="N156" s="49">
        <f t="shared" si="83"/>
        <v>193</v>
      </c>
      <c r="O156" s="49">
        <f t="shared" si="83"/>
        <v>199.83</v>
      </c>
      <c r="P156" s="49">
        <f t="shared" si="83"/>
        <v>1034.59</v>
      </c>
      <c r="Q156" s="48">
        <f t="shared" si="83"/>
        <v>1427.36</v>
      </c>
      <c r="R156" s="50">
        <f t="shared" si="83"/>
        <v>3813.6799999999994</v>
      </c>
      <c r="S156" s="65">
        <f>((B145/0.12)+(C145/0.12)+(D145/0.12)+(F145/0.12)+(G145/0.12)+(H145/0.12)+(J145/0.12)+(K145/0.12)+(L145/0.12)+(N145/0.12)+(O145/0.12)+(P145/0.12))/12</f>
        <v>871.1666666666666</v>
      </c>
      <c r="T156" s="54">
        <f>IF(R156&gt;0,R156/S156,0)</f>
        <v>4.3776697914673806</v>
      </c>
      <c r="U156" s="66">
        <f>IF(R147&gt;0,R147/R156,0)</f>
        <v>0.029630173480732526</v>
      </c>
    </row>
    <row r="157" spans="1:18" ht="12.75">
      <c r="A157" s="85" t="s">
        <v>33</v>
      </c>
      <c r="B157" s="86"/>
      <c r="C157" s="86"/>
      <c r="D157" s="86"/>
      <c r="E157" s="87"/>
      <c r="F157" s="86"/>
      <c r="G157" s="86"/>
      <c r="H157" s="86"/>
      <c r="I157" s="87"/>
      <c r="J157" s="86"/>
      <c r="K157" s="86"/>
      <c r="L157" s="86"/>
      <c r="M157" s="87"/>
      <c r="N157" s="86"/>
      <c r="O157" s="86"/>
      <c r="P157" s="86"/>
      <c r="Q157" s="87"/>
      <c r="R157" s="88"/>
    </row>
    <row r="158" spans="1:18" ht="12.75" hidden="1" outlineLevel="1">
      <c r="A158" s="19" t="s">
        <v>40</v>
      </c>
      <c r="B158" s="20"/>
      <c r="C158" s="20"/>
      <c r="D158" s="20"/>
      <c r="E158" s="67">
        <f aca="true" t="shared" si="84" ref="E158:E165">SUM(B158:D158)</f>
        <v>0</v>
      </c>
      <c r="F158" s="20"/>
      <c r="G158" s="20"/>
      <c r="H158" s="20"/>
      <c r="I158" s="67">
        <f aca="true" t="shared" si="85" ref="I158:I165">SUM(F158:H158)</f>
        <v>0</v>
      </c>
      <c r="J158" s="20"/>
      <c r="K158" s="20"/>
      <c r="L158" s="20"/>
      <c r="M158" s="67">
        <f aca="true" t="shared" si="86" ref="M158:M165">SUM(J158:L158)</f>
        <v>0</v>
      </c>
      <c r="N158" s="20"/>
      <c r="O158" s="20"/>
      <c r="P158" s="20"/>
      <c r="Q158" s="67">
        <f aca="true" t="shared" si="87" ref="Q158:Q165">SUM(N158:P158)</f>
        <v>0</v>
      </c>
      <c r="R158" s="21">
        <f aca="true" t="shared" si="88" ref="R158:R172">Q158+M158+I158+E158</f>
        <v>0</v>
      </c>
    </row>
    <row r="159" spans="1:18" ht="12.75" hidden="1" outlineLevel="1">
      <c r="A159" s="19" t="s">
        <v>41</v>
      </c>
      <c r="B159" s="20"/>
      <c r="C159" s="20"/>
      <c r="D159" s="20"/>
      <c r="E159" s="67">
        <f t="shared" si="84"/>
        <v>0</v>
      </c>
      <c r="F159" s="20"/>
      <c r="G159" s="20"/>
      <c r="H159" s="20"/>
      <c r="I159" s="67">
        <f t="shared" si="85"/>
        <v>0</v>
      </c>
      <c r="J159" s="20"/>
      <c r="K159" s="20"/>
      <c r="L159" s="20"/>
      <c r="M159" s="67">
        <f t="shared" si="86"/>
        <v>0</v>
      </c>
      <c r="N159" s="20"/>
      <c r="O159" s="20"/>
      <c r="P159" s="20"/>
      <c r="Q159" s="67">
        <f t="shared" si="87"/>
        <v>0</v>
      </c>
      <c r="R159" s="21">
        <f t="shared" si="88"/>
        <v>0</v>
      </c>
    </row>
    <row r="160" spans="1:18" ht="12.75" hidden="1" outlineLevel="1">
      <c r="A160" s="19" t="s">
        <v>42</v>
      </c>
      <c r="B160" s="20"/>
      <c r="C160" s="20"/>
      <c r="D160" s="20"/>
      <c r="E160" s="67">
        <f t="shared" si="84"/>
        <v>0</v>
      </c>
      <c r="F160" s="20"/>
      <c r="G160" s="20"/>
      <c r="H160" s="20"/>
      <c r="I160" s="67">
        <f t="shared" si="85"/>
        <v>0</v>
      </c>
      <c r="J160" s="20"/>
      <c r="K160" s="20"/>
      <c r="L160" s="20"/>
      <c r="M160" s="67">
        <f t="shared" si="86"/>
        <v>0</v>
      </c>
      <c r="N160" s="20"/>
      <c r="O160" s="20"/>
      <c r="P160" s="20"/>
      <c r="Q160" s="67">
        <f t="shared" si="87"/>
        <v>0</v>
      </c>
      <c r="R160" s="21">
        <f t="shared" si="88"/>
        <v>0</v>
      </c>
    </row>
    <row r="161" spans="1:18" ht="12.75" hidden="1" outlineLevel="1">
      <c r="A161" s="19" t="s">
        <v>43</v>
      </c>
      <c r="B161" s="20"/>
      <c r="C161" s="20"/>
      <c r="D161" s="20"/>
      <c r="E161" s="67">
        <f t="shared" si="84"/>
        <v>0</v>
      </c>
      <c r="F161" s="20"/>
      <c r="G161" s="20"/>
      <c r="H161" s="20"/>
      <c r="I161" s="67">
        <f t="shared" si="85"/>
        <v>0</v>
      </c>
      <c r="J161" s="20"/>
      <c r="K161" s="20"/>
      <c r="L161" s="20"/>
      <c r="M161" s="67">
        <f t="shared" si="86"/>
        <v>0</v>
      </c>
      <c r="N161" s="20"/>
      <c r="O161" s="20"/>
      <c r="P161" s="20"/>
      <c r="Q161" s="67">
        <f t="shared" si="87"/>
        <v>0</v>
      </c>
      <c r="R161" s="21">
        <f t="shared" si="88"/>
        <v>0</v>
      </c>
    </row>
    <row r="162" spans="1:18" ht="12.75" hidden="1" outlineLevel="1">
      <c r="A162" s="19" t="s">
        <v>44</v>
      </c>
      <c r="B162" s="20"/>
      <c r="C162" s="20"/>
      <c r="D162" s="20"/>
      <c r="E162" s="67">
        <f t="shared" si="84"/>
        <v>0</v>
      </c>
      <c r="F162" s="20"/>
      <c r="G162" s="20"/>
      <c r="H162" s="20"/>
      <c r="I162" s="67">
        <f t="shared" si="85"/>
        <v>0</v>
      </c>
      <c r="J162" s="20"/>
      <c r="K162" s="20"/>
      <c r="L162" s="20"/>
      <c r="M162" s="67">
        <f t="shared" si="86"/>
        <v>0</v>
      </c>
      <c r="N162" s="20"/>
      <c r="O162" s="20"/>
      <c r="P162" s="20"/>
      <c r="Q162" s="67">
        <f t="shared" si="87"/>
        <v>0</v>
      </c>
      <c r="R162" s="21">
        <f t="shared" si="88"/>
        <v>0</v>
      </c>
    </row>
    <row r="163" spans="1:18" ht="12.75" hidden="1" outlineLevel="1">
      <c r="A163" s="19" t="s">
        <v>45</v>
      </c>
      <c r="B163" s="62"/>
      <c r="C163" s="62"/>
      <c r="D163" s="62">
        <v>167.48</v>
      </c>
      <c r="E163" s="35">
        <f t="shared" si="84"/>
        <v>167.48</v>
      </c>
      <c r="F163" s="62">
        <v>76.7</v>
      </c>
      <c r="G163" s="62">
        <f>82.07+18.18</f>
        <v>100.25</v>
      </c>
      <c r="H163" s="62"/>
      <c r="I163" s="35">
        <f t="shared" si="85"/>
        <v>176.95</v>
      </c>
      <c r="J163" s="62"/>
      <c r="K163" s="62"/>
      <c r="L163" s="62"/>
      <c r="M163" s="35">
        <f t="shared" si="86"/>
        <v>0</v>
      </c>
      <c r="N163" s="62"/>
      <c r="O163" s="62"/>
      <c r="P163" s="62">
        <v>371.3</v>
      </c>
      <c r="Q163" s="35">
        <f t="shared" si="87"/>
        <v>371.3</v>
      </c>
      <c r="R163" s="34">
        <f t="shared" si="88"/>
        <v>715.73</v>
      </c>
    </row>
    <row r="164" spans="1:18" ht="12.75" hidden="1" outlineLevel="1">
      <c r="A164" s="19" t="s">
        <v>46</v>
      </c>
      <c r="B164" s="20"/>
      <c r="C164" s="20"/>
      <c r="D164" s="20"/>
      <c r="E164" s="67">
        <f t="shared" si="84"/>
        <v>0</v>
      </c>
      <c r="F164" s="20"/>
      <c r="G164" s="20"/>
      <c r="H164" s="20"/>
      <c r="I164" s="67">
        <f t="shared" si="85"/>
        <v>0</v>
      </c>
      <c r="J164" s="20"/>
      <c r="K164" s="20"/>
      <c r="L164" s="20"/>
      <c r="M164" s="67">
        <f t="shared" si="86"/>
        <v>0</v>
      </c>
      <c r="N164" s="20"/>
      <c r="O164" s="20"/>
      <c r="P164" s="20"/>
      <c r="Q164" s="67">
        <f t="shared" si="87"/>
        <v>0</v>
      </c>
      <c r="R164" s="21">
        <f t="shared" si="88"/>
        <v>0</v>
      </c>
    </row>
    <row r="165" spans="1:18" ht="12.75" hidden="1" outlineLevel="1">
      <c r="A165" s="19" t="s">
        <v>58</v>
      </c>
      <c r="B165" s="62"/>
      <c r="C165" s="62"/>
      <c r="D165" s="62"/>
      <c r="E165" s="59">
        <f t="shared" si="84"/>
        <v>0</v>
      </c>
      <c r="F165" s="52"/>
      <c r="G165" s="52"/>
      <c r="H165" s="52"/>
      <c r="I165" s="59">
        <f t="shared" si="85"/>
        <v>0</v>
      </c>
      <c r="J165" s="52"/>
      <c r="K165" s="52"/>
      <c r="L165" s="52"/>
      <c r="M165" s="59">
        <f t="shared" si="86"/>
        <v>0</v>
      </c>
      <c r="N165" s="52"/>
      <c r="O165" s="52"/>
      <c r="P165" s="52"/>
      <c r="Q165" s="59">
        <f t="shared" si="87"/>
        <v>0</v>
      </c>
      <c r="R165" s="60">
        <f t="shared" si="88"/>
        <v>0</v>
      </c>
    </row>
    <row r="166" spans="1:18" ht="12.75" hidden="1" outlineLevel="1">
      <c r="A166" s="22" t="s">
        <v>47</v>
      </c>
      <c r="B166" s="33">
        <f aca="true" t="shared" si="89" ref="B166:Q166">SUM(B158:B165)</f>
        <v>0</v>
      </c>
      <c r="C166" s="33">
        <f t="shared" si="89"/>
        <v>0</v>
      </c>
      <c r="D166" s="33">
        <f t="shared" si="89"/>
        <v>167.48</v>
      </c>
      <c r="E166" s="33">
        <f t="shared" si="89"/>
        <v>167.48</v>
      </c>
      <c r="F166" s="33">
        <f t="shared" si="89"/>
        <v>76.7</v>
      </c>
      <c r="G166" s="33">
        <f t="shared" si="89"/>
        <v>100.25</v>
      </c>
      <c r="H166" s="33">
        <f t="shared" si="89"/>
        <v>0</v>
      </c>
      <c r="I166" s="33">
        <f t="shared" si="89"/>
        <v>176.95</v>
      </c>
      <c r="J166" s="33">
        <f t="shared" si="89"/>
        <v>0</v>
      </c>
      <c r="K166" s="33">
        <f t="shared" si="89"/>
        <v>0</v>
      </c>
      <c r="L166" s="33">
        <f t="shared" si="89"/>
        <v>0</v>
      </c>
      <c r="M166" s="33">
        <f t="shared" si="89"/>
        <v>0</v>
      </c>
      <c r="N166" s="33">
        <f t="shared" si="89"/>
        <v>0</v>
      </c>
      <c r="O166" s="33">
        <f t="shared" si="89"/>
        <v>0</v>
      </c>
      <c r="P166" s="33">
        <f t="shared" si="89"/>
        <v>371.3</v>
      </c>
      <c r="Q166" s="33">
        <f t="shared" si="89"/>
        <v>371.3</v>
      </c>
      <c r="R166" s="34">
        <f t="shared" si="88"/>
        <v>715.73</v>
      </c>
    </row>
    <row r="167" spans="1:18" ht="12.75" hidden="1" outlineLevel="1">
      <c r="A167" s="23" t="s">
        <v>15</v>
      </c>
      <c r="B167" s="63">
        <v>56.64</v>
      </c>
      <c r="C167" s="63">
        <v>55.92</v>
      </c>
      <c r="D167" s="63">
        <v>55.44</v>
      </c>
      <c r="E167" s="35">
        <f aca="true" t="shared" si="90" ref="E167:E172">SUM(B167:D167)</f>
        <v>168</v>
      </c>
      <c r="F167" s="37">
        <v>55.08</v>
      </c>
      <c r="G167" s="37">
        <v>55.2</v>
      </c>
      <c r="H167" s="37">
        <v>52.32</v>
      </c>
      <c r="I167" s="35">
        <f aca="true" t="shared" si="91" ref="I167:I172">SUM(F167:H167)</f>
        <v>162.6</v>
      </c>
      <c r="J167" s="37">
        <v>51.72</v>
      </c>
      <c r="K167" s="37">
        <v>51.36</v>
      </c>
      <c r="L167" s="37">
        <v>51.24</v>
      </c>
      <c r="M167" s="35">
        <f aca="true" t="shared" si="92" ref="M167:M172">SUM(J167:L167)</f>
        <v>154.32</v>
      </c>
      <c r="N167" s="37">
        <v>51</v>
      </c>
      <c r="O167" s="37">
        <v>50.88</v>
      </c>
      <c r="P167" s="38">
        <v>50.4</v>
      </c>
      <c r="Q167" s="35">
        <f aca="true" t="shared" si="93" ref="Q167:Q172">SUM(N167:P167)</f>
        <v>152.28</v>
      </c>
      <c r="R167" s="34">
        <f t="shared" si="88"/>
        <v>637.2</v>
      </c>
    </row>
    <row r="168" spans="1:18" ht="12.75" hidden="1" outlineLevel="1">
      <c r="A168" s="23" t="s">
        <v>16</v>
      </c>
      <c r="B168" s="62">
        <v>10.36</v>
      </c>
      <c r="C168" s="62">
        <v>10.36</v>
      </c>
      <c r="D168" s="63">
        <v>10.36</v>
      </c>
      <c r="E168" s="35">
        <f t="shared" si="90"/>
        <v>31.08</v>
      </c>
      <c r="F168" s="62">
        <v>10.36</v>
      </c>
      <c r="G168" s="62">
        <v>10.36</v>
      </c>
      <c r="H168" s="62">
        <v>10.36</v>
      </c>
      <c r="I168" s="35">
        <f t="shared" si="91"/>
        <v>31.08</v>
      </c>
      <c r="J168" s="62">
        <v>10.36</v>
      </c>
      <c r="K168" s="62">
        <v>10.36</v>
      </c>
      <c r="L168" s="62">
        <v>10.36</v>
      </c>
      <c r="M168" s="35">
        <f t="shared" si="92"/>
        <v>31.08</v>
      </c>
      <c r="N168" s="62">
        <v>10.36</v>
      </c>
      <c r="O168" s="62">
        <v>10.36</v>
      </c>
      <c r="P168" s="62">
        <v>10.36</v>
      </c>
      <c r="Q168" s="35">
        <f t="shared" si="93"/>
        <v>31.08</v>
      </c>
      <c r="R168" s="34">
        <f t="shared" si="88"/>
        <v>124.32</v>
      </c>
    </row>
    <row r="169" spans="1:18" ht="12.75" hidden="1" outlineLevel="1">
      <c r="A169" s="23" t="s">
        <v>17</v>
      </c>
      <c r="B169" s="63">
        <v>9.04</v>
      </c>
      <c r="C169" s="63">
        <v>7.91</v>
      </c>
      <c r="D169" s="63">
        <v>4.52</v>
      </c>
      <c r="E169" s="35">
        <f t="shared" si="90"/>
        <v>21.47</v>
      </c>
      <c r="F169" s="37">
        <v>5.65</v>
      </c>
      <c r="G169" s="37">
        <v>4.52</v>
      </c>
      <c r="H169" s="37">
        <v>5.65</v>
      </c>
      <c r="I169" s="35">
        <f t="shared" si="91"/>
        <v>15.82</v>
      </c>
      <c r="J169" s="37">
        <v>5.65</v>
      </c>
      <c r="K169" s="37">
        <v>3.39</v>
      </c>
      <c r="L169" s="37">
        <v>10.17</v>
      </c>
      <c r="M169" s="35">
        <f t="shared" si="92"/>
        <v>19.21</v>
      </c>
      <c r="N169" s="37">
        <v>6.78</v>
      </c>
      <c r="O169" s="37">
        <v>11.3</v>
      </c>
      <c r="P169" s="38">
        <v>2.26</v>
      </c>
      <c r="Q169" s="35">
        <f t="shared" si="93"/>
        <v>20.340000000000003</v>
      </c>
      <c r="R169" s="34">
        <f t="shared" si="88"/>
        <v>76.84</v>
      </c>
    </row>
    <row r="170" spans="1:18" ht="12.75" hidden="1" outlineLevel="1">
      <c r="A170" s="25" t="s">
        <v>18</v>
      </c>
      <c r="B170" s="63">
        <v>14.43</v>
      </c>
      <c r="C170" s="63">
        <v>17.54</v>
      </c>
      <c r="D170" s="63">
        <v>16.32</v>
      </c>
      <c r="E170" s="35">
        <f t="shared" si="90"/>
        <v>48.29</v>
      </c>
      <c r="F170" s="37">
        <v>15.19</v>
      </c>
      <c r="G170" s="37">
        <v>7.24</v>
      </c>
      <c r="H170" s="37">
        <v>1.34</v>
      </c>
      <c r="I170" s="35">
        <f t="shared" si="91"/>
        <v>23.77</v>
      </c>
      <c r="J170" s="37">
        <v>7.45</v>
      </c>
      <c r="K170" s="37">
        <v>7.46</v>
      </c>
      <c r="L170" s="37">
        <v>8.22</v>
      </c>
      <c r="M170" s="35">
        <f t="shared" si="92"/>
        <v>23.130000000000003</v>
      </c>
      <c r="N170" s="37">
        <v>3.71</v>
      </c>
      <c r="O170" s="37">
        <v>8.48</v>
      </c>
      <c r="P170" s="38">
        <v>71.48</v>
      </c>
      <c r="Q170" s="35">
        <f t="shared" si="93"/>
        <v>83.67</v>
      </c>
      <c r="R170" s="34">
        <f t="shared" si="88"/>
        <v>178.86</v>
      </c>
    </row>
    <row r="171" spans="1:18" ht="12.75" hidden="1" outlineLevel="1">
      <c r="A171" s="23" t="s">
        <v>19</v>
      </c>
      <c r="B171" s="63">
        <v>0.93</v>
      </c>
      <c r="C171" s="63"/>
      <c r="D171" s="63">
        <v>0.93</v>
      </c>
      <c r="E171" s="35">
        <f t="shared" si="90"/>
        <v>1.86</v>
      </c>
      <c r="F171" s="37"/>
      <c r="G171" s="37"/>
      <c r="H171" s="37"/>
      <c r="I171" s="35">
        <f t="shared" si="91"/>
        <v>0</v>
      </c>
      <c r="J171" s="37"/>
      <c r="K171" s="37">
        <v>1.86</v>
      </c>
      <c r="L171" s="37"/>
      <c r="M171" s="35">
        <f t="shared" si="92"/>
        <v>1.86</v>
      </c>
      <c r="N171" s="37"/>
      <c r="O171" s="37"/>
      <c r="P171" s="38"/>
      <c r="Q171" s="35">
        <f t="shared" si="93"/>
        <v>0</v>
      </c>
      <c r="R171" s="34">
        <f t="shared" si="88"/>
        <v>3.72</v>
      </c>
    </row>
    <row r="172" spans="1:18" ht="12.75" hidden="1" outlineLevel="1">
      <c r="A172" s="23" t="s">
        <v>20</v>
      </c>
      <c r="B172" s="63"/>
      <c r="C172" s="63"/>
      <c r="D172" s="63"/>
      <c r="E172" s="35">
        <f t="shared" si="90"/>
        <v>0</v>
      </c>
      <c r="F172" s="37"/>
      <c r="G172" s="37"/>
      <c r="H172" s="37">
        <v>1.5</v>
      </c>
      <c r="I172" s="35">
        <f t="shared" si="91"/>
        <v>1.5</v>
      </c>
      <c r="J172" s="37">
        <v>8</v>
      </c>
      <c r="K172" s="37"/>
      <c r="L172" s="37"/>
      <c r="M172" s="35">
        <f t="shared" si="92"/>
        <v>8</v>
      </c>
      <c r="N172" s="37"/>
      <c r="O172" s="37"/>
      <c r="P172" s="38"/>
      <c r="Q172" s="35">
        <f t="shared" si="93"/>
        <v>0</v>
      </c>
      <c r="R172" s="34">
        <f t="shared" si="88"/>
        <v>9.5</v>
      </c>
    </row>
    <row r="173" spans="1:18" ht="12.75" hidden="1" outlineLevel="1">
      <c r="A173" s="23" t="s">
        <v>72</v>
      </c>
      <c r="B173" s="63"/>
      <c r="C173" s="63"/>
      <c r="D173" s="63"/>
      <c r="E173" s="35"/>
      <c r="F173" s="37"/>
      <c r="G173" s="37"/>
      <c r="H173" s="37"/>
      <c r="I173" s="35"/>
      <c r="J173" s="37"/>
      <c r="K173" s="37"/>
      <c r="L173" s="37"/>
      <c r="M173" s="35"/>
      <c r="N173" s="37"/>
      <c r="O173" s="37"/>
      <c r="P173" s="38"/>
      <c r="Q173" s="35"/>
      <c r="R173" s="34"/>
    </row>
    <row r="174" spans="1:18" ht="12.75" hidden="1" outlineLevel="1">
      <c r="A174" s="23" t="s">
        <v>21</v>
      </c>
      <c r="B174" s="63"/>
      <c r="C174" s="63"/>
      <c r="D174" s="63"/>
      <c r="E174" s="35">
        <f>SUM(B174:D174)</f>
        <v>0</v>
      </c>
      <c r="F174" s="37"/>
      <c r="G174" s="37"/>
      <c r="H174" s="37"/>
      <c r="I174" s="35">
        <f>SUM(F174:H174)</f>
        <v>0</v>
      </c>
      <c r="J174" s="37"/>
      <c r="K174" s="37"/>
      <c r="L174" s="37"/>
      <c r="M174" s="35">
        <f>SUM(J174:L174)</f>
        <v>0</v>
      </c>
      <c r="N174" s="37"/>
      <c r="O174" s="37"/>
      <c r="P174" s="38"/>
      <c r="Q174" s="35">
        <f>SUM(N174:P174)</f>
        <v>0</v>
      </c>
      <c r="R174" s="34">
        <f>Q174+M174+I174+E174</f>
        <v>0</v>
      </c>
    </row>
    <row r="175" spans="1:18" ht="12.75" hidden="1" outlineLevel="1">
      <c r="A175" s="23" t="s">
        <v>22</v>
      </c>
      <c r="B175" s="63">
        <v>4.26</v>
      </c>
      <c r="C175" s="63">
        <v>4.26</v>
      </c>
      <c r="D175" s="63">
        <v>34.08</v>
      </c>
      <c r="E175" s="35">
        <f>SUM(B175:D175)</f>
        <v>42.599999999999994</v>
      </c>
      <c r="F175" s="37">
        <v>38.34</v>
      </c>
      <c r="G175" s="37">
        <v>4.26</v>
      </c>
      <c r="H175" s="37">
        <v>234.3</v>
      </c>
      <c r="I175" s="35">
        <f>SUM(F175:H175)</f>
        <v>276.90000000000003</v>
      </c>
      <c r="J175" s="37">
        <v>97.98</v>
      </c>
      <c r="K175" s="37">
        <v>8.52</v>
      </c>
      <c r="L175" s="37">
        <v>8.52</v>
      </c>
      <c r="M175" s="35">
        <f>SUM(J175:L175)</f>
        <v>115.02</v>
      </c>
      <c r="N175" s="37">
        <v>46.86</v>
      </c>
      <c r="O175" s="37">
        <v>42.6</v>
      </c>
      <c r="P175" s="38">
        <v>46.86</v>
      </c>
      <c r="Q175" s="35">
        <f>SUM(N175:P175)</f>
        <v>136.32</v>
      </c>
      <c r="R175" s="34">
        <f>Q175+M175+I175+E175</f>
        <v>570.84</v>
      </c>
    </row>
    <row r="176" spans="1:18" ht="12.75" hidden="1" outlineLevel="1">
      <c r="A176" s="23" t="s">
        <v>61</v>
      </c>
      <c r="B176" s="62"/>
      <c r="C176" s="62"/>
      <c r="D176" s="62"/>
      <c r="E176" s="35">
        <f>SUM(B176:D176)</f>
        <v>0</v>
      </c>
      <c r="F176" s="38"/>
      <c r="G176" s="38"/>
      <c r="H176" s="38"/>
      <c r="I176" s="35">
        <f>SUM(F176:H176)</f>
        <v>0</v>
      </c>
      <c r="J176" s="38"/>
      <c r="K176" s="38"/>
      <c r="L176" s="38"/>
      <c r="M176" s="35">
        <f>SUM(J176:L176)</f>
        <v>0</v>
      </c>
      <c r="N176" s="38"/>
      <c r="O176" s="38"/>
      <c r="P176" s="38"/>
      <c r="Q176" s="35">
        <f>SUM(N176:P176)</f>
        <v>0</v>
      </c>
      <c r="R176" s="34">
        <f>Q176+M176+I176+E176</f>
        <v>0</v>
      </c>
    </row>
    <row r="177" spans="1:25" ht="12.75" hidden="1" outlineLevel="1">
      <c r="A177" s="89" t="s">
        <v>49</v>
      </c>
      <c r="B177" s="33">
        <f aca="true" t="shared" si="94" ref="B177:Y177">SUM(B167:B176)</f>
        <v>95.66000000000001</v>
      </c>
      <c r="C177" s="33">
        <f t="shared" si="94"/>
        <v>95.99</v>
      </c>
      <c r="D177" s="33">
        <f t="shared" si="94"/>
        <v>121.64999999999999</v>
      </c>
      <c r="E177" s="33">
        <f t="shared" si="94"/>
        <v>313.29999999999995</v>
      </c>
      <c r="F177" s="33">
        <f t="shared" si="94"/>
        <v>124.62</v>
      </c>
      <c r="G177" s="33">
        <f t="shared" si="94"/>
        <v>81.58</v>
      </c>
      <c r="H177" s="33">
        <f t="shared" si="94"/>
        <v>305.47</v>
      </c>
      <c r="I177" s="33">
        <f t="shared" si="94"/>
        <v>511.6700000000001</v>
      </c>
      <c r="J177" s="33">
        <f t="shared" si="94"/>
        <v>181.16000000000003</v>
      </c>
      <c r="K177" s="33">
        <f t="shared" si="94"/>
        <v>82.94999999999999</v>
      </c>
      <c r="L177" s="33">
        <f t="shared" si="94"/>
        <v>88.50999999999999</v>
      </c>
      <c r="M177" s="33">
        <f t="shared" si="94"/>
        <v>352.62</v>
      </c>
      <c r="N177" s="33">
        <f t="shared" si="94"/>
        <v>118.71</v>
      </c>
      <c r="O177" s="33">
        <f t="shared" si="94"/>
        <v>123.62</v>
      </c>
      <c r="P177" s="33">
        <f t="shared" si="94"/>
        <v>181.36</v>
      </c>
      <c r="Q177" s="33">
        <f t="shared" si="94"/>
        <v>423.69</v>
      </c>
      <c r="R177" s="90">
        <f t="shared" si="94"/>
        <v>1601.2800000000002</v>
      </c>
      <c r="S177" s="33">
        <f t="shared" si="94"/>
        <v>0</v>
      </c>
      <c r="T177" s="33">
        <f t="shared" si="94"/>
        <v>0</v>
      </c>
      <c r="U177" s="33">
        <f t="shared" si="94"/>
        <v>0</v>
      </c>
      <c r="V177" s="33">
        <f t="shared" si="94"/>
        <v>0</v>
      </c>
      <c r="W177" s="33">
        <f t="shared" si="94"/>
        <v>0</v>
      </c>
      <c r="X177" s="33">
        <f t="shared" si="94"/>
        <v>0</v>
      </c>
      <c r="Y177" s="33">
        <f t="shared" si="94"/>
        <v>0</v>
      </c>
    </row>
    <row r="178" spans="1:21" ht="13.5" collapsed="1" thickBot="1">
      <c r="A178" s="84" t="s">
        <v>48</v>
      </c>
      <c r="B178" s="49">
        <f aca="true" t="shared" si="95" ref="B178:R178">B177+B166</f>
        <v>95.66000000000001</v>
      </c>
      <c r="C178" s="49">
        <f t="shared" si="95"/>
        <v>95.99</v>
      </c>
      <c r="D178" s="49">
        <f t="shared" si="95"/>
        <v>289.13</v>
      </c>
      <c r="E178" s="48">
        <f t="shared" si="95"/>
        <v>480.78</v>
      </c>
      <c r="F178" s="49">
        <f>F177+F166</f>
        <v>201.32</v>
      </c>
      <c r="G178" s="49">
        <f>G177+G166</f>
        <v>181.82999999999998</v>
      </c>
      <c r="H178" s="49">
        <f t="shared" si="95"/>
        <v>305.47</v>
      </c>
      <c r="I178" s="48">
        <f t="shared" si="95"/>
        <v>688.6200000000001</v>
      </c>
      <c r="J178" s="49">
        <f t="shared" si="95"/>
        <v>181.16000000000003</v>
      </c>
      <c r="K178" s="49">
        <f t="shared" si="95"/>
        <v>82.94999999999999</v>
      </c>
      <c r="L178" s="49">
        <f t="shared" si="95"/>
        <v>88.50999999999999</v>
      </c>
      <c r="M178" s="48">
        <f t="shared" si="95"/>
        <v>352.62</v>
      </c>
      <c r="N178" s="49">
        <f t="shared" si="95"/>
        <v>118.71</v>
      </c>
      <c r="O178" s="49">
        <f t="shared" si="95"/>
        <v>123.62</v>
      </c>
      <c r="P178" s="49">
        <f t="shared" si="95"/>
        <v>552.6600000000001</v>
      </c>
      <c r="Q178" s="48">
        <f t="shared" si="95"/>
        <v>794.99</v>
      </c>
      <c r="R178" s="50">
        <f t="shared" si="95"/>
        <v>2317.01</v>
      </c>
      <c r="S178" s="65">
        <f>((B167/0.12)+(C167/0.12)+(D167/0.12)+(F167/0.12)+(G167/0.12)+(H167/0.12)+(J167/0.12)+(K167/0.12)+(L167/0.12)+(N167/0.12)+(O167/0.12)+(P167/0.12))/12</f>
        <v>442.5</v>
      </c>
      <c r="T178" s="54">
        <f>IF(R178&gt;0,R178/S178,0)</f>
        <v>5.236180790960453</v>
      </c>
      <c r="U178" s="66">
        <f>IF(R169&gt;0,R169/R178,0)</f>
        <v>0.03316343045563031</v>
      </c>
    </row>
    <row r="179" spans="1:18" ht="12.75">
      <c r="A179" s="85" t="s">
        <v>34</v>
      </c>
      <c r="B179" s="86"/>
      <c r="C179" s="86"/>
      <c r="D179" s="86"/>
      <c r="E179" s="87"/>
      <c r="F179" s="86"/>
      <c r="G179" s="86"/>
      <c r="H179" s="86"/>
      <c r="I179" s="87"/>
      <c r="J179" s="86"/>
      <c r="K179" s="86"/>
      <c r="L179" s="86"/>
      <c r="M179" s="87"/>
      <c r="N179" s="86"/>
      <c r="O179" s="86"/>
      <c r="P179" s="86"/>
      <c r="Q179" s="87"/>
      <c r="R179" s="88"/>
    </row>
    <row r="180" spans="1:18" ht="12.75" hidden="1" outlineLevel="1">
      <c r="A180" s="19" t="s">
        <v>40</v>
      </c>
      <c r="B180" s="20"/>
      <c r="C180" s="20"/>
      <c r="D180" s="20"/>
      <c r="E180" s="67">
        <f aca="true" t="shared" si="96" ref="E180:E187">SUM(B180:D180)</f>
        <v>0</v>
      </c>
      <c r="F180" s="20"/>
      <c r="G180" s="20"/>
      <c r="H180" s="20"/>
      <c r="I180" s="67">
        <f aca="true" t="shared" si="97" ref="I180:I187">SUM(F180:H180)</f>
        <v>0</v>
      </c>
      <c r="J180" s="20"/>
      <c r="K180" s="20"/>
      <c r="L180" s="20"/>
      <c r="M180" s="67">
        <f aca="true" t="shared" si="98" ref="M180:M187">SUM(J180:L180)</f>
        <v>0</v>
      </c>
      <c r="N180" s="20"/>
      <c r="O180" s="20"/>
      <c r="P180" s="20"/>
      <c r="Q180" s="67">
        <f aca="true" t="shared" si="99" ref="Q180:Q187">SUM(N180:P180)</f>
        <v>0</v>
      </c>
      <c r="R180" s="21">
        <f aca="true" t="shared" si="100" ref="R180:R194">Q180+M180+I180+E180</f>
        <v>0</v>
      </c>
    </row>
    <row r="181" spans="1:18" ht="12.75" hidden="1" outlineLevel="1">
      <c r="A181" s="19" t="s">
        <v>41</v>
      </c>
      <c r="B181" s="20"/>
      <c r="C181" s="20"/>
      <c r="D181" s="20"/>
      <c r="E181" s="67">
        <f t="shared" si="96"/>
        <v>0</v>
      </c>
      <c r="F181" s="20"/>
      <c r="G181" s="20"/>
      <c r="H181" s="20"/>
      <c r="I181" s="67">
        <f t="shared" si="97"/>
        <v>0</v>
      </c>
      <c r="J181" s="20"/>
      <c r="K181" s="20"/>
      <c r="L181" s="20"/>
      <c r="M181" s="67">
        <f t="shared" si="98"/>
        <v>0</v>
      </c>
      <c r="N181" s="20"/>
      <c r="O181" s="20"/>
      <c r="P181" s="20"/>
      <c r="Q181" s="67">
        <f t="shared" si="99"/>
        <v>0</v>
      </c>
      <c r="R181" s="21">
        <f t="shared" si="100"/>
        <v>0</v>
      </c>
    </row>
    <row r="182" spans="1:18" ht="12.75" hidden="1" outlineLevel="1">
      <c r="A182" s="19" t="s">
        <v>42</v>
      </c>
      <c r="B182" s="20"/>
      <c r="C182" s="20"/>
      <c r="D182" s="20"/>
      <c r="E182" s="67">
        <f t="shared" si="96"/>
        <v>0</v>
      </c>
      <c r="F182" s="20"/>
      <c r="G182" s="20"/>
      <c r="H182" s="20"/>
      <c r="I182" s="67">
        <f t="shared" si="97"/>
        <v>0</v>
      </c>
      <c r="J182" s="20"/>
      <c r="K182" s="20"/>
      <c r="L182" s="20"/>
      <c r="M182" s="67">
        <f t="shared" si="98"/>
        <v>0</v>
      </c>
      <c r="N182" s="20"/>
      <c r="O182" s="20"/>
      <c r="P182" s="20"/>
      <c r="Q182" s="67">
        <f t="shared" si="99"/>
        <v>0</v>
      </c>
      <c r="R182" s="21">
        <f t="shared" si="100"/>
        <v>0</v>
      </c>
    </row>
    <row r="183" spans="1:18" ht="12.75" hidden="1" outlineLevel="1">
      <c r="A183" s="19" t="s">
        <v>43</v>
      </c>
      <c r="B183" s="20"/>
      <c r="C183" s="20"/>
      <c r="D183" s="20"/>
      <c r="E183" s="67">
        <f t="shared" si="96"/>
        <v>0</v>
      </c>
      <c r="F183" s="20"/>
      <c r="G183" s="20"/>
      <c r="H183" s="20"/>
      <c r="I183" s="67">
        <f t="shared" si="97"/>
        <v>0</v>
      </c>
      <c r="J183" s="20"/>
      <c r="K183" s="20"/>
      <c r="L183" s="20"/>
      <c r="M183" s="67">
        <f t="shared" si="98"/>
        <v>0</v>
      </c>
      <c r="N183" s="20"/>
      <c r="O183" s="20"/>
      <c r="P183" s="20"/>
      <c r="Q183" s="67">
        <f t="shared" si="99"/>
        <v>0</v>
      </c>
      <c r="R183" s="21">
        <f t="shared" si="100"/>
        <v>0</v>
      </c>
    </row>
    <row r="184" spans="1:18" ht="12.75" hidden="1" outlineLevel="1">
      <c r="A184" s="19" t="s">
        <v>44</v>
      </c>
      <c r="B184" s="20"/>
      <c r="C184" s="20"/>
      <c r="D184" s="20"/>
      <c r="E184" s="67">
        <f t="shared" si="96"/>
        <v>0</v>
      </c>
      <c r="F184" s="20"/>
      <c r="G184" s="20"/>
      <c r="H184" s="20"/>
      <c r="I184" s="67">
        <f t="shared" si="97"/>
        <v>0</v>
      </c>
      <c r="J184" s="20"/>
      <c r="K184" s="20"/>
      <c r="L184" s="20"/>
      <c r="M184" s="67">
        <f t="shared" si="98"/>
        <v>0</v>
      </c>
      <c r="N184" s="20"/>
      <c r="O184" s="20"/>
      <c r="P184" s="20"/>
      <c r="Q184" s="67">
        <f t="shared" si="99"/>
        <v>0</v>
      </c>
      <c r="R184" s="21">
        <f t="shared" si="100"/>
        <v>0</v>
      </c>
    </row>
    <row r="185" spans="1:18" ht="12.75" hidden="1" outlineLevel="1">
      <c r="A185" s="19" t="s">
        <v>45</v>
      </c>
      <c r="B185" s="62"/>
      <c r="C185" s="62"/>
      <c r="D185" s="62">
        <v>276.12</v>
      </c>
      <c r="E185" s="35">
        <f t="shared" si="96"/>
        <v>276.12</v>
      </c>
      <c r="F185" s="62">
        <v>126.44</v>
      </c>
      <c r="G185" s="62">
        <f>135.3+29.98</f>
        <v>165.28</v>
      </c>
      <c r="H185" s="62"/>
      <c r="I185" s="35">
        <f t="shared" si="97"/>
        <v>291.72</v>
      </c>
      <c r="J185" s="62"/>
      <c r="K185" s="62"/>
      <c r="L185" s="62"/>
      <c r="M185" s="35">
        <f t="shared" si="98"/>
        <v>0</v>
      </c>
      <c r="N185" s="62"/>
      <c r="O185" s="62"/>
      <c r="P185" s="62">
        <v>661.76</v>
      </c>
      <c r="Q185" s="35">
        <f t="shared" si="99"/>
        <v>661.76</v>
      </c>
      <c r="R185" s="34">
        <f t="shared" si="100"/>
        <v>1229.6</v>
      </c>
    </row>
    <row r="186" spans="1:18" ht="12.75" hidden="1" outlineLevel="1">
      <c r="A186" s="19" t="s">
        <v>46</v>
      </c>
      <c r="B186" s="20"/>
      <c r="C186" s="20"/>
      <c r="D186" s="20"/>
      <c r="E186" s="67">
        <f t="shared" si="96"/>
        <v>0</v>
      </c>
      <c r="F186" s="20"/>
      <c r="G186" s="20"/>
      <c r="H186" s="20"/>
      <c r="I186" s="67">
        <f t="shared" si="97"/>
        <v>0</v>
      </c>
      <c r="J186" s="20"/>
      <c r="K186" s="20"/>
      <c r="L186" s="20"/>
      <c r="M186" s="67">
        <f t="shared" si="98"/>
        <v>0</v>
      </c>
      <c r="N186" s="20"/>
      <c r="O186" s="20"/>
      <c r="P186" s="20"/>
      <c r="Q186" s="67">
        <f t="shared" si="99"/>
        <v>0</v>
      </c>
      <c r="R186" s="21">
        <f t="shared" si="100"/>
        <v>0</v>
      </c>
    </row>
    <row r="187" spans="1:18" ht="12.75" hidden="1" outlineLevel="1">
      <c r="A187" s="19" t="s">
        <v>58</v>
      </c>
      <c r="B187" s="62"/>
      <c r="C187" s="62"/>
      <c r="D187" s="62"/>
      <c r="E187" s="59">
        <f t="shared" si="96"/>
        <v>0</v>
      </c>
      <c r="F187" s="52"/>
      <c r="G187" s="52"/>
      <c r="H187" s="52"/>
      <c r="I187" s="59">
        <f t="shared" si="97"/>
        <v>0</v>
      </c>
      <c r="J187" s="52"/>
      <c r="K187" s="52"/>
      <c r="L187" s="52"/>
      <c r="M187" s="59">
        <f t="shared" si="98"/>
        <v>0</v>
      </c>
      <c r="N187" s="52"/>
      <c r="O187" s="52"/>
      <c r="P187" s="52"/>
      <c r="Q187" s="59">
        <f t="shared" si="99"/>
        <v>0</v>
      </c>
      <c r="R187" s="60">
        <f t="shared" si="100"/>
        <v>0</v>
      </c>
    </row>
    <row r="188" spans="1:18" ht="12.75" hidden="1" outlineLevel="1">
      <c r="A188" s="22" t="s">
        <v>47</v>
      </c>
      <c r="B188" s="33">
        <f aca="true" t="shared" si="101" ref="B188:Q188">SUM(B180:B187)</f>
        <v>0</v>
      </c>
      <c r="C188" s="33">
        <f t="shared" si="101"/>
        <v>0</v>
      </c>
      <c r="D188" s="33">
        <f t="shared" si="101"/>
        <v>276.12</v>
      </c>
      <c r="E188" s="33">
        <f t="shared" si="101"/>
        <v>276.12</v>
      </c>
      <c r="F188" s="33">
        <f t="shared" si="101"/>
        <v>126.44</v>
      </c>
      <c r="G188" s="33">
        <f t="shared" si="101"/>
        <v>165.28</v>
      </c>
      <c r="H188" s="33">
        <f t="shared" si="101"/>
        <v>0</v>
      </c>
      <c r="I188" s="33">
        <f t="shared" si="101"/>
        <v>291.72</v>
      </c>
      <c r="J188" s="33">
        <f t="shared" si="101"/>
        <v>0</v>
      </c>
      <c r="K188" s="33">
        <f t="shared" si="101"/>
        <v>0</v>
      </c>
      <c r="L188" s="33">
        <f t="shared" si="101"/>
        <v>0</v>
      </c>
      <c r="M188" s="33">
        <f t="shared" si="101"/>
        <v>0</v>
      </c>
      <c r="N188" s="33">
        <f t="shared" si="101"/>
        <v>0</v>
      </c>
      <c r="O188" s="33">
        <f t="shared" si="101"/>
        <v>0</v>
      </c>
      <c r="P188" s="33">
        <f t="shared" si="101"/>
        <v>661.76</v>
      </c>
      <c r="Q188" s="33">
        <f t="shared" si="101"/>
        <v>661.76</v>
      </c>
      <c r="R188" s="34">
        <f t="shared" si="100"/>
        <v>1229.6</v>
      </c>
    </row>
    <row r="189" spans="1:18" ht="12.75" hidden="1" outlineLevel="1">
      <c r="A189" s="23" t="s">
        <v>15</v>
      </c>
      <c r="B189" s="63">
        <v>91.8</v>
      </c>
      <c r="C189" s="63"/>
      <c r="D189" s="63">
        <v>92.16</v>
      </c>
      <c r="E189" s="35">
        <f aca="true" t="shared" si="102" ref="E189:E194">SUM(B189:D189)</f>
        <v>183.95999999999998</v>
      </c>
      <c r="F189" s="37">
        <v>92.64</v>
      </c>
      <c r="G189" s="37">
        <v>92.76</v>
      </c>
      <c r="H189" s="37">
        <v>93.12</v>
      </c>
      <c r="I189" s="35">
        <f aca="true" t="shared" si="103" ref="I189:I194">SUM(F189:H189)</f>
        <v>278.52</v>
      </c>
      <c r="J189" s="37">
        <v>93.36</v>
      </c>
      <c r="K189" s="37">
        <v>93.96</v>
      </c>
      <c r="L189" s="37">
        <v>94.32</v>
      </c>
      <c r="M189" s="35">
        <f aca="true" t="shared" si="104" ref="M189:M194">SUM(J189:L189)</f>
        <v>281.64</v>
      </c>
      <c r="N189" s="37">
        <v>94.2</v>
      </c>
      <c r="O189" s="37">
        <v>94.32</v>
      </c>
      <c r="P189" s="38">
        <v>94.56</v>
      </c>
      <c r="Q189" s="35">
        <f aca="true" t="shared" si="105" ref="Q189:Q194">SUM(N189:P189)</f>
        <v>283.08</v>
      </c>
      <c r="R189" s="34">
        <f t="shared" si="100"/>
        <v>1027.2</v>
      </c>
    </row>
    <row r="190" spans="1:18" ht="12.75" hidden="1" outlineLevel="1">
      <c r="A190" s="23" t="s">
        <v>16</v>
      </c>
      <c r="B190" s="62">
        <v>15</v>
      </c>
      <c r="C190" s="62"/>
      <c r="D190" s="62">
        <v>15</v>
      </c>
      <c r="E190" s="35">
        <f t="shared" si="102"/>
        <v>30</v>
      </c>
      <c r="F190" s="62">
        <v>15</v>
      </c>
      <c r="G190" s="62">
        <v>15</v>
      </c>
      <c r="H190" s="62">
        <v>15</v>
      </c>
      <c r="I190" s="35">
        <f t="shared" si="103"/>
        <v>45</v>
      </c>
      <c r="J190" s="62">
        <v>15</v>
      </c>
      <c r="K190" s="62">
        <v>15</v>
      </c>
      <c r="L190" s="62">
        <v>15</v>
      </c>
      <c r="M190" s="35">
        <f t="shared" si="104"/>
        <v>45</v>
      </c>
      <c r="N190" s="62">
        <v>15</v>
      </c>
      <c r="O190" s="62">
        <v>15</v>
      </c>
      <c r="P190" s="62">
        <v>15</v>
      </c>
      <c r="Q190" s="35">
        <f t="shared" si="105"/>
        <v>45</v>
      </c>
      <c r="R190" s="34">
        <f t="shared" si="100"/>
        <v>165</v>
      </c>
    </row>
    <row r="191" spans="1:18" ht="12.75" hidden="1" outlineLevel="1">
      <c r="A191" s="23" t="s">
        <v>17</v>
      </c>
      <c r="B191" s="63">
        <v>44.07</v>
      </c>
      <c r="C191" s="63"/>
      <c r="D191" s="63">
        <v>37.29</v>
      </c>
      <c r="E191" s="35">
        <f t="shared" si="102"/>
        <v>81.36</v>
      </c>
      <c r="F191" s="37">
        <v>14.69</v>
      </c>
      <c r="G191" s="37">
        <v>7.91</v>
      </c>
      <c r="H191" s="37">
        <v>10.17</v>
      </c>
      <c r="I191" s="35">
        <f t="shared" si="103"/>
        <v>32.77</v>
      </c>
      <c r="J191" s="37">
        <v>16.95</v>
      </c>
      <c r="K191" s="37">
        <v>21.47</v>
      </c>
      <c r="L191" s="37">
        <v>4.52</v>
      </c>
      <c r="M191" s="35">
        <f t="shared" si="104"/>
        <v>42.94</v>
      </c>
      <c r="N191" s="37">
        <v>13.56</v>
      </c>
      <c r="O191" s="37">
        <v>11.3</v>
      </c>
      <c r="P191" s="38">
        <v>9.04</v>
      </c>
      <c r="Q191" s="35">
        <f t="shared" si="105"/>
        <v>33.9</v>
      </c>
      <c r="R191" s="34">
        <f t="shared" si="100"/>
        <v>190.97000000000003</v>
      </c>
    </row>
    <row r="192" spans="1:18" ht="12.75" hidden="1" outlineLevel="1">
      <c r="A192" s="25" t="s">
        <v>18</v>
      </c>
      <c r="B192" s="63">
        <v>23.7</v>
      </c>
      <c r="C192" s="63"/>
      <c r="D192" s="63">
        <v>26.8</v>
      </c>
      <c r="E192" s="35">
        <f t="shared" si="102"/>
        <v>50.5</v>
      </c>
      <c r="F192" s="37">
        <v>24.94</v>
      </c>
      <c r="G192" s="37">
        <v>11.88</v>
      </c>
      <c r="H192" s="37">
        <v>2.2</v>
      </c>
      <c r="I192" s="35">
        <f t="shared" si="103"/>
        <v>39.02</v>
      </c>
      <c r="J192" s="37">
        <v>12.24</v>
      </c>
      <c r="K192" s="37">
        <v>12.25</v>
      </c>
      <c r="L192" s="37">
        <v>13.5</v>
      </c>
      <c r="M192" s="35">
        <f t="shared" si="104"/>
        <v>37.99</v>
      </c>
      <c r="N192" s="37">
        <v>6.59</v>
      </c>
      <c r="O192" s="37">
        <v>13.92</v>
      </c>
      <c r="P192" s="38">
        <v>117.38</v>
      </c>
      <c r="Q192" s="35">
        <f t="shared" si="105"/>
        <v>137.89</v>
      </c>
      <c r="R192" s="34">
        <f t="shared" si="100"/>
        <v>265.4</v>
      </c>
    </row>
    <row r="193" spans="1:18" ht="12.75" hidden="1" outlineLevel="1">
      <c r="A193" s="23" t="s">
        <v>19</v>
      </c>
      <c r="B193" s="63">
        <v>0.93</v>
      </c>
      <c r="C193" s="63"/>
      <c r="D193" s="63"/>
      <c r="E193" s="35">
        <f t="shared" si="102"/>
        <v>0.93</v>
      </c>
      <c r="F193" s="37"/>
      <c r="G193" s="37"/>
      <c r="H193" s="37"/>
      <c r="I193" s="35">
        <f t="shared" si="103"/>
        <v>0</v>
      </c>
      <c r="J193" s="37"/>
      <c r="K193" s="37"/>
      <c r="L193" s="37">
        <v>0.93</v>
      </c>
      <c r="M193" s="35">
        <f t="shared" si="104"/>
        <v>0.93</v>
      </c>
      <c r="N193" s="37"/>
      <c r="O193" s="37">
        <v>0.93</v>
      </c>
      <c r="P193" s="38"/>
      <c r="Q193" s="35">
        <f t="shared" si="105"/>
        <v>0.93</v>
      </c>
      <c r="R193" s="34">
        <f t="shared" si="100"/>
        <v>2.79</v>
      </c>
    </row>
    <row r="194" spans="1:18" ht="12.75" hidden="1" outlineLevel="1">
      <c r="A194" s="23" t="s">
        <v>20</v>
      </c>
      <c r="B194" s="63">
        <v>38.5</v>
      </c>
      <c r="C194" s="63"/>
      <c r="D194" s="63">
        <v>102.5</v>
      </c>
      <c r="E194" s="35">
        <f t="shared" si="102"/>
        <v>141</v>
      </c>
      <c r="F194" s="37">
        <v>74.5</v>
      </c>
      <c r="G194" s="37">
        <v>24.5</v>
      </c>
      <c r="H194" s="37"/>
      <c r="I194" s="35">
        <f t="shared" si="103"/>
        <v>99</v>
      </c>
      <c r="J194" s="37">
        <v>17.5</v>
      </c>
      <c r="K194" s="37">
        <v>8.5</v>
      </c>
      <c r="L194" s="37">
        <v>29.5</v>
      </c>
      <c r="M194" s="35">
        <f t="shared" si="104"/>
        <v>55.5</v>
      </c>
      <c r="N194" s="37">
        <v>14</v>
      </c>
      <c r="O194" s="37">
        <v>19</v>
      </c>
      <c r="P194" s="38">
        <v>7.5</v>
      </c>
      <c r="Q194" s="35">
        <f t="shared" si="105"/>
        <v>40.5</v>
      </c>
      <c r="R194" s="34">
        <f t="shared" si="100"/>
        <v>336</v>
      </c>
    </row>
    <row r="195" spans="1:18" ht="12.75" hidden="1" outlineLevel="1">
      <c r="A195" s="23" t="s">
        <v>72</v>
      </c>
      <c r="B195" s="63"/>
      <c r="C195" s="63"/>
      <c r="D195" s="63">
        <f>0.18+32.77</f>
        <v>32.95</v>
      </c>
      <c r="E195" s="35"/>
      <c r="F195" s="37"/>
      <c r="G195" s="37"/>
      <c r="H195" s="37"/>
      <c r="I195" s="35"/>
      <c r="J195" s="37"/>
      <c r="K195" s="37"/>
      <c r="L195" s="37"/>
      <c r="M195" s="35"/>
      <c r="N195" s="37"/>
      <c r="O195" s="37"/>
      <c r="P195" s="38"/>
      <c r="Q195" s="35"/>
      <c r="R195" s="34"/>
    </row>
    <row r="196" spans="1:18" ht="12.75" hidden="1" outlineLevel="1">
      <c r="A196" s="23" t="s">
        <v>21</v>
      </c>
      <c r="B196" s="63"/>
      <c r="C196" s="63"/>
      <c r="D196" s="63"/>
      <c r="E196" s="35">
        <f>SUM(B196:D196)</f>
        <v>0</v>
      </c>
      <c r="F196" s="37"/>
      <c r="G196" s="37"/>
      <c r="H196" s="37"/>
      <c r="I196" s="35">
        <f>SUM(F196:H196)</f>
        <v>0</v>
      </c>
      <c r="J196" s="37"/>
      <c r="K196" s="37"/>
      <c r="L196" s="37"/>
      <c r="M196" s="35">
        <f>SUM(J196:L196)</f>
        <v>0</v>
      </c>
      <c r="N196" s="37"/>
      <c r="O196" s="37"/>
      <c r="P196" s="38"/>
      <c r="Q196" s="35">
        <f>SUM(N196:P196)</f>
        <v>0</v>
      </c>
      <c r="R196" s="34">
        <f>Q196+M196+I196+E196</f>
        <v>0</v>
      </c>
    </row>
    <row r="197" spans="1:18" ht="12.75" hidden="1" outlineLevel="1">
      <c r="A197" s="23" t="s">
        <v>22</v>
      </c>
      <c r="B197" s="63"/>
      <c r="C197" s="63"/>
      <c r="D197" s="63">
        <v>12.78</v>
      </c>
      <c r="E197" s="35">
        <f>SUM(B197:D197)</f>
        <v>12.78</v>
      </c>
      <c r="F197" s="37"/>
      <c r="G197" s="37"/>
      <c r="H197" s="37">
        <v>8.52</v>
      </c>
      <c r="I197" s="35">
        <f>SUM(F197:H197)</f>
        <v>8.52</v>
      </c>
      <c r="J197" s="37">
        <v>17.04</v>
      </c>
      <c r="K197" s="37"/>
      <c r="L197" s="37">
        <v>12.78</v>
      </c>
      <c r="M197" s="35">
        <f>SUM(J197:L197)</f>
        <v>29.82</v>
      </c>
      <c r="N197" s="37">
        <v>12.78</v>
      </c>
      <c r="O197" s="37">
        <v>17.04</v>
      </c>
      <c r="P197" s="38"/>
      <c r="Q197" s="35">
        <f>SUM(N197:P197)</f>
        <v>29.82</v>
      </c>
      <c r="R197" s="34">
        <f>Q197+M197+I197+E197</f>
        <v>80.94</v>
      </c>
    </row>
    <row r="198" spans="1:18" ht="12.75" hidden="1" outlineLevel="1">
      <c r="A198" s="23" t="s">
        <v>61</v>
      </c>
      <c r="B198" s="62"/>
      <c r="C198" s="62"/>
      <c r="D198" s="62"/>
      <c r="E198" s="35">
        <f>SUM(B198:D198)</f>
        <v>0</v>
      </c>
      <c r="F198" s="38"/>
      <c r="G198" s="38"/>
      <c r="H198" s="38"/>
      <c r="I198" s="35">
        <f>SUM(F198:H198)</f>
        <v>0</v>
      </c>
      <c r="J198" s="38"/>
      <c r="K198" s="38"/>
      <c r="L198" s="38"/>
      <c r="M198" s="35">
        <f>SUM(J198:L198)</f>
        <v>0</v>
      </c>
      <c r="N198" s="38"/>
      <c r="O198" s="38"/>
      <c r="P198" s="38"/>
      <c r="Q198" s="35">
        <f>SUM(N198:P198)</f>
        <v>0</v>
      </c>
      <c r="R198" s="34">
        <f>Q198+M198+I198+E198</f>
        <v>0</v>
      </c>
    </row>
    <row r="199" spans="1:25" ht="12.75" hidden="1" outlineLevel="1">
      <c r="A199" s="22" t="s">
        <v>49</v>
      </c>
      <c r="B199" s="33">
        <f aca="true" t="shared" si="106" ref="B199:Y199">SUM(B189:B198)</f>
        <v>214</v>
      </c>
      <c r="C199" s="33">
        <f t="shared" si="106"/>
        <v>0</v>
      </c>
      <c r="D199" s="33">
        <f t="shared" si="106"/>
        <v>319.47999999999996</v>
      </c>
      <c r="E199" s="33">
        <f t="shared" si="106"/>
        <v>500.53</v>
      </c>
      <c r="F199" s="33">
        <f t="shared" si="106"/>
        <v>221.77</v>
      </c>
      <c r="G199" s="33">
        <f t="shared" si="106"/>
        <v>152.05</v>
      </c>
      <c r="H199" s="33">
        <f t="shared" si="106"/>
        <v>129.01000000000002</v>
      </c>
      <c r="I199" s="33">
        <f t="shared" si="106"/>
        <v>502.8299999999999</v>
      </c>
      <c r="J199" s="33">
        <f t="shared" si="106"/>
        <v>172.09</v>
      </c>
      <c r="K199" s="33">
        <f t="shared" si="106"/>
        <v>151.18</v>
      </c>
      <c r="L199" s="33">
        <f t="shared" si="106"/>
        <v>170.54999999999998</v>
      </c>
      <c r="M199" s="33">
        <f t="shared" si="106"/>
        <v>493.82</v>
      </c>
      <c r="N199" s="33">
        <f t="shared" si="106"/>
        <v>156.13</v>
      </c>
      <c r="O199" s="33">
        <f t="shared" si="106"/>
        <v>171.51</v>
      </c>
      <c r="P199" s="33">
        <f t="shared" si="106"/>
        <v>243.48</v>
      </c>
      <c r="Q199" s="33">
        <f t="shared" si="106"/>
        <v>571.12</v>
      </c>
      <c r="R199" s="90">
        <f t="shared" si="106"/>
        <v>2068.3</v>
      </c>
      <c r="S199" s="33">
        <f t="shared" si="106"/>
        <v>0</v>
      </c>
      <c r="T199" s="33">
        <f t="shared" si="106"/>
        <v>0</v>
      </c>
      <c r="U199" s="33">
        <f t="shared" si="106"/>
        <v>0</v>
      </c>
      <c r="V199" s="33">
        <f t="shared" si="106"/>
        <v>0</v>
      </c>
      <c r="W199" s="33">
        <f t="shared" si="106"/>
        <v>0</v>
      </c>
      <c r="X199" s="33">
        <f t="shared" si="106"/>
        <v>0</v>
      </c>
      <c r="Y199" s="33">
        <f t="shared" si="106"/>
        <v>0</v>
      </c>
    </row>
    <row r="200" spans="1:21" ht="13.5" collapsed="1" thickBot="1">
      <c r="A200" s="84" t="s">
        <v>48</v>
      </c>
      <c r="B200" s="49">
        <f aca="true" t="shared" si="107" ref="B200:R200">B199+B188</f>
        <v>214</v>
      </c>
      <c r="C200" s="49">
        <f t="shared" si="107"/>
        <v>0</v>
      </c>
      <c r="D200" s="49">
        <f t="shared" si="107"/>
        <v>595.5999999999999</v>
      </c>
      <c r="E200" s="48">
        <f t="shared" si="107"/>
        <v>776.65</v>
      </c>
      <c r="F200" s="49">
        <f>F199+F188</f>
        <v>348.21000000000004</v>
      </c>
      <c r="G200" s="49">
        <f>G199+G188</f>
        <v>317.33000000000004</v>
      </c>
      <c r="H200" s="49">
        <f t="shared" si="107"/>
        <v>129.01000000000002</v>
      </c>
      <c r="I200" s="48">
        <f t="shared" si="107"/>
        <v>794.55</v>
      </c>
      <c r="J200" s="49">
        <f t="shared" si="107"/>
        <v>172.09</v>
      </c>
      <c r="K200" s="49">
        <f t="shared" si="107"/>
        <v>151.18</v>
      </c>
      <c r="L200" s="49">
        <f t="shared" si="107"/>
        <v>170.54999999999998</v>
      </c>
      <c r="M200" s="48">
        <f t="shared" si="107"/>
        <v>493.82</v>
      </c>
      <c r="N200" s="49">
        <f t="shared" si="107"/>
        <v>156.13</v>
      </c>
      <c r="O200" s="49">
        <f t="shared" si="107"/>
        <v>171.51</v>
      </c>
      <c r="P200" s="49">
        <f t="shared" si="107"/>
        <v>905.24</v>
      </c>
      <c r="Q200" s="48">
        <f t="shared" si="107"/>
        <v>1232.88</v>
      </c>
      <c r="R200" s="50">
        <f t="shared" si="107"/>
        <v>3297.9</v>
      </c>
      <c r="S200" s="65">
        <f>((B189/0.12)+(C189/0.12)+(D189/0.12)+(F189/0.12)+(G189/0.12)+(H189/0.12)+(J189/0.12)+(K189/0.12)+(L189/0.12)+(N189/0.12)+(O189/0.12)+(P189/0.12))/12</f>
        <v>713.3333333333334</v>
      </c>
      <c r="T200" s="54">
        <f>IF(R200&gt;0,R200/S200,0)</f>
        <v>4.623224299065421</v>
      </c>
      <c r="U200" s="66">
        <f>IF(R191&gt;0,R191/R200,0)</f>
        <v>0.05790654659025441</v>
      </c>
    </row>
    <row r="201" spans="1:18" ht="12.75">
      <c r="A201" s="85" t="s">
        <v>35</v>
      </c>
      <c r="B201" s="86"/>
      <c r="C201" s="86"/>
      <c r="D201" s="86"/>
      <c r="E201" s="87"/>
      <c r="F201" s="86"/>
      <c r="G201" s="86"/>
      <c r="H201" s="86"/>
      <c r="I201" s="87"/>
      <c r="J201" s="86"/>
      <c r="K201" s="86"/>
      <c r="L201" s="86"/>
      <c r="M201" s="87"/>
      <c r="N201" s="86"/>
      <c r="O201" s="86"/>
      <c r="P201" s="86"/>
      <c r="Q201" s="87"/>
      <c r="R201" s="88"/>
    </row>
    <row r="202" spans="1:18" ht="12.75" hidden="1" outlineLevel="1">
      <c r="A202" s="19" t="s">
        <v>40</v>
      </c>
      <c r="B202" s="20"/>
      <c r="C202" s="20"/>
      <c r="D202" s="20"/>
      <c r="E202" s="67">
        <f aca="true" t="shared" si="108" ref="E202:E209">SUM(B202:D202)</f>
        <v>0</v>
      </c>
      <c r="F202" s="37"/>
      <c r="G202" s="37"/>
      <c r="H202" s="37"/>
      <c r="I202" s="67">
        <f aca="true" t="shared" si="109" ref="I202:I209">SUM(F202:H202)</f>
        <v>0</v>
      </c>
      <c r="J202" s="20"/>
      <c r="K202" s="20"/>
      <c r="L202" s="20"/>
      <c r="M202" s="67">
        <f aca="true" t="shared" si="110" ref="M202:M209">SUM(J202:L202)</f>
        <v>0</v>
      </c>
      <c r="N202" s="20"/>
      <c r="O202" s="20"/>
      <c r="P202" s="20"/>
      <c r="Q202" s="67">
        <f aca="true" t="shared" si="111" ref="Q202:Q209">SUM(N202:P202)</f>
        <v>0</v>
      </c>
      <c r="R202" s="21">
        <f aca="true" t="shared" si="112" ref="R202:R216">Q202+M202+I202+E202</f>
        <v>0</v>
      </c>
    </row>
    <row r="203" spans="1:18" ht="12.75" hidden="1" outlineLevel="1">
      <c r="A203" s="19" t="s">
        <v>41</v>
      </c>
      <c r="B203" s="20"/>
      <c r="C203" s="20"/>
      <c r="D203" s="20"/>
      <c r="E203" s="67">
        <f t="shared" si="108"/>
        <v>0</v>
      </c>
      <c r="F203" s="37"/>
      <c r="G203" s="37"/>
      <c r="H203" s="37"/>
      <c r="I203" s="67">
        <f t="shared" si="109"/>
        <v>0</v>
      </c>
      <c r="J203" s="20"/>
      <c r="K203" s="20"/>
      <c r="L203" s="20"/>
      <c r="M203" s="67">
        <f t="shared" si="110"/>
        <v>0</v>
      </c>
      <c r="N203" s="20"/>
      <c r="O203" s="20"/>
      <c r="P203" s="20"/>
      <c r="Q203" s="67">
        <f t="shared" si="111"/>
        <v>0</v>
      </c>
      <c r="R203" s="21">
        <f t="shared" si="112"/>
        <v>0</v>
      </c>
    </row>
    <row r="204" spans="1:18" ht="12.75" hidden="1" outlineLevel="1">
      <c r="A204" s="19" t="s">
        <v>42</v>
      </c>
      <c r="B204" s="20"/>
      <c r="C204" s="20"/>
      <c r="D204" s="20"/>
      <c r="E204" s="67">
        <f t="shared" si="108"/>
        <v>0</v>
      </c>
      <c r="F204" s="37"/>
      <c r="G204" s="37"/>
      <c r="H204" s="37"/>
      <c r="I204" s="67">
        <f t="shared" si="109"/>
        <v>0</v>
      </c>
      <c r="J204" s="20"/>
      <c r="K204" s="20"/>
      <c r="L204" s="20"/>
      <c r="M204" s="67">
        <f t="shared" si="110"/>
        <v>0</v>
      </c>
      <c r="N204" s="20"/>
      <c r="O204" s="20"/>
      <c r="P204" s="20"/>
      <c r="Q204" s="67">
        <f t="shared" si="111"/>
        <v>0</v>
      </c>
      <c r="R204" s="21">
        <f t="shared" si="112"/>
        <v>0</v>
      </c>
    </row>
    <row r="205" spans="1:18" ht="12.75" hidden="1" outlineLevel="1">
      <c r="A205" s="19" t="s">
        <v>43</v>
      </c>
      <c r="B205" s="20"/>
      <c r="C205" s="20"/>
      <c r="D205" s="20"/>
      <c r="E205" s="67">
        <f t="shared" si="108"/>
        <v>0</v>
      </c>
      <c r="F205" s="37"/>
      <c r="G205" s="37"/>
      <c r="H205" s="37"/>
      <c r="I205" s="67">
        <f t="shared" si="109"/>
        <v>0</v>
      </c>
      <c r="J205" s="20"/>
      <c r="K205" s="20"/>
      <c r="L205" s="20"/>
      <c r="M205" s="67">
        <f t="shared" si="110"/>
        <v>0</v>
      </c>
      <c r="N205" s="20"/>
      <c r="O205" s="20"/>
      <c r="P205" s="20"/>
      <c r="Q205" s="67">
        <f t="shared" si="111"/>
        <v>0</v>
      </c>
      <c r="R205" s="21">
        <f t="shared" si="112"/>
        <v>0</v>
      </c>
    </row>
    <row r="206" spans="1:18" ht="12.75" hidden="1" outlineLevel="1">
      <c r="A206" s="19" t="s">
        <v>44</v>
      </c>
      <c r="B206" s="20"/>
      <c r="C206" s="20"/>
      <c r="D206" s="20"/>
      <c r="E206" s="67">
        <f t="shared" si="108"/>
        <v>0</v>
      </c>
      <c r="F206" s="37"/>
      <c r="G206" s="37"/>
      <c r="H206" s="37"/>
      <c r="I206" s="67">
        <f t="shared" si="109"/>
        <v>0</v>
      </c>
      <c r="J206" s="20"/>
      <c r="K206" s="20"/>
      <c r="L206" s="20"/>
      <c r="M206" s="67">
        <f t="shared" si="110"/>
        <v>0</v>
      </c>
      <c r="N206" s="20"/>
      <c r="O206" s="20"/>
      <c r="P206" s="20"/>
      <c r="Q206" s="67">
        <f t="shared" si="111"/>
        <v>0</v>
      </c>
      <c r="R206" s="21">
        <f t="shared" si="112"/>
        <v>0</v>
      </c>
    </row>
    <row r="207" spans="1:18" ht="12.75" hidden="1" outlineLevel="1">
      <c r="A207" s="19" t="s">
        <v>45</v>
      </c>
      <c r="B207" s="62"/>
      <c r="C207" s="62"/>
      <c r="D207" s="62">
        <v>184.81</v>
      </c>
      <c r="E207" s="35">
        <f t="shared" si="108"/>
        <v>184.81</v>
      </c>
      <c r="F207" s="62">
        <v>84.64</v>
      </c>
      <c r="G207" s="62">
        <f>90.56+20.06</f>
        <v>110.62</v>
      </c>
      <c r="H207" s="62"/>
      <c r="I207" s="35">
        <f t="shared" si="109"/>
        <v>195.26</v>
      </c>
      <c r="J207" s="62"/>
      <c r="K207" s="62"/>
      <c r="L207" s="62"/>
      <c r="M207" s="35">
        <f t="shared" si="110"/>
        <v>0</v>
      </c>
      <c r="N207" s="62"/>
      <c r="O207" s="62"/>
      <c r="P207" s="62">
        <v>442.04</v>
      </c>
      <c r="Q207" s="35">
        <f t="shared" si="111"/>
        <v>442.04</v>
      </c>
      <c r="R207" s="34">
        <f t="shared" si="112"/>
        <v>822.1099999999999</v>
      </c>
    </row>
    <row r="208" spans="1:18" ht="12.75" hidden="1" outlineLevel="1">
      <c r="A208" s="19" t="s">
        <v>46</v>
      </c>
      <c r="B208" s="20"/>
      <c r="C208" s="20"/>
      <c r="D208" s="20"/>
      <c r="E208" s="67">
        <f t="shared" si="108"/>
        <v>0</v>
      </c>
      <c r="F208" s="37"/>
      <c r="G208" s="37"/>
      <c r="H208" s="37"/>
      <c r="I208" s="67">
        <f t="shared" si="109"/>
        <v>0</v>
      </c>
      <c r="J208" s="20"/>
      <c r="K208" s="20"/>
      <c r="L208" s="20"/>
      <c r="M208" s="67">
        <f t="shared" si="110"/>
        <v>0</v>
      </c>
      <c r="N208" s="20"/>
      <c r="O208" s="20"/>
      <c r="P208" s="20"/>
      <c r="Q208" s="67">
        <f t="shared" si="111"/>
        <v>0</v>
      </c>
      <c r="R208" s="21">
        <f t="shared" si="112"/>
        <v>0</v>
      </c>
    </row>
    <row r="209" spans="1:18" ht="12.75" hidden="1" outlineLevel="1">
      <c r="A209" s="19" t="s">
        <v>58</v>
      </c>
      <c r="B209" s="62"/>
      <c r="C209" s="62"/>
      <c r="D209" s="62"/>
      <c r="E209" s="59">
        <f t="shared" si="108"/>
        <v>0</v>
      </c>
      <c r="F209" s="52"/>
      <c r="G209" s="52"/>
      <c r="H209" s="52"/>
      <c r="I209" s="59">
        <f t="shared" si="109"/>
        <v>0</v>
      </c>
      <c r="J209" s="52"/>
      <c r="K209" s="52"/>
      <c r="L209" s="52"/>
      <c r="M209" s="59">
        <f t="shared" si="110"/>
        <v>0</v>
      </c>
      <c r="N209" s="52"/>
      <c r="O209" s="52"/>
      <c r="P209" s="52"/>
      <c r="Q209" s="59">
        <f t="shared" si="111"/>
        <v>0</v>
      </c>
      <c r="R209" s="60">
        <f t="shared" si="112"/>
        <v>0</v>
      </c>
    </row>
    <row r="210" spans="1:18" ht="12.75" hidden="1" outlineLevel="1">
      <c r="A210" s="22" t="s">
        <v>47</v>
      </c>
      <c r="B210" s="33">
        <f aca="true" t="shared" si="113" ref="B210:Q210">SUM(B202:B209)</f>
        <v>0</v>
      </c>
      <c r="C210" s="33">
        <f t="shared" si="113"/>
        <v>0</v>
      </c>
      <c r="D210" s="33">
        <f t="shared" si="113"/>
        <v>184.81</v>
      </c>
      <c r="E210" s="33">
        <f t="shared" si="113"/>
        <v>184.81</v>
      </c>
      <c r="F210" s="33">
        <f t="shared" si="113"/>
        <v>84.64</v>
      </c>
      <c r="G210" s="33">
        <f t="shared" si="113"/>
        <v>110.62</v>
      </c>
      <c r="H210" s="33">
        <f t="shared" si="113"/>
        <v>0</v>
      </c>
      <c r="I210" s="33">
        <f t="shared" si="113"/>
        <v>195.26</v>
      </c>
      <c r="J210" s="33">
        <f t="shared" si="113"/>
        <v>0</v>
      </c>
      <c r="K210" s="33">
        <f t="shared" si="113"/>
        <v>0</v>
      </c>
      <c r="L210" s="33">
        <f t="shared" si="113"/>
        <v>0</v>
      </c>
      <c r="M210" s="33">
        <f t="shared" si="113"/>
        <v>0</v>
      </c>
      <c r="N210" s="33">
        <f t="shared" si="113"/>
        <v>0</v>
      </c>
      <c r="O210" s="33">
        <f t="shared" si="113"/>
        <v>0</v>
      </c>
      <c r="P210" s="33">
        <f t="shared" si="113"/>
        <v>442.04</v>
      </c>
      <c r="Q210" s="33">
        <f t="shared" si="113"/>
        <v>442.04</v>
      </c>
      <c r="R210" s="34">
        <f t="shared" si="112"/>
        <v>822.1099999999999</v>
      </c>
    </row>
    <row r="211" spans="1:18" ht="12.75" hidden="1" outlineLevel="1">
      <c r="A211" s="23" t="s">
        <v>15</v>
      </c>
      <c r="B211" s="63">
        <v>62.76</v>
      </c>
      <c r="C211" s="63"/>
      <c r="D211" s="63">
        <v>62.64</v>
      </c>
      <c r="E211" s="35">
        <f aca="true" t="shared" si="114" ref="E211:E216">SUM(B211:D211)</f>
        <v>125.4</v>
      </c>
      <c r="F211" s="37">
        <v>62.4</v>
      </c>
      <c r="G211" s="37">
        <v>62.4</v>
      </c>
      <c r="H211" s="37">
        <v>62.16</v>
      </c>
      <c r="I211" s="35">
        <f aca="true" t="shared" si="115" ref="I211:I216">SUM(F211:H211)</f>
        <v>186.95999999999998</v>
      </c>
      <c r="J211" s="37">
        <v>62.4</v>
      </c>
      <c r="K211" s="37">
        <v>62.64</v>
      </c>
      <c r="L211" s="37">
        <v>64.2</v>
      </c>
      <c r="M211" s="35">
        <f aca="true" t="shared" si="116" ref="M211:M216">SUM(J211:L211)</f>
        <v>189.24</v>
      </c>
      <c r="N211" s="37">
        <v>65.76</v>
      </c>
      <c r="O211" s="37">
        <v>65.28</v>
      </c>
      <c r="P211" s="38">
        <v>63.84</v>
      </c>
      <c r="Q211" s="35">
        <f aca="true" t="shared" si="117" ref="Q211:Q216">SUM(N211:P211)</f>
        <v>194.88000000000002</v>
      </c>
      <c r="R211" s="34">
        <f t="shared" si="112"/>
        <v>696.4799999999999</v>
      </c>
    </row>
    <row r="212" spans="1:18" ht="12.75" hidden="1" outlineLevel="1">
      <c r="A212" s="23" t="s">
        <v>16</v>
      </c>
      <c r="B212" s="62">
        <v>12</v>
      </c>
      <c r="C212" s="62"/>
      <c r="D212" s="62">
        <v>12</v>
      </c>
      <c r="E212" s="35">
        <f t="shared" si="114"/>
        <v>24</v>
      </c>
      <c r="F212" s="62">
        <v>12</v>
      </c>
      <c r="G212" s="62">
        <v>12</v>
      </c>
      <c r="H212" s="62">
        <v>12</v>
      </c>
      <c r="I212" s="35">
        <f t="shared" si="115"/>
        <v>36</v>
      </c>
      <c r="J212" s="62">
        <v>12</v>
      </c>
      <c r="K212" s="62">
        <v>12</v>
      </c>
      <c r="L212" s="62">
        <v>12</v>
      </c>
      <c r="M212" s="35">
        <f t="shared" si="116"/>
        <v>36</v>
      </c>
      <c r="N212" s="62">
        <v>12</v>
      </c>
      <c r="O212" s="62">
        <v>12</v>
      </c>
      <c r="P212" s="62">
        <v>12</v>
      </c>
      <c r="Q212" s="35">
        <f t="shared" si="117"/>
        <v>36</v>
      </c>
      <c r="R212" s="34">
        <f t="shared" si="112"/>
        <v>132</v>
      </c>
    </row>
    <row r="213" spans="1:18" ht="12.75" hidden="1" outlineLevel="1">
      <c r="A213" s="23" t="s">
        <v>17</v>
      </c>
      <c r="B213" s="63">
        <v>21.47</v>
      </c>
      <c r="C213" s="63"/>
      <c r="D213" s="63">
        <v>27.12</v>
      </c>
      <c r="E213" s="35">
        <f t="shared" si="114"/>
        <v>48.59</v>
      </c>
      <c r="F213" s="37">
        <v>12.43</v>
      </c>
      <c r="G213" s="37">
        <v>16.95</v>
      </c>
      <c r="H213" s="37">
        <v>6.78</v>
      </c>
      <c r="I213" s="35">
        <f t="shared" si="115"/>
        <v>36.16</v>
      </c>
      <c r="J213" s="37">
        <v>5.65</v>
      </c>
      <c r="K213" s="37">
        <v>9.04</v>
      </c>
      <c r="L213" s="37">
        <v>12.43</v>
      </c>
      <c r="M213" s="35">
        <f t="shared" si="116"/>
        <v>27.119999999999997</v>
      </c>
      <c r="N213" s="37">
        <v>25.99</v>
      </c>
      <c r="O213" s="37">
        <v>9.04</v>
      </c>
      <c r="P213" s="38">
        <v>1.13</v>
      </c>
      <c r="Q213" s="35">
        <f t="shared" si="117"/>
        <v>36.160000000000004</v>
      </c>
      <c r="R213" s="34">
        <f t="shared" si="112"/>
        <v>148.03</v>
      </c>
    </row>
    <row r="214" spans="1:18" ht="12.75" hidden="1" outlineLevel="1">
      <c r="A214" s="25" t="s">
        <v>18</v>
      </c>
      <c r="B214" s="63">
        <v>15.93</v>
      </c>
      <c r="C214" s="63"/>
      <c r="D214" s="63">
        <v>18.01</v>
      </c>
      <c r="E214" s="35">
        <f t="shared" si="114"/>
        <v>33.94</v>
      </c>
      <c r="F214" s="37">
        <v>16.76</v>
      </c>
      <c r="G214" s="37">
        <v>7.99</v>
      </c>
      <c r="H214" s="37">
        <v>1.48</v>
      </c>
      <c r="I214" s="35">
        <f t="shared" si="115"/>
        <v>26.23</v>
      </c>
      <c r="J214" s="37">
        <v>8.23</v>
      </c>
      <c r="K214" s="37">
        <v>8.23</v>
      </c>
      <c r="L214" s="37">
        <v>9.07</v>
      </c>
      <c r="M214" s="35">
        <f t="shared" si="116"/>
        <v>25.53</v>
      </c>
      <c r="N214" s="37">
        <v>4.4</v>
      </c>
      <c r="O214" s="37">
        <v>9.35</v>
      </c>
      <c r="P214" s="38">
        <v>78.87</v>
      </c>
      <c r="Q214" s="35">
        <f t="shared" si="117"/>
        <v>92.62</v>
      </c>
      <c r="R214" s="34">
        <f t="shared" si="112"/>
        <v>178.32</v>
      </c>
    </row>
    <row r="215" spans="1:18" ht="12.75" hidden="1" outlineLevel="1">
      <c r="A215" s="23" t="s">
        <v>19</v>
      </c>
      <c r="B215" s="63"/>
      <c r="C215" s="63"/>
      <c r="D215" s="63"/>
      <c r="E215" s="35">
        <f t="shared" si="114"/>
        <v>0</v>
      </c>
      <c r="F215" s="37"/>
      <c r="G215" s="37"/>
      <c r="H215" s="37">
        <v>0.93</v>
      </c>
      <c r="I215" s="35">
        <f t="shared" si="115"/>
        <v>0.93</v>
      </c>
      <c r="J215" s="37"/>
      <c r="K215" s="37"/>
      <c r="L215" s="37"/>
      <c r="M215" s="35">
        <f t="shared" si="116"/>
        <v>0</v>
      </c>
      <c r="N215" s="37"/>
      <c r="O215" s="37"/>
      <c r="P215" s="38"/>
      <c r="Q215" s="35">
        <f t="shared" si="117"/>
        <v>0</v>
      </c>
      <c r="R215" s="34">
        <f t="shared" si="112"/>
        <v>0.93</v>
      </c>
    </row>
    <row r="216" spans="1:18" ht="12.75" hidden="1" outlineLevel="1">
      <c r="A216" s="23" t="s">
        <v>20</v>
      </c>
      <c r="B216" s="63">
        <v>14</v>
      </c>
      <c r="C216" s="63"/>
      <c r="D216" s="63">
        <v>43</v>
      </c>
      <c r="E216" s="35">
        <f t="shared" si="114"/>
        <v>57</v>
      </c>
      <c r="F216" s="37">
        <v>45.5</v>
      </c>
      <c r="G216" s="37">
        <v>20.5</v>
      </c>
      <c r="H216" s="37">
        <v>3.5</v>
      </c>
      <c r="I216" s="35">
        <f t="shared" si="115"/>
        <v>69.5</v>
      </c>
      <c r="J216" s="37">
        <v>7.5</v>
      </c>
      <c r="K216" s="37">
        <v>45</v>
      </c>
      <c r="L216" s="37">
        <v>4.5</v>
      </c>
      <c r="M216" s="35">
        <f t="shared" si="116"/>
        <v>57</v>
      </c>
      <c r="N216" s="37">
        <v>3.5</v>
      </c>
      <c r="O216" s="37">
        <v>13</v>
      </c>
      <c r="P216" s="38"/>
      <c r="Q216" s="35">
        <f t="shared" si="117"/>
        <v>16.5</v>
      </c>
      <c r="R216" s="34">
        <f t="shared" si="112"/>
        <v>200</v>
      </c>
    </row>
    <row r="217" spans="1:18" ht="12.75" hidden="1" outlineLevel="1">
      <c r="A217" s="23" t="s">
        <v>72</v>
      </c>
      <c r="B217" s="63"/>
      <c r="C217" s="63"/>
      <c r="D217" s="63">
        <v>10.17</v>
      </c>
      <c r="E217" s="35"/>
      <c r="F217" s="37"/>
      <c r="G217" s="37"/>
      <c r="H217" s="37"/>
      <c r="I217" s="35"/>
      <c r="J217" s="37"/>
      <c r="K217" s="37"/>
      <c r="L217" s="37"/>
      <c r="M217" s="35"/>
      <c r="N217" s="37"/>
      <c r="O217" s="37"/>
      <c r="P217" s="38"/>
      <c r="Q217" s="35"/>
      <c r="R217" s="34"/>
    </row>
    <row r="218" spans="1:18" ht="12.75" hidden="1" outlineLevel="1">
      <c r="A218" s="23" t="s">
        <v>21</v>
      </c>
      <c r="B218" s="63"/>
      <c r="C218" s="63"/>
      <c r="D218" s="63"/>
      <c r="E218" s="35">
        <f>SUM(B218:D218)</f>
        <v>0</v>
      </c>
      <c r="F218" s="20"/>
      <c r="G218" s="37"/>
      <c r="H218" s="37"/>
      <c r="I218" s="35">
        <f>SUM(F218:H218)</f>
        <v>0</v>
      </c>
      <c r="J218" s="37"/>
      <c r="K218" s="37"/>
      <c r="L218" s="37"/>
      <c r="M218" s="35">
        <f>SUM(J218:L218)</f>
        <v>0</v>
      </c>
      <c r="N218" s="37"/>
      <c r="O218" s="37"/>
      <c r="P218" s="38"/>
      <c r="Q218" s="35">
        <f>SUM(N218:P218)</f>
        <v>0</v>
      </c>
      <c r="R218" s="34">
        <f>Q218+M218+I218+E218</f>
        <v>0</v>
      </c>
    </row>
    <row r="219" spans="1:18" ht="12.75" hidden="1" outlineLevel="1">
      <c r="A219" s="23" t="s">
        <v>22</v>
      </c>
      <c r="B219" s="63"/>
      <c r="C219" s="63"/>
      <c r="D219" s="63"/>
      <c r="E219" s="35">
        <f>SUM(B219:D219)</f>
        <v>0</v>
      </c>
      <c r="F219" s="74"/>
      <c r="G219" s="37">
        <v>4.26</v>
      </c>
      <c r="H219" s="37"/>
      <c r="I219" s="35">
        <f>SUM(F219:H219)</f>
        <v>4.26</v>
      </c>
      <c r="J219" s="37"/>
      <c r="K219" s="37"/>
      <c r="L219" s="37">
        <v>4.26</v>
      </c>
      <c r="M219" s="35">
        <f>SUM(J219:L219)</f>
        <v>4.26</v>
      </c>
      <c r="N219" s="37"/>
      <c r="O219" s="37">
        <v>21.3</v>
      </c>
      <c r="P219" s="38"/>
      <c r="Q219" s="35">
        <f>SUM(N219:P219)</f>
        <v>21.3</v>
      </c>
      <c r="R219" s="34">
        <f>Q219+M219+I219+E219</f>
        <v>29.82</v>
      </c>
    </row>
    <row r="220" spans="1:18" ht="12.75" hidden="1" outlineLevel="1">
      <c r="A220" s="23" t="s">
        <v>61</v>
      </c>
      <c r="B220" s="62"/>
      <c r="C220" s="62"/>
      <c r="D220" s="62"/>
      <c r="E220" s="35">
        <f>SUM(B220:D220)</f>
        <v>0</v>
      </c>
      <c r="F220" s="38"/>
      <c r="G220" s="38"/>
      <c r="H220" s="38"/>
      <c r="I220" s="35">
        <f>SUM(F220:H220)</f>
        <v>0</v>
      </c>
      <c r="J220" s="38"/>
      <c r="K220" s="38"/>
      <c r="L220" s="38"/>
      <c r="M220" s="35">
        <f>SUM(J220:L220)</f>
        <v>0</v>
      </c>
      <c r="N220" s="38"/>
      <c r="O220" s="38"/>
      <c r="P220" s="38"/>
      <c r="Q220" s="35">
        <f>SUM(N220:P220)</f>
        <v>0</v>
      </c>
      <c r="R220" s="34">
        <f>Q220+M220+I220+E220</f>
        <v>0</v>
      </c>
    </row>
    <row r="221" spans="1:25" ht="12.75" hidden="1" outlineLevel="1">
      <c r="A221" s="22" t="s">
        <v>49</v>
      </c>
      <c r="B221" s="33">
        <f aca="true" t="shared" si="118" ref="B221:Y221">SUM(B211:B220)</f>
        <v>126.16</v>
      </c>
      <c r="C221" s="33">
        <f t="shared" si="118"/>
        <v>0</v>
      </c>
      <c r="D221" s="33">
        <f t="shared" si="118"/>
        <v>172.94</v>
      </c>
      <c r="E221" s="33">
        <f t="shared" si="118"/>
        <v>288.93</v>
      </c>
      <c r="F221" s="33">
        <f t="shared" si="118"/>
        <v>149.09000000000003</v>
      </c>
      <c r="G221" s="33">
        <f t="shared" si="118"/>
        <v>124.10000000000001</v>
      </c>
      <c r="H221" s="33">
        <f t="shared" si="118"/>
        <v>86.85000000000001</v>
      </c>
      <c r="I221" s="33">
        <f t="shared" si="118"/>
        <v>360.04</v>
      </c>
      <c r="J221" s="33">
        <f t="shared" si="118"/>
        <v>95.78000000000002</v>
      </c>
      <c r="K221" s="33">
        <f t="shared" si="118"/>
        <v>136.91000000000003</v>
      </c>
      <c r="L221" s="33">
        <f t="shared" si="118"/>
        <v>106.46</v>
      </c>
      <c r="M221" s="33">
        <f t="shared" si="118"/>
        <v>339.15</v>
      </c>
      <c r="N221" s="33">
        <f t="shared" si="118"/>
        <v>111.65</v>
      </c>
      <c r="O221" s="33">
        <f t="shared" si="118"/>
        <v>129.97</v>
      </c>
      <c r="P221" s="33">
        <f t="shared" si="118"/>
        <v>155.84</v>
      </c>
      <c r="Q221" s="33">
        <f t="shared" si="118"/>
        <v>397.46000000000004</v>
      </c>
      <c r="R221" s="90">
        <f t="shared" si="118"/>
        <v>1385.58</v>
      </c>
      <c r="S221" s="33">
        <f t="shared" si="118"/>
        <v>0</v>
      </c>
      <c r="T221" s="33">
        <f t="shared" si="118"/>
        <v>0</v>
      </c>
      <c r="U221" s="33">
        <f t="shared" si="118"/>
        <v>0</v>
      </c>
      <c r="V221" s="33">
        <f t="shared" si="118"/>
        <v>0</v>
      </c>
      <c r="W221" s="33">
        <f t="shared" si="118"/>
        <v>0</v>
      </c>
      <c r="X221" s="33">
        <f t="shared" si="118"/>
        <v>0</v>
      </c>
      <c r="Y221" s="33">
        <f t="shared" si="118"/>
        <v>0</v>
      </c>
    </row>
    <row r="222" spans="1:21" ht="13.5" collapsed="1" thickBot="1">
      <c r="A222" s="84" t="s">
        <v>48</v>
      </c>
      <c r="B222" s="49">
        <f aca="true" t="shared" si="119" ref="B222:R222">B221+B210</f>
        <v>126.16</v>
      </c>
      <c r="C222" s="49">
        <f t="shared" si="119"/>
        <v>0</v>
      </c>
      <c r="D222" s="49">
        <f t="shared" si="119"/>
        <v>357.75</v>
      </c>
      <c r="E222" s="48">
        <f t="shared" si="119"/>
        <v>473.74</v>
      </c>
      <c r="F222" s="49">
        <f>F221+F210</f>
        <v>233.73000000000002</v>
      </c>
      <c r="G222" s="49">
        <f>G221+G210</f>
        <v>234.72000000000003</v>
      </c>
      <c r="H222" s="49">
        <f t="shared" si="119"/>
        <v>86.85000000000001</v>
      </c>
      <c r="I222" s="48">
        <f t="shared" si="119"/>
        <v>555.3</v>
      </c>
      <c r="J222" s="49">
        <f t="shared" si="119"/>
        <v>95.78000000000002</v>
      </c>
      <c r="K222" s="49">
        <f t="shared" si="119"/>
        <v>136.91000000000003</v>
      </c>
      <c r="L222" s="49">
        <f t="shared" si="119"/>
        <v>106.46</v>
      </c>
      <c r="M222" s="48">
        <f t="shared" si="119"/>
        <v>339.15</v>
      </c>
      <c r="N222" s="49">
        <f t="shared" si="119"/>
        <v>111.65</v>
      </c>
      <c r="O222" s="49">
        <f t="shared" si="119"/>
        <v>129.97</v>
      </c>
      <c r="P222" s="49">
        <f t="shared" si="119"/>
        <v>597.88</v>
      </c>
      <c r="Q222" s="48">
        <f t="shared" si="119"/>
        <v>839.5</v>
      </c>
      <c r="R222" s="50">
        <f t="shared" si="119"/>
        <v>2207.6899999999996</v>
      </c>
      <c r="S222" s="65">
        <f>((B211/0.12)+(C211/0.12)+(D211/0.12)+(F211/0.12)+(G211/0.12)+(H211/0.12)+(J211/0.12)+(K211/0.12)+(L211/0.12)+(N211/0.12)+(O211/0.12)+(P211/0.12))/12</f>
        <v>483.6666666666667</v>
      </c>
      <c r="T222" s="54">
        <f>IF(R222&gt;0,R222/S222,0)</f>
        <v>4.564486560992418</v>
      </c>
      <c r="U222" s="66">
        <f>IF(R213&gt;0,R213/R222,0)</f>
        <v>0.0670519864654911</v>
      </c>
    </row>
    <row r="223" spans="1:18" ht="12.75">
      <c r="A223" s="85" t="s">
        <v>36</v>
      </c>
      <c r="B223" s="86"/>
      <c r="C223" s="86"/>
      <c r="D223" s="86"/>
      <c r="E223" s="87"/>
      <c r="F223" s="86"/>
      <c r="G223" s="86"/>
      <c r="H223" s="86"/>
      <c r="I223" s="87"/>
      <c r="J223" s="86"/>
      <c r="K223" s="86"/>
      <c r="L223" s="86"/>
      <c r="M223" s="87"/>
      <c r="N223" s="86"/>
      <c r="O223" s="86"/>
      <c r="P223" s="86"/>
      <c r="Q223" s="87"/>
      <c r="R223" s="88"/>
    </row>
    <row r="224" spans="1:18" ht="12.75" hidden="1" outlineLevel="1">
      <c r="A224" s="19" t="s">
        <v>40</v>
      </c>
      <c r="B224" s="20"/>
      <c r="C224" s="20"/>
      <c r="D224" s="20"/>
      <c r="E224" s="67">
        <f aca="true" t="shared" si="120" ref="E224:E231">SUM(B224:D224)</f>
        <v>0</v>
      </c>
      <c r="F224" s="20"/>
      <c r="G224" s="20"/>
      <c r="H224" s="20"/>
      <c r="I224" s="67">
        <f aca="true" t="shared" si="121" ref="I224:I231">SUM(F224:H224)</f>
        <v>0</v>
      </c>
      <c r="J224" s="20"/>
      <c r="K224" s="20"/>
      <c r="L224" s="20"/>
      <c r="M224" s="67">
        <f aca="true" t="shared" si="122" ref="M224:M231">SUM(J224:L224)</f>
        <v>0</v>
      </c>
      <c r="N224" s="20"/>
      <c r="O224" s="20"/>
      <c r="P224" s="20"/>
      <c r="Q224" s="67">
        <f aca="true" t="shared" si="123" ref="Q224:Q231">SUM(N224:P224)</f>
        <v>0</v>
      </c>
      <c r="R224" s="21">
        <f aca="true" t="shared" si="124" ref="R224:R238">Q224+M224+I224+E224</f>
        <v>0</v>
      </c>
    </row>
    <row r="225" spans="1:18" ht="12.75" hidden="1" outlineLevel="1">
      <c r="A225" s="19" t="s">
        <v>41</v>
      </c>
      <c r="B225" s="20"/>
      <c r="C225" s="20"/>
      <c r="D225" s="20"/>
      <c r="E225" s="67">
        <f t="shared" si="120"/>
        <v>0</v>
      </c>
      <c r="F225" s="20"/>
      <c r="G225" s="20"/>
      <c r="H225" s="20"/>
      <c r="I225" s="67">
        <f t="shared" si="121"/>
        <v>0</v>
      </c>
      <c r="J225" s="20"/>
      <c r="K225" s="20"/>
      <c r="L225" s="20"/>
      <c r="M225" s="67">
        <f t="shared" si="122"/>
        <v>0</v>
      </c>
      <c r="N225" s="20"/>
      <c r="O225" s="20"/>
      <c r="P225" s="20"/>
      <c r="Q225" s="67">
        <f t="shared" si="123"/>
        <v>0</v>
      </c>
      <c r="R225" s="21">
        <f t="shared" si="124"/>
        <v>0</v>
      </c>
    </row>
    <row r="226" spans="1:18" ht="12.75" hidden="1" outlineLevel="1">
      <c r="A226" s="19" t="s">
        <v>42</v>
      </c>
      <c r="B226" s="20"/>
      <c r="C226" s="20"/>
      <c r="D226" s="20"/>
      <c r="E226" s="67">
        <f t="shared" si="120"/>
        <v>0</v>
      </c>
      <c r="F226" s="20"/>
      <c r="G226" s="20"/>
      <c r="H226" s="20"/>
      <c r="I226" s="67">
        <f t="shared" si="121"/>
        <v>0</v>
      </c>
      <c r="J226" s="20"/>
      <c r="K226" s="20"/>
      <c r="L226" s="20"/>
      <c r="M226" s="67">
        <f t="shared" si="122"/>
        <v>0</v>
      </c>
      <c r="N226" s="20"/>
      <c r="O226" s="20"/>
      <c r="P226" s="20"/>
      <c r="Q226" s="67">
        <f t="shared" si="123"/>
        <v>0</v>
      </c>
      <c r="R226" s="21">
        <f t="shared" si="124"/>
        <v>0</v>
      </c>
    </row>
    <row r="227" spans="1:18" ht="12.75" hidden="1" outlineLevel="1">
      <c r="A227" s="19" t="s">
        <v>43</v>
      </c>
      <c r="B227" s="20"/>
      <c r="C227" s="20"/>
      <c r="D227" s="20"/>
      <c r="E227" s="67">
        <f t="shared" si="120"/>
        <v>0</v>
      </c>
      <c r="F227" s="20"/>
      <c r="G227" s="20"/>
      <c r="H227" s="20"/>
      <c r="I227" s="67">
        <f t="shared" si="121"/>
        <v>0</v>
      </c>
      <c r="J227" s="20"/>
      <c r="K227" s="20"/>
      <c r="L227" s="20"/>
      <c r="M227" s="67">
        <f t="shared" si="122"/>
        <v>0</v>
      </c>
      <c r="N227" s="20"/>
      <c r="O227" s="20"/>
      <c r="P227" s="20"/>
      <c r="Q227" s="67">
        <f t="shared" si="123"/>
        <v>0</v>
      </c>
      <c r="R227" s="21">
        <f t="shared" si="124"/>
        <v>0</v>
      </c>
    </row>
    <row r="228" spans="1:18" ht="12.75" hidden="1" outlineLevel="1">
      <c r="A228" s="19" t="s">
        <v>44</v>
      </c>
      <c r="B228" s="20"/>
      <c r="C228" s="20"/>
      <c r="D228" s="20"/>
      <c r="E228" s="67">
        <f t="shared" si="120"/>
        <v>0</v>
      </c>
      <c r="F228" s="20"/>
      <c r="G228" s="20"/>
      <c r="H228" s="20"/>
      <c r="I228" s="67">
        <f t="shared" si="121"/>
        <v>0</v>
      </c>
      <c r="J228" s="20"/>
      <c r="K228" s="20"/>
      <c r="L228" s="20"/>
      <c r="M228" s="67">
        <f t="shared" si="122"/>
        <v>0</v>
      </c>
      <c r="N228" s="20"/>
      <c r="O228" s="20"/>
      <c r="P228" s="20"/>
      <c r="Q228" s="67">
        <f t="shared" si="123"/>
        <v>0</v>
      </c>
      <c r="R228" s="21">
        <f t="shared" si="124"/>
        <v>0</v>
      </c>
    </row>
    <row r="229" spans="1:18" ht="12.75" hidden="1" outlineLevel="1">
      <c r="A229" s="19" t="s">
        <v>45</v>
      </c>
      <c r="B229" s="62"/>
      <c r="C229" s="62"/>
      <c r="D229" s="62">
        <v>245.1</v>
      </c>
      <c r="E229" s="35">
        <f t="shared" si="120"/>
        <v>245.1</v>
      </c>
      <c r="F229" s="62">
        <v>112.25</v>
      </c>
      <c r="G229" s="62">
        <f>120.1+26.61</f>
        <v>146.70999999999998</v>
      </c>
      <c r="H229" s="62"/>
      <c r="I229" s="35">
        <f t="shared" si="121"/>
        <v>258.96</v>
      </c>
      <c r="J229" s="62"/>
      <c r="K229" s="62"/>
      <c r="L229" s="62"/>
      <c r="M229" s="35">
        <f t="shared" si="122"/>
        <v>0</v>
      </c>
      <c r="N229" s="62"/>
      <c r="O229" s="62"/>
      <c r="P229" s="62">
        <v>577.46</v>
      </c>
      <c r="Q229" s="35">
        <f t="shared" si="123"/>
        <v>577.46</v>
      </c>
      <c r="R229" s="34">
        <f t="shared" si="124"/>
        <v>1081.52</v>
      </c>
    </row>
    <row r="230" spans="1:18" ht="12.75" hidden="1" outlineLevel="1">
      <c r="A230" s="19" t="s">
        <v>46</v>
      </c>
      <c r="B230" s="20"/>
      <c r="C230" s="20"/>
      <c r="D230" s="20"/>
      <c r="E230" s="67">
        <f t="shared" si="120"/>
        <v>0</v>
      </c>
      <c r="F230" s="20"/>
      <c r="G230" s="20"/>
      <c r="H230" s="20"/>
      <c r="I230" s="67">
        <f t="shared" si="121"/>
        <v>0</v>
      </c>
      <c r="J230" s="20"/>
      <c r="K230" s="20"/>
      <c r="L230" s="20"/>
      <c r="M230" s="67">
        <f t="shared" si="122"/>
        <v>0</v>
      </c>
      <c r="N230" s="20"/>
      <c r="O230" s="20"/>
      <c r="P230" s="20"/>
      <c r="Q230" s="67">
        <f t="shared" si="123"/>
        <v>0</v>
      </c>
      <c r="R230" s="21">
        <f t="shared" si="124"/>
        <v>0</v>
      </c>
    </row>
    <row r="231" spans="1:18" ht="12.75" hidden="1" outlineLevel="1">
      <c r="A231" s="19" t="s">
        <v>58</v>
      </c>
      <c r="B231" s="62"/>
      <c r="C231" s="62"/>
      <c r="D231" s="62"/>
      <c r="E231" s="59">
        <f t="shared" si="120"/>
        <v>0</v>
      </c>
      <c r="F231" s="52"/>
      <c r="G231" s="52"/>
      <c r="H231" s="52"/>
      <c r="I231" s="59">
        <f t="shared" si="121"/>
        <v>0</v>
      </c>
      <c r="J231" s="52"/>
      <c r="K231" s="52"/>
      <c r="L231" s="52"/>
      <c r="M231" s="59">
        <f t="shared" si="122"/>
        <v>0</v>
      </c>
      <c r="N231" s="52"/>
      <c r="O231" s="52"/>
      <c r="P231" s="52"/>
      <c r="Q231" s="59">
        <f t="shared" si="123"/>
        <v>0</v>
      </c>
      <c r="R231" s="60">
        <f t="shared" si="124"/>
        <v>0</v>
      </c>
    </row>
    <row r="232" spans="1:18" ht="12.75" hidden="1" outlineLevel="1">
      <c r="A232" s="22" t="s">
        <v>47</v>
      </c>
      <c r="B232" s="33">
        <f aca="true" t="shared" si="125" ref="B232:Q232">SUM(B224:B231)</f>
        <v>0</v>
      </c>
      <c r="C232" s="33">
        <f t="shared" si="125"/>
        <v>0</v>
      </c>
      <c r="D232" s="33">
        <f t="shared" si="125"/>
        <v>245.1</v>
      </c>
      <c r="E232" s="33">
        <f t="shared" si="125"/>
        <v>245.1</v>
      </c>
      <c r="F232" s="33">
        <f t="shared" si="125"/>
        <v>112.25</v>
      </c>
      <c r="G232" s="33">
        <f t="shared" si="125"/>
        <v>146.70999999999998</v>
      </c>
      <c r="H232" s="33">
        <f t="shared" si="125"/>
        <v>0</v>
      </c>
      <c r="I232" s="33">
        <f t="shared" si="125"/>
        <v>258.96</v>
      </c>
      <c r="J232" s="33">
        <f t="shared" si="125"/>
        <v>0</v>
      </c>
      <c r="K232" s="33">
        <f t="shared" si="125"/>
        <v>0</v>
      </c>
      <c r="L232" s="33">
        <f t="shared" si="125"/>
        <v>0</v>
      </c>
      <c r="M232" s="33">
        <f t="shared" si="125"/>
        <v>0</v>
      </c>
      <c r="N232" s="33">
        <f t="shared" si="125"/>
        <v>0</v>
      </c>
      <c r="O232" s="33">
        <f t="shared" si="125"/>
        <v>0</v>
      </c>
      <c r="P232" s="33">
        <f t="shared" si="125"/>
        <v>577.46</v>
      </c>
      <c r="Q232" s="33">
        <f t="shared" si="125"/>
        <v>577.46</v>
      </c>
      <c r="R232" s="34">
        <f t="shared" si="124"/>
        <v>1081.52</v>
      </c>
    </row>
    <row r="233" spans="1:18" ht="12.75" hidden="1" outlineLevel="1">
      <c r="A233" s="23" t="s">
        <v>15</v>
      </c>
      <c r="B233" s="63">
        <v>82.08</v>
      </c>
      <c r="C233" s="63"/>
      <c r="D233" s="63">
        <v>82.8</v>
      </c>
      <c r="E233" s="35">
        <f aca="true" t="shared" si="126" ref="E233:E238">SUM(B233:D233)</f>
        <v>164.88</v>
      </c>
      <c r="F233" s="37">
        <v>81.96</v>
      </c>
      <c r="G233" s="37">
        <v>82.08</v>
      </c>
      <c r="H233" s="37">
        <v>81.84</v>
      </c>
      <c r="I233" s="35">
        <f aca="true" t="shared" si="127" ref="I233:I238">SUM(F233:H233)</f>
        <v>245.88</v>
      </c>
      <c r="J233" s="37">
        <v>81.6</v>
      </c>
      <c r="K233" s="37">
        <v>81.6</v>
      </c>
      <c r="L233" s="37">
        <v>81.6</v>
      </c>
      <c r="M233" s="35">
        <f aca="true" t="shared" si="128" ref="M233:M238">SUM(J233:L233)</f>
        <v>244.79999999999998</v>
      </c>
      <c r="N233" s="37">
        <v>81.12</v>
      </c>
      <c r="O233" s="37">
        <v>80.52</v>
      </c>
      <c r="P233" s="38">
        <v>79.56</v>
      </c>
      <c r="Q233" s="35">
        <f aca="true" t="shared" si="129" ref="Q233:Q238">SUM(N233:P233)</f>
        <v>241.2</v>
      </c>
      <c r="R233" s="34">
        <f t="shared" si="124"/>
        <v>896.76</v>
      </c>
    </row>
    <row r="234" spans="1:18" ht="12.75" hidden="1" outlineLevel="1">
      <c r="A234" s="23" t="s">
        <v>16</v>
      </c>
      <c r="B234" s="63">
        <v>14</v>
      </c>
      <c r="C234" s="63"/>
      <c r="D234" s="63">
        <v>14</v>
      </c>
      <c r="E234" s="35">
        <f t="shared" si="126"/>
        <v>28</v>
      </c>
      <c r="F234" s="37">
        <v>14</v>
      </c>
      <c r="G234" s="37">
        <v>14</v>
      </c>
      <c r="H234" s="37">
        <v>14</v>
      </c>
      <c r="I234" s="35">
        <f t="shared" si="127"/>
        <v>42</v>
      </c>
      <c r="J234" s="37">
        <v>14</v>
      </c>
      <c r="K234" s="37">
        <v>14</v>
      </c>
      <c r="L234" s="37">
        <v>14</v>
      </c>
      <c r="M234" s="35">
        <f t="shared" si="128"/>
        <v>42</v>
      </c>
      <c r="N234" s="37">
        <v>14</v>
      </c>
      <c r="O234" s="37">
        <v>14</v>
      </c>
      <c r="P234" s="38">
        <v>14</v>
      </c>
      <c r="Q234" s="35">
        <f t="shared" si="129"/>
        <v>42</v>
      </c>
      <c r="R234" s="34">
        <f t="shared" si="124"/>
        <v>154</v>
      </c>
    </row>
    <row r="235" spans="1:18" ht="12.75" hidden="1" outlineLevel="1">
      <c r="A235" s="23" t="s">
        <v>17</v>
      </c>
      <c r="B235" s="63">
        <v>29.38</v>
      </c>
      <c r="C235" s="63"/>
      <c r="D235" s="63">
        <v>24.86</v>
      </c>
      <c r="E235" s="35">
        <f t="shared" si="126"/>
        <v>54.239999999999995</v>
      </c>
      <c r="F235" s="37">
        <v>12.43</v>
      </c>
      <c r="G235" s="37">
        <v>12.43</v>
      </c>
      <c r="H235" s="37">
        <v>9.04</v>
      </c>
      <c r="I235" s="35">
        <f t="shared" si="127"/>
        <v>33.9</v>
      </c>
      <c r="J235" s="37">
        <v>18.08</v>
      </c>
      <c r="K235" s="37">
        <v>10.17</v>
      </c>
      <c r="L235" s="37">
        <v>16.95</v>
      </c>
      <c r="M235" s="35">
        <f t="shared" si="128"/>
        <v>45.2</v>
      </c>
      <c r="N235" s="37">
        <v>6.78</v>
      </c>
      <c r="O235" s="37">
        <v>11.3</v>
      </c>
      <c r="P235" s="38">
        <v>5.65</v>
      </c>
      <c r="Q235" s="35">
        <f t="shared" si="129"/>
        <v>23.730000000000004</v>
      </c>
      <c r="R235" s="34">
        <f t="shared" si="124"/>
        <v>157.07</v>
      </c>
    </row>
    <row r="236" spans="1:18" ht="12.75" hidden="1" outlineLevel="1">
      <c r="A236" s="25" t="s">
        <v>18</v>
      </c>
      <c r="B236" s="63">
        <v>21</v>
      </c>
      <c r="C236" s="63"/>
      <c r="D236" s="63">
        <v>23.74</v>
      </c>
      <c r="E236" s="35">
        <f t="shared" si="126"/>
        <v>44.739999999999995</v>
      </c>
      <c r="F236" s="37">
        <v>22.09</v>
      </c>
      <c r="G236" s="37">
        <v>10.53</v>
      </c>
      <c r="H236" s="37">
        <v>1.95</v>
      </c>
      <c r="I236" s="35">
        <f t="shared" si="127"/>
        <v>34.57</v>
      </c>
      <c r="J236" s="37">
        <v>10.84</v>
      </c>
      <c r="K236" s="37">
        <v>10.85</v>
      </c>
      <c r="L236" s="37">
        <v>11.96</v>
      </c>
      <c r="M236" s="35">
        <f t="shared" si="128"/>
        <v>33.65</v>
      </c>
      <c r="N236" s="37">
        <v>5.75</v>
      </c>
      <c r="O236" s="37">
        <v>12.33</v>
      </c>
      <c r="P236" s="38">
        <v>103.98</v>
      </c>
      <c r="Q236" s="35">
        <f t="shared" si="129"/>
        <v>122.06</v>
      </c>
      <c r="R236" s="34">
        <f t="shared" si="124"/>
        <v>235.01999999999998</v>
      </c>
    </row>
    <row r="237" spans="1:18" ht="12.75" hidden="1" outlineLevel="1">
      <c r="A237" s="23" t="s">
        <v>19</v>
      </c>
      <c r="B237" s="63"/>
      <c r="C237" s="63"/>
      <c r="D237" s="63">
        <v>0.93</v>
      </c>
      <c r="E237" s="35">
        <f t="shared" si="126"/>
        <v>0.93</v>
      </c>
      <c r="F237" s="37"/>
      <c r="G237" s="37"/>
      <c r="H237" s="37"/>
      <c r="I237" s="35">
        <f t="shared" si="127"/>
        <v>0</v>
      </c>
      <c r="J237" s="37"/>
      <c r="K237" s="37"/>
      <c r="L237" s="37"/>
      <c r="M237" s="35">
        <f t="shared" si="128"/>
        <v>0</v>
      </c>
      <c r="N237" s="37"/>
      <c r="O237" s="37"/>
      <c r="P237" s="38"/>
      <c r="Q237" s="35">
        <f t="shared" si="129"/>
        <v>0</v>
      </c>
      <c r="R237" s="34">
        <f t="shared" si="124"/>
        <v>0.93</v>
      </c>
    </row>
    <row r="238" spans="1:18" ht="12.75" hidden="1" outlineLevel="1">
      <c r="A238" s="23" t="s">
        <v>20</v>
      </c>
      <c r="B238" s="63">
        <v>22</v>
      </c>
      <c r="C238" s="63"/>
      <c r="D238" s="63">
        <v>93</v>
      </c>
      <c r="E238" s="35">
        <f t="shared" si="126"/>
        <v>115</v>
      </c>
      <c r="F238" s="37">
        <v>107</v>
      </c>
      <c r="G238" s="37">
        <v>19</v>
      </c>
      <c r="H238" s="37">
        <v>26</v>
      </c>
      <c r="I238" s="35">
        <f t="shared" si="127"/>
        <v>152</v>
      </c>
      <c r="J238" s="37">
        <v>11.5</v>
      </c>
      <c r="K238" s="37">
        <v>44</v>
      </c>
      <c r="L238" s="37">
        <v>44</v>
      </c>
      <c r="M238" s="35">
        <f t="shared" si="128"/>
        <v>99.5</v>
      </c>
      <c r="N238" s="37">
        <v>34.5</v>
      </c>
      <c r="O238" s="37">
        <v>56.5</v>
      </c>
      <c r="P238" s="38">
        <v>5.5</v>
      </c>
      <c r="Q238" s="35">
        <f t="shared" si="129"/>
        <v>96.5</v>
      </c>
      <c r="R238" s="34">
        <f t="shared" si="124"/>
        <v>463</v>
      </c>
    </row>
    <row r="239" spans="1:18" ht="12.75" hidden="1" outlineLevel="1">
      <c r="A239" s="23" t="s">
        <v>72</v>
      </c>
      <c r="B239" s="63"/>
      <c r="C239" s="63"/>
      <c r="D239" s="63">
        <f>0.06+37.29</f>
        <v>37.35</v>
      </c>
      <c r="E239" s="35"/>
      <c r="F239" s="37"/>
      <c r="G239" s="37"/>
      <c r="H239" s="37"/>
      <c r="I239" s="35"/>
      <c r="J239" s="37"/>
      <c r="K239" s="37"/>
      <c r="L239" s="37"/>
      <c r="M239" s="35"/>
      <c r="N239" s="37"/>
      <c r="O239" s="37"/>
      <c r="P239" s="38"/>
      <c r="Q239" s="35"/>
      <c r="R239" s="34"/>
    </row>
    <row r="240" spans="1:18" ht="12.75" hidden="1" outlineLevel="1">
      <c r="A240" s="23" t="s">
        <v>21</v>
      </c>
      <c r="B240" s="63"/>
      <c r="C240" s="63"/>
      <c r="D240" s="63"/>
      <c r="E240" s="35">
        <f>SUM(B240:D240)</f>
        <v>0</v>
      </c>
      <c r="F240" s="37"/>
      <c r="G240" s="37"/>
      <c r="H240" s="37"/>
      <c r="I240" s="35">
        <f>SUM(F240:H240)</f>
        <v>0</v>
      </c>
      <c r="J240" s="37"/>
      <c r="K240" s="37"/>
      <c r="L240" s="37"/>
      <c r="M240" s="35">
        <f>SUM(J240:L240)</f>
        <v>0</v>
      </c>
      <c r="N240" s="37"/>
      <c r="O240" s="37"/>
      <c r="P240" s="38"/>
      <c r="Q240" s="35">
        <f>SUM(N240:P240)</f>
        <v>0</v>
      </c>
      <c r="R240" s="34">
        <f>Q240+M240+I240+E240</f>
        <v>0</v>
      </c>
    </row>
    <row r="241" spans="1:18" ht="12.75" hidden="1" outlineLevel="1">
      <c r="A241" s="23" t="s">
        <v>22</v>
      </c>
      <c r="B241" s="63"/>
      <c r="C241" s="63"/>
      <c r="D241" s="63">
        <v>4.26</v>
      </c>
      <c r="E241" s="35">
        <f>SUM(B241:D241)</f>
        <v>4.26</v>
      </c>
      <c r="F241" s="37"/>
      <c r="G241" s="37">
        <v>4.26</v>
      </c>
      <c r="H241" s="37">
        <v>12.78</v>
      </c>
      <c r="I241" s="35">
        <f>SUM(F241:H241)</f>
        <v>17.04</v>
      </c>
      <c r="J241" s="37"/>
      <c r="K241" s="37"/>
      <c r="L241" s="37">
        <v>4.26</v>
      </c>
      <c r="M241" s="35">
        <f>SUM(J241:L241)</f>
        <v>4.26</v>
      </c>
      <c r="N241" s="37">
        <v>34.08</v>
      </c>
      <c r="O241" s="37">
        <v>4.26</v>
      </c>
      <c r="P241" s="38">
        <v>4.26</v>
      </c>
      <c r="Q241" s="35">
        <f>SUM(N241:P241)</f>
        <v>42.599999999999994</v>
      </c>
      <c r="R241" s="34">
        <f>Q241+M241+I241+E241</f>
        <v>68.16</v>
      </c>
    </row>
    <row r="242" spans="1:18" ht="12.75" hidden="1" outlineLevel="1">
      <c r="A242" s="23" t="s">
        <v>61</v>
      </c>
      <c r="B242" s="62"/>
      <c r="C242" s="62"/>
      <c r="D242" s="62"/>
      <c r="E242" s="35">
        <f>SUM(B242:D242)</f>
        <v>0</v>
      </c>
      <c r="F242" s="38"/>
      <c r="G242" s="38"/>
      <c r="H242" s="38"/>
      <c r="I242" s="35">
        <f>SUM(F242:H242)</f>
        <v>0</v>
      </c>
      <c r="J242" s="38"/>
      <c r="K242" s="38"/>
      <c r="L242" s="38"/>
      <c r="M242" s="35">
        <f>SUM(J242:L242)</f>
        <v>0</v>
      </c>
      <c r="N242" s="38"/>
      <c r="O242" s="38"/>
      <c r="P242" s="38"/>
      <c r="Q242" s="35">
        <f>SUM(N242:P242)</f>
        <v>0</v>
      </c>
      <c r="R242" s="34">
        <f>Q242+M242+I242+E242</f>
        <v>0</v>
      </c>
    </row>
    <row r="243" spans="1:25" ht="12.75" hidden="1" outlineLevel="1">
      <c r="A243" s="89" t="s">
        <v>49</v>
      </c>
      <c r="B243" s="33">
        <f aca="true" t="shared" si="130" ref="B243:Y243">SUM(B233:B242)</f>
        <v>168.45999999999998</v>
      </c>
      <c r="C243" s="33">
        <f t="shared" si="130"/>
        <v>0</v>
      </c>
      <c r="D243" s="33">
        <f t="shared" si="130"/>
        <v>280.94</v>
      </c>
      <c r="E243" s="33">
        <f t="shared" si="130"/>
        <v>412.05</v>
      </c>
      <c r="F243" s="33">
        <f t="shared" si="130"/>
        <v>237.48</v>
      </c>
      <c r="G243" s="33">
        <f t="shared" si="130"/>
        <v>142.29999999999998</v>
      </c>
      <c r="H243" s="33">
        <f t="shared" si="130"/>
        <v>145.60999999999999</v>
      </c>
      <c r="I243" s="33">
        <f t="shared" si="130"/>
        <v>525.39</v>
      </c>
      <c r="J243" s="33">
        <f t="shared" si="130"/>
        <v>136.01999999999998</v>
      </c>
      <c r="K243" s="33">
        <f t="shared" si="130"/>
        <v>160.62</v>
      </c>
      <c r="L243" s="33">
        <f t="shared" si="130"/>
        <v>172.76999999999998</v>
      </c>
      <c r="M243" s="33">
        <f t="shared" si="130"/>
        <v>469.4099999999999</v>
      </c>
      <c r="N243" s="33">
        <f t="shared" si="130"/>
        <v>176.23000000000002</v>
      </c>
      <c r="O243" s="33">
        <f t="shared" si="130"/>
        <v>178.90999999999997</v>
      </c>
      <c r="P243" s="33">
        <f t="shared" si="130"/>
        <v>212.95</v>
      </c>
      <c r="Q243" s="33">
        <f t="shared" si="130"/>
        <v>568.09</v>
      </c>
      <c r="R243" s="90">
        <f t="shared" si="130"/>
        <v>1974.94</v>
      </c>
      <c r="S243" s="33">
        <f t="shared" si="130"/>
        <v>0</v>
      </c>
      <c r="T243" s="33">
        <f t="shared" si="130"/>
        <v>0</v>
      </c>
      <c r="U243" s="33">
        <f t="shared" si="130"/>
        <v>0</v>
      </c>
      <c r="V243" s="33">
        <f t="shared" si="130"/>
        <v>0</v>
      </c>
      <c r="W243" s="33">
        <f t="shared" si="130"/>
        <v>0</v>
      </c>
      <c r="X243" s="33">
        <f t="shared" si="130"/>
        <v>0</v>
      </c>
      <c r="Y243" s="33">
        <f t="shared" si="130"/>
        <v>0</v>
      </c>
    </row>
    <row r="244" spans="1:21" ht="13.5" collapsed="1" thickBot="1">
      <c r="A244" s="84" t="s">
        <v>48</v>
      </c>
      <c r="B244" s="49">
        <f aca="true" t="shared" si="131" ref="B244:R244">B243+B232</f>
        <v>168.45999999999998</v>
      </c>
      <c r="C244" s="49">
        <f t="shared" si="131"/>
        <v>0</v>
      </c>
      <c r="D244" s="49">
        <f t="shared" si="131"/>
        <v>526.04</v>
      </c>
      <c r="E244" s="48">
        <f t="shared" si="131"/>
        <v>657.15</v>
      </c>
      <c r="F244" s="49">
        <f>F243+F232</f>
        <v>349.73</v>
      </c>
      <c r="G244" s="49">
        <f>G243+G232</f>
        <v>289.01</v>
      </c>
      <c r="H244" s="49">
        <f t="shared" si="131"/>
        <v>145.60999999999999</v>
      </c>
      <c r="I244" s="48">
        <f t="shared" si="131"/>
        <v>784.3499999999999</v>
      </c>
      <c r="J244" s="49">
        <f t="shared" si="131"/>
        <v>136.01999999999998</v>
      </c>
      <c r="K244" s="49">
        <f t="shared" si="131"/>
        <v>160.62</v>
      </c>
      <c r="L244" s="49">
        <f t="shared" si="131"/>
        <v>172.76999999999998</v>
      </c>
      <c r="M244" s="48">
        <f t="shared" si="131"/>
        <v>469.4099999999999</v>
      </c>
      <c r="N244" s="49">
        <f t="shared" si="131"/>
        <v>176.23000000000002</v>
      </c>
      <c r="O244" s="49">
        <f t="shared" si="131"/>
        <v>178.90999999999997</v>
      </c>
      <c r="P244" s="49">
        <f t="shared" si="131"/>
        <v>790.4100000000001</v>
      </c>
      <c r="Q244" s="48">
        <f t="shared" si="131"/>
        <v>1145.5500000000002</v>
      </c>
      <c r="R244" s="50">
        <f t="shared" si="131"/>
        <v>3056.46</v>
      </c>
      <c r="S244" s="65">
        <f>((B233/0.12)+(C233/0.12)+(D233/0.12)+(F233/0.12)+(G233/0.12)+(H233/0.12)+(J233/0.12)+(K233/0.12)+(L233/0.12)+(N233/0.12)+(O233/0.12)+(P233/0.12))/12</f>
        <v>622.75</v>
      </c>
      <c r="T244" s="54">
        <f>IF(R244&gt;0,R244/S244,0)</f>
        <v>4.908004817342433</v>
      </c>
      <c r="U244" s="66">
        <f>IF(R235&gt;0,R235/R244,0)</f>
        <v>0.051389515975998376</v>
      </c>
    </row>
    <row r="245" spans="1:18" ht="12.75">
      <c r="A245" s="85" t="s">
        <v>67</v>
      </c>
      <c r="B245" s="86"/>
      <c r="C245" s="86"/>
      <c r="D245" s="86"/>
      <c r="E245" s="87"/>
      <c r="F245" s="86"/>
      <c r="G245" s="86"/>
      <c r="H245" s="86"/>
      <c r="I245" s="87"/>
      <c r="J245" s="86"/>
      <c r="K245" s="86"/>
      <c r="L245" s="86"/>
      <c r="M245" s="87"/>
      <c r="N245" s="86"/>
      <c r="O245" s="86"/>
      <c r="P245" s="86"/>
      <c r="Q245" s="87"/>
      <c r="R245" s="88"/>
    </row>
    <row r="246" spans="1:18" ht="12.75" hidden="1" outlineLevel="1">
      <c r="A246" s="19" t="s">
        <v>40</v>
      </c>
      <c r="B246" s="20"/>
      <c r="C246" s="20"/>
      <c r="D246" s="20"/>
      <c r="E246" s="67">
        <f aca="true" t="shared" si="132" ref="E246:E253">SUM(B246:D246)</f>
        <v>0</v>
      </c>
      <c r="F246" s="20"/>
      <c r="G246" s="20"/>
      <c r="H246" s="20"/>
      <c r="I246" s="67">
        <f aca="true" t="shared" si="133" ref="I246:I253">SUM(F246:H246)</f>
        <v>0</v>
      </c>
      <c r="J246" s="20"/>
      <c r="K246" s="20"/>
      <c r="L246" s="20"/>
      <c r="M246" s="67">
        <f aca="true" t="shared" si="134" ref="M246:M253">SUM(J246:L246)</f>
        <v>0</v>
      </c>
      <c r="N246" s="20"/>
      <c r="O246" s="20"/>
      <c r="P246" s="20"/>
      <c r="Q246" s="67">
        <f aca="true" t="shared" si="135" ref="Q246:Q253">SUM(N246:P246)</f>
        <v>0</v>
      </c>
      <c r="R246" s="21">
        <f aca="true" t="shared" si="136" ref="R246:R260">Q246+M246+I246+E246</f>
        <v>0</v>
      </c>
    </row>
    <row r="247" spans="1:18" ht="12.75" hidden="1" outlineLevel="1">
      <c r="A247" s="19" t="s">
        <v>41</v>
      </c>
      <c r="B247" s="20"/>
      <c r="C247" s="20"/>
      <c r="D247" s="20"/>
      <c r="E247" s="67">
        <f t="shared" si="132"/>
        <v>0</v>
      </c>
      <c r="F247" s="20"/>
      <c r="G247" s="20"/>
      <c r="H247" s="20"/>
      <c r="I247" s="67">
        <f t="shared" si="133"/>
        <v>0</v>
      </c>
      <c r="J247" s="20"/>
      <c r="K247" s="20"/>
      <c r="L247" s="20"/>
      <c r="M247" s="67">
        <f t="shared" si="134"/>
        <v>0</v>
      </c>
      <c r="N247" s="20"/>
      <c r="O247" s="20"/>
      <c r="P247" s="20"/>
      <c r="Q247" s="67">
        <f t="shared" si="135"/>
        <v>0</v>
      </c>
      <c r="R247" s="21">
        <f t="shared" si="136"/>
        <v>0</v>
      </c>
    </row>
    <row r="248" spans="1:18" ht="12.75" hidden="1" outlineLevel="1">
      <c r="A248" s="19" t="s">
        <v>42</v>
      </c>
      <c r="B248" s="20"/>
      <c r="C248" s="20"/>
      <c r="D248" s="20"/>
      <c r="E248" s="67">
        <f t="shared" si="132"/>
        <v>0</v>
      </c>
      <c r="F248" s="20"/>
      <c r="G248" s="20"/>
      <c r="H248" s="20"/>
      <c r="I248" s="67">
        <f t="shared" si="133"/>
        <v>0</v>
      </c>
      <c r="J248" s="20"/>
      <c r="K248" s="20"/>
      <c r="L248" s="20"/>
      <c r="M248" s="67">
        <f t="shared" si="134"/>
        <v>0</v>
      </c>
      <c r="N248" s="20"/>
      <c r="O248" s="20"/>
      <c r="P248" s="20"/>
      <c r="Q248" s="67">
        <f t="shared" si="135"/>
        <v>0</v>
      </c>
      <c r="R248" s="21">
        <f t="shared" si="136"/>
        <v>0</v>
      </c>
    </row>
    <row r="249" spans="1:18" ht="12.75" hidden="1" outlineLevel="1">
      <c r="A249" s="19" t="s">
        <v>43</v>
      </c>
      <c r="B249" s="20"/>
      <c r="C249" s="20"/>
      <c r="D249" s="20"/>
      <c r="E249" s="67">
        <f t="shared" si="132"/>
        <v>0</v>
      </c>
      <c r="F249" s="20"/>
      <c r="G249" s="20"/>
      <c r="H249" s="20"/>
      <c r="I249" s="67">
        <f t="shared" si="133"/>
        <v>0</v>
      </c>
      <c r="J249" s="20"/>
      <c r="K249" s="20"/>
      <c r="L249" s="20"/>
      <c r="M249" s="67">
        <f t="shared" si="134"/>
        <v>0</v>
      </c>
      <c r="N249" s="20"/>
      <c r="O249" s="20"/>
      <c r="P249" s="20"/>
      <c r="Q249" s="67">
        <f t="shared" si="135"/>
        <v>0</v>
      </c>
      <c r="R249" s="21">
        <f t="shared" si="136"/>
        <v>0</v>
      </c>
    </row>
    <row r="250" spans="1:18" ht="12.75" hidden="1" outlineLevel="1">
      <c r="A250" s="19" t="s">
        <v>44</v>
      </c>
      <c r="B250" s="20"/>
      <c r="C250" s="20"/>
      <c r="D250" s="20"/>
      <c r="E250" s="67">
        <f t="shared" si="132"/>
        <v>0</v>
      </c>
      <c r="F250" s="20"/>
      <c r="G250" s="20"/>
      <c r="H250" s="20"/>
      <c r="I250" s="67">
        <f t="shared" si="133"/>
        <v>0</v>
      </c>
      <c r="J250" s="20"/>
      <c r="K250" s="20"/>
      <c r="L250" s="20"/>
      <c r="M250" s="67">
        <f t="shared" si="134"/>
        <v>0</v>
      </c>
      <c r="N250" s="20"/>
      <c r="O250" s="20"/>
      <c r="P250" s="20"/>
      <c r="Q250" s="67">
        <f t="shared" si="135"/>
        <v>0</v>
      </c>
      <c r="R250" s="21">
        <f t="shared" si="136"/>
        <v>0</v>
      </c>
    </row>
    <row r="251" spans="1:18" ht="12.75" hidden="1" outlineLevel="1">
      <c r="A251" s="19" t="s">
        <v>45</v>
      </c>
      <c r="B251" s="62"/>
      <c r="C251" s="62"/>
      <c r="D251" s="62">
        <v>478.99</v>
      </c>
      <c r="E251" s="35">
        <f t="shared" si="132"/>
        <v>478.99</v>
      </c>
      <c r="F251" s="62">
        <v>219.37</v>
      </c>
      <c r="G251" s="62">
        <f>234.72+52</f>
        <v>286.72</v>
      </c>
      <c r="H251" s="62"/>
      <c r="I251" s="35">
        <f t="shared" si="133"/>
        <v>506.09000000000003</v>
      </c>
      <c r="J251" s="62"/>
      <c r="K251" s="62"/>
      <c r="L251" s="62"/>
      <c r="M251" s="35">
        <f t="shared" si="134"/>
        <v>0</v>
      </c>
      <c r="N251" s="62"/>
      <c r="O251" s="62"/>
      <c r="P251" s="62">
        <v>57738.6</v>
      </c>
      <c r="Q251" s="35">
        <f t="shared" si="135"/>
        <v>57738.6</v>
      </c>
      <c r="R251" s="34">
        <f t="shared" si="136"/>
        <v>58723.67999999999</v>
      </c>
    </row>
    <row r="252" spans="1:18" ht="12.75" hidden="1" outlineLevel="1">
      <c r="A252" s="19" t="s">
        <v>46</v>
      </c>
      <c r="B252" s="20"/>
      <c r="C252" s="20"/>
      <c r="D252" s="20"/>
      <c r="E252" s="67">
        <f t="shared" si="132"/>
        <v>0</v>
      </c>
      <c r="F252" s="20"/>
      <c r="G252" s="20"/>
      <c r="H252" s="20"/>
      <c r="I252" s="67">
        <f t="shared" si="133"/>
        <v>0</v>
      </c>
      <c r="J252" s="20"/>
      <c r="K252" s="20"/>
      <c r="L252" s="20"/>
      <c r="M252" s="67">
        <f t="shared" si="134"/>
        <v>0</v>
      </c>
      <c r="N252" s="20"/>
      <c r="O252" s="20"/>
      <c r="P252" s="20"/>
      <c r="Q252" s="67">
        <f t="shared" si="135"/>
        <v>0</v>
      </c>
      <c r="R252" s="21">
        <f t="shared" si="136"/>
        <v>0</v>
      </c>
    </row>
    <row r="253" spans="1:18" ht="12.75" hidden="1" outlineLevel="1">
      <c r="A253" s="19" t="s">
        <v>58</v>
      </c>
      <c r="B253" s="62"/>
      <c r="C253" s="62"/>
      <c r="D253" s="62"/>
      <c r="E253" s="59">
        <f t="shared" si="132"/>
        <v>0</v>
      </c>
      <c r="F253" s="52"/>
      <c r="G253" s="52"/>
      <c r="H253" s="52"/>
      <c r="I253" s="59">
        <f t="shared" si="133"/>
        <v>0</v>
      </c>
      <c r="J253" s="52"/>
      <c r="K253" s="52"/>
      <c r="L253" s="52"/>
      <c r="M253" s="59">
        <f t="shared" si="134"/>
        <v>0</v>
      </c>
      <c r="N253" s="52"/>
      <c r="O253" s="52"/>
      <c r="P253" s="52"/>
      <c r="Q253" s="59">
        <f t="shared" si="135"/>
        <v>0</v>
      </c>
      <c r="R253" s="60">
        <f t="shared" si="136"/>
        <v>0</v>
      </c>
    </row>
    <row r="254" spans="1:18" ht="12.75" hidden="1" outlineLevel="1">
      <c r="A254" s="22" t="s">
        <v>47</v>
      </c>
      <c r="B254" s="33">
        <f aca="true" t="shared" si="137" ref="B254:Q254">SUM(B246:B253)</f>
        <v>0</v>
      </c>
      <c r="C254" s="33">
        <f t="shared" si="137"/>
        <v>0</v>
      </c>
      <c r="D254" s="33">
        <f t="shared" si="137"/>
        <v>478.99</v>
      </c>
      <c r="E254" s="33">
        <f t="shared" si="137"/>
        <v>478.99</v>
      </c>
      <c r="F254" s="33">
        <f t="shared" si="137"/>
        <v>219.37</v>
      </c>
      <c r="G254" s="33">
        <f t="shared" si="137"/>
        <v>286.72</v>
      </c>
      <c r="H254" s="33">
        <f t="shared" si="137"/>
        <v>0</v>
      </c>
      <c r="I254" s="33">
        <f t="shared" si="137"/>
        <v>506.09000000000003</v>
      </c>
      <c r="J254" s="33">
        <f t="shared" si="137"/>
        <v>0</v>
      </c>
      <c r="K254" s="33">
        <f t="shared" si="137"/>
        <v>0</v>
      </c>
      <c r="L254" s="33">
        <f t="shared" si="137"/>
        <v>0</v>
      </c>
      <c r="M254" s="33">
        <f t="shared" si="137"/>
        <v>0</v>
      </c>
      <c r="N254" s="33">
        <f t="shared" si="137"/>
        <v>0</v>
      </c>
      <c r="O254" s="33">
        <f t="shared" si="137"/>
        <v>0</v>
      </c>
      <c r="P254" s="33">
        <f t="shared" si="137"/>
        <v>57738.6</v>
      </c>
      <c r="Q254" s="33">
        <f t="shared" si="137"/>
        <v>57738.6</v>
      </c>
      <c r="R254" s="34">
        <f t="shared" si="136"/>
        <v>58723.67999999999</v>
      </c>
    </row>
    <row r="255" spans="1:18" ht="12.75" hidden="1" outlineLevel="1">
      <c r="A255" s="23" t="s">
        <v>15</v>
      </c>
      <c r="B255" s="63">
        <v>4839.48</v>
      </c>
      <c r="C255" s="63">
        <v>7719.84</v>
      </c>
      <c r="D255" s="63">
        <v>8061.6</v>
      </c>
      <c r="E255" s="35">
        <f aca="true" t="shared" si="138" ref="E255:E260">SUM(B255:D255)</f>
        <v>20620.92</v>
      </c>
      <c r="F255" s="37">
        <v>8073</v>
      </c>
      <c r="G255" s="37">
        <v>7997.4</v>
      </c>
      <c r="H255" s="37">
        <v>8005.08</v>
      </c>
      <c r="I255" s="35">
        <f aca="true" t="shared" si="139" ref="I255:I260">SUM(F255:H255)</f>
        <v>24075.48</v>
      </c>
      <c r="J255" s="37">
        <v>8154</v>
      </c>
      <c r="K255" s="37">
        <v>8080.08</v>
      </c>
      <c r="L255" s="37">
        <v>7795.08</v>
      </c>
      <c r="M255" s="35">
        <f aca="true" t="shared" si="140" ref="M255:M261">SUM(J255:L255)</f>
        <v>24029.16</v>
      </c>
      <c r="N255" s="37">
        <v>7581.12</v>
      </c>
      <c r="O255" s="37">
        <v>7515.84</v>
      </c>
      <c r="P255" s="38">
        <v>7285.68</v>
      </c>
      <c r="Q255" s="35">
        <f aca="true" t="shared" si="141" ref="Q255:Q261">SUM(N255:P255)</f>
        <v>22382.64</v>
      </c>
      <c r="R255" s="34">
        <f t="shared" si="136"/>
        <v>91108.2</v>
      </c>
    </row>
    <row r="256" spans="1:18" ht="12.75" hidden="1" outlineLevel="1">
      <c r="A256" s="23" t="s">
        <v>16</v>
      </c>
      <c r="B256" s="62">
        <v>220</v>
      </c>
      <c r="C256" s="62">
        <v>220</v>
      </c>
      <c r="D256" s="62">
        <v>220</v>
      </c>
      <c r="E256" s="35">
        <f t="shared" si="138"/>
        <v>660</v>
      </c>
      <c r="F256" s="37">
        <v>220</v>
      </c>
      <c r="G256" s="37">
        <v>220</v>
      </c>
      <c r="H256" s="62">
        <v>220</v>
      </c>
      <c r="I256" s="35">
        <f t="shared" si="139"/>
        <v>660</v>
      </c>
      <c r="J256" s="62">
        <v>220</v>
      </c>
      <c r="K256" s="62">
        <v>220</v>
      </c>
      <c r="L256" s="62">
        <v>220</v>
      </c>
      <c r="M256" s="35">
        <f t="shared" si="140"/>
        <v>660</v>
      </c>
      <c r="N256" s="62">
        <v>220</v>
      </c>
      <c r="O256" s="62">
        <v>220</v>
      </c>
      <c r="P256" s="62">
        <v>220</v>
      </c>
      <c r="Q256" s="35">
        <f t="shared" si="141"/>
        <v>660</v>
      </c>
      <c r="R256" s="34">
        <f t="shared" si="136"/>
        <v>2640</v>
      </c>
    </row>
    <row r="257" spans="1:18" ht="12.75" hidden="1" outlineLevel="1">
      <c r="A257" s="23" t="s">
        <v>17</v>
      </c>
      <c r="B257" s="63">
        <v>21411.24</v>
      </c>
      <c r="C257" s="63">
        <v>18789.6</v>
      </c>
      <c r="D257" s="63">
        <v>11338.4</v>
      </c>
      <c r="E257" s="35">
        <f t="shared" si="138"/>
        <v>51539.24</v>
      </c>
      <c r="F257" s="37">
        <v>2632.9</v>
      </c>
      <c r="G257" s="37">
        <v>1272.38</v>
      </c>
      <c r="H257" s="37">
        <v>1370.69</v>
      </c>
      <c r="I257" s="35">
        <f t="shared" si="139"/>
        <v>5275.97</v>
      </c>
      <c r="J257" s="37">
        <v>1700.65</v>
      </c>
      <c r="K257" s="37">
        <v>1058.81</v>
      </c>
      <c r="L257" s="37">
        <v>775.18</v>
      </c>
      <c r="M257" s="35">
        <f t="shared" si="140"/>
        <v>3534.64</v>
      </c>
      <c r="N257" s="37">
        <v>757.1</v>
      </c>
      <c r="O257" s="37">
        <v>600.03</v>
      </c>
      <c r="P257" s="38">
        <v>795.52</v>
      </c>
      <c r="Q257" s="35">
        <f t="shared" si="141"/>
        <v>2152.65</v>
      </c>
      <c r="R257" s="34">
        <f t="shared" si="136"/>
        <v>62502.5</v>
      </c>
    </row>
    <row r="258" spans="1:18" ht="12.75" hidden="1" outlineLevel="1">
      <c r="A258" s="25" t="s">
        <v>18</v>
      </c>
      <c r="B258" s="63">
        <v>1.65</v>
      </c>
      <c r="C258" s="63">
        <v>2</v>
      </c>
      <c r="D258" s="63">
        <v>1.86</v>
      </c>
      <c r="E258" s="35">
        <f t="shared" si="138"/>
        <v>5.51</v>
      </c>
      <c r="F258" s="37">
        <v>1.73</v>
      </c>
      <c r="G258" s="37">
        <v>0.83</v>
      </c>
      <c r="H258" s="37">
        <v>0.15</v>
      </c>
      <c r="I258" s="35">
        <f t="shared" si="139"/>
        <v>2.71</v>
      </c>
      <c r="J258" s="37">
        <v>0.85</v>
      </c>
      <c r="K258" s="37">
        <v>0.85</v>
      </c>
      <c r="L258" s="37">
        <v>0.94</v>
      </c>
      <c r="M258" s="35">
        <f t="shared" si="140"/>
        <v>2.6399999999999997</v>
      </c>
      <c r="N258" s="37">
        <v>575.02</v>
      </c>
      <c r="O258" s="37">
        <v>0.97</v>
      </c>
      <c r="P258" s="38">
        <v>8.16</v>
      </c>
      <c r="Q258" s="35">
        <f t="shared" si="141"/>
        <v>584.15</v>
      </c>
      <c r="R258" s="34">
        <f t="shared" si="136"/>
        <v>595.01</v>
      </c>
    </row>
    <row r="259" spans="1:18" ht="12.75" hidden="1" outlineLevel="1">
      <c r="A259" s="23" t="s">
        <v>19</v>
      </c>
      <c r="B259" s="63">
        <v>55.8</v>
      </c>
      <c r="C259" s="63">
        <v>95.79</v>
      </c>
      <c r="D259" s="63">
        <v>101.37</v>
      </c>
      <c r="E259" s="35">
        <f t="shared" si="138"/>
        <v>252.96</v>
      </c>
      <c r="F259" s="37">
        <v>63.24</v>
      </c>
      <c r="G259" s="37">
        <v>31.62</v>
      </c>
      <c r="H259" s="37">
        <v>36.27</v>
      </c>
      <c r="I259" s="35">
        <f t="shared" si="139"/>
        <v>131.13</v>
      </c>
      <c r="J259" s="37">
        <v>35.34</v>
      </c>
      <c r="K259" s="37">
        <v>32.55</v>
      </c>
      <c r="L259" s="37">
        <v>45.57</v>
      </c>
      <c r="M259" s="35">
        <f t="shared" si="140"/>
        <v>113.46000000000001</v>
      </c>
      <c r="N259" s="37">
        <v>27.9</v>
      </c>
      <c r="O259" s="37">
        <v>41.85</v>
      </c>
      <c r="P259" s="38">
        <v>47.43</v>
      </c>
      <c r="Q259" s="35">
        <f t="shared" si="141"/>
        <v>117.18</v>
      </c>
      <c r="R259" s="34">
        <f t="shared" si="136"/>
        <v>614.73</v>
      </c>
    </row>
    <row r="260" spans="1:18" ht="12.75" hidden="1" outlineLevel="1">
      <c r="A260" s="23" t="s">
        <v>20</v>
      </c>
      <c r="B260" s="63">
        <v>2921</v>
      </c>
      <c r="C260" s="63">
        <v>2313.5</v>
      </c>
      <c r="D260" s="63">
        <v>1805.5</v>
      </c>
      <c r="E260" s="35">
        <f t="shared" si="138"/>
        <v>7040</v>
      </c>
      <c r="F260" s="37">
        <v>3424.5</v>
      </c>
      <c r="G260" s="37">
        <v>1051.5</v>
      </c>
      <c r="H260" s="37">
        <v>891.5</v>
      </c>
      <c r="I260" s="35">
        <f t="shared" si="139"/>
        <v>5367.5</v>
      </c>
      <c r="J260" s="37">
        <v>1082</v>
      </c>
      <c r="K260" s="37">
        <v>958</v>
      </c>
      <c r="L260" s="37">
        <v>884.5</v>
      </c>
      <c r="M260" s="35">
        <f t="shared" si="140"/>
        <v>2924.5</v>
      </c>
      <c r="N260" s="37">
        <v>942</v>
      </c>
      <c r="O260" s="37">
        <v>1044.5</v>
      </c>
      <c r="P260" s="38">
        <v>1005.5</v>
      </c>
      <c r="Q260" s="35">
        <f t="shared" si="141"/>
        <v>2992</v>
      </c>
      <c r="R260" s="34">
        <f t="shared" si="136"/>
        <v>18324</v>
      </c>
    </row>
    <row r="261" spans="1:18" ht="12.75" hidden="1" outlineLevel="1">
      <c r="A261" s="23" t="s">
        <v>72</v>
      </c>
      <c r="B261" s="63"/>
      <c r="C261" s="63"/>
      <c r="D261" s="63"/>
      <c r="E261" s="35"/>
      <c r="F261" s="37"/>
      <c r="G261" s="37"/>
      <c r="H261" s="37"/>
      <c r="I261" s="35"/>
      <c r="J261" s="37">
        <v>9.16</v>
      </c>
      <c r="K261" s="37">
        <v>5.85</v>
      </c>
      <c r="L261" s="37">
        <v>7.91</v>
      </c>
      <c r="M261" s="35">
        <f t="shared" si="140"/>
        <v>22.92</v>
      </c>
      <c r="N261" s="37">
        <v>6.78</v>
      </c>
      <c r="O261" s="37">
        <v>2.26</v>
      </c>
      <c r="P261" s="38">
        <v>4.58</v>
      </c>
      <c r="Q261" s="35">
        <f t="shared" si="141"/>
        <v>13.62</v>
      </c>
      <c r="R261" s="34"/>
    </row>
    <row r="262" spans="1:18" ht="12.75" hidden="1" outlineLevel="1">
      <c r="A262" s="23" t="s">
        <v>21</v>
      </c>
      <c r="B262" s="63"/>
      <c r="C262" s="63"/>
      <c r="D262" s="63"/>
      <c r="E262" s="35">
        <f>SUM(B262:D262)</f>
        <v>0</v>
      </c>
      <c r="F262" s="37"/>
      <c r="G262" s="37"/>
      <c r="H262" s="37"/>
      <c r="I262" s="35">
        <f>SUM(F262:H262)</f>
        <v>0</v>
      </c>
      <c r="J262" s="37"/>
      <c r="K262" s="37"/>
      <c r="L262" s="37"/>
      <c r="M262" s="35">
        <f>SUM(J262:L262)</f>
        <v>0</v>
      </c>
      <c r="N262" s="37"/>
      <c r="O262" s="37"/>
      <c r="P262" s="38"/>
      <c r="Q262" s="35">
        <f>SUM(N262:P262)</f>
        <v>0</v>
      </c>
      <c r="R262" s="34">
        <f>Q262+M262+I262+E262</f>
        <v>0</v>
      </c>
    </row>
    <row r="263" spans="1:18" ht="12.75" hidden="1" outlineLevel="1">
      <c r="A263" s="23" t="s">
        <v>22</v>
      </c>
      <c r="B263" s="63"/>
      <c r="C263" s="63">
        <v>29.82</v>
      </c>
      <c r="D263" s="63">
        <v>353.58</v>
      </c>
      <c r="E263" s="35">
        <f>SUM(B263:D263)</f>
        <v>383.4</v>
      </c>
      <c r="F263" s="37">
        <v>434.52</v>
      </c>
      <c r="G263" s="37">
        <v>506.94</v>
      </c>
      <c r="H263" s="37">
        <v>413.22</v>
      </c>
      <c r="I263" s="35">
        <f>SUM(F263:H263)</f>
        <v>1354.68</v>
      </c>
      <c r="J263" s="37">
        <v>281.16</v>
      </c>
      <c r="K263" s="37">
        <v>796.62</v>
      </c>
      <c r="L263" s="37">
        <v>1563.42</v>
      </c>
      <c r="M263" s="35">
        <f>SUM(J263:L263)</f>
        <v>2641.2</v>
      </c>
      <c r="N263" s="37">
        <v>3961.8</v>
      </c>
      <c r="O263" s="37">
        <v>1537.86</v>
      </c>
      <c r="P263" s="38">
        <v>2653.98</v>
      </c>
      <c r="Q263" s="35">
        <f>SUM(N263:P263)</f>
        <v>8153.639999999999</v>
      </c>
      <c r="R263" s="34">
        <f>Q263+M263+I263+E263</f>
        <v>12532.92</v>
      </c>
    </row>
    <row r="264" spans="1:18" ht="12.75" hidden="1" outlineLevel="1">
      <c r="A264" s="23" t="s">
        <v>61</v>
      </c>
      <c r="B264" s="62"/>
      <c r="C264" s="62"/>
      <c r="D264" s="62"/>
      <c r="E264" s="35">
        <f>SUM(B264:D264)</f>
        <v>0</v>
      </c>
      <c r="F264" s="38"/>
      <c r="G264" s="38"/>
      <c r="H264" s="38"/>
      <c r="I264" s="35">
        <f>SUM(F264:H264)</f>
        <v>0</v>
      </c>
      <c r="J264" s="38"/>
      <c r="K264" s="38"/>
      <c r="L264" s="38"/>
      <c r="M264" s="35">
        <f>SUM(J264:L264)</f>
        <v>0</v>
      </c>
      <c r="N264" s="38"/>
      <c r="O264" s="38"/>
      <c r="P264" s="38"/>
      <c r="Q264" s="35">
        <f>SUM(N264:P264)</f>
        <v>0</v>
      </c>
      <c r="R264" s="34">
        <f>Q264+M264+I264+E264</f>
        <v>0</v>
      </c>
    </row>
    <row r="265" spans="1:25" ht="12.75" hidden="1" outlineLevel="1">
      <c r="A265" s="89" t="s">
        <v>49</v>
      </c>
      <c r="B265" s="33">
        <f aca="true" t="shared" si="142" ref="B265:Y265">SUM(B255:B264)</f>
        <v>29449.170000000002</v>
      </c>
      <c r="C265" s="33">
        <f t="shared" si="142"/>
        <v>29170.55</v>
      </c>
      <c r="D265" s="33">
        <f t="shared" si="142"/>
        <v>21882.31</v>
      </c>
      <c r="E265" s="33">
        <f t="shared" si="142"/>
        <v>80502.03</v>
      </c>
      <c r="F265" s="33">
        <f t="shared" si="142"/>
        <v>14849.89</v>
      </c>
      <c r="G265" s="33">
        <f t="shared" si="142"/>
        <v>11080.67</v>
      </c>
      <c r="H265" s="33">
        <f t="shared" si="142"/>
        <v>10936.91</v>
      </c>
      <c r="I265" s="33">
        <f t="shared" si="142"/>
        <v>36867.47</v>
      </c>
      <c r="J265" s="33">
        <f t="shared" si="142"/>
        <v>11483.16</v>
      </c>
      <c r="K265" s="33">
        <f t="shared" si="142"/>
        <v>11152.76</v>
      </c>
      <c r="L265" s="33">
        <f t="shared" si="142"/>
        <v>11292.6</v>
      </c>
      <c r="M265" s="33">
        <f t="shared" si="142"/>
        <v>33928.52</v>
      </c>
      <c r="N265" s="33">
        <f t="shared" si="142"/>
        <v>14071.720000000001</v>
      </c>
      <c r="O265" s="33">
        <f t="shared" si="142"/>
        <v>10963.310000000001</v>
      </c>
      <c r="P265" s="33">
        <f t="shared" si="142"/>
        <v>12020.85</v>
      </c>
      <c r="Q265" s="33">
        <f t="shared" si="142"/>
        <v>37055.880000000005</v>
      </c>
      <c r="R265" s="90">
        <f t="shared" si="142"/>
        <v>188317.36000000004</v>
      </c>
      <c r="S265" s="33">
        <f t="shared" si="142"/>
        <v>0</v>
      </c>
      <c r="T265" s="33">
        <f t="shared" si="142"/>
        <v>0</v>
      </c>
      <c r="U265" s="33">
        <f t="shared" si="142"/>
        <v>0</v>
      </c>
      <c r="V265" s="33">
        <f t="shared" si="142"/>
        <v>0</v>
      </c>
      <c r="W265" s="33">
        <f t="shared" si="142"/>
        <v>0</v>
      </c>
      <c r="X265" s="33">
        <f t="shared" si="142"/>
        <v>0</v>
      </c>
      <c r="Y265" s="33">
        <f t="shared" si="142"/>
        <v>0</v>
      </c>
    </row>
    <row r="266" spans="1:21" ht="13.5" collapsed="1" thickBot="1">
      <c r="A266" s="84" t="s">
        <v>48</v>
      </c>
      <c r="B266" s="49">
        <f aca="true" t="shared" si="143" ref="B266:R266">B265+B254</f>
        <v>29449.170000000002</v>
      </c>
      <c r="C266" s="49">
        <f t="shared" si="143"/>
        <v>29170.55</v>
      </c>
      <c r="D266" s="49">
        <f t="shared" si="143"/>
        <v>22361.300000000003</v>
      </c>
      <c r="E266" s="48">
        <f t="shared" si="143"/>
        <v>80981.02</v>
      </c>
      <c r="F266" s="49">
        <f>F265+F254</f>
        <v>15069.26</v>
      </c>
      <c r="G266" s="49">
        <f>G265+G254</f>
        <v>11367.39</v>
      </c>
      <c r="H266" s="49">
        <f t="shared" si="143"/>
        <v>10936.91</v>
      </c>
      <c r="I266" s="48">
        <f t="shared" si="143"/>
        <v>37373.56</v>
      </c>
      <c r="J266" s="49">
        <f t="shared" si="143"/>
        <v>11483.16</v>
      </c>
      <c r="K266" s="49">
        <f t="shared" si="143"/>
        <v>11152.76</v>
      </c>
      <c r="L266" s="49">
        <f t="shared" si="143"/>
        <v>11292.6</v>
      </c>
      <c r="M266" s="48">
        <f t="shared" si="143"/>
        <v>33928.52</v>
      </c>
      <c r="N266" s="49">
        <f t="shared" si="143"/>
        <v>14071.720000000001</v>
      </c>
      <c r="O266" s="49">
        <f t="shared" si="143"/>
        <v>10963.310000000001</v>
      </c>
      <c r="P266" s="49">
        <f t="shared" si="143"/>
        <v>69759.45</v>
      </c>
      <c r="Q266" s="48">
        <f t="shared" si="143"/>
        <v>94794.48000000001</v>
      </c>
      <c r="R266" s="50">
        <f t="shared" si="143"/>
        <v>247041.04000000004</v>
      </c>
      <c r="S266" s="65">
        <f>((B255/0.12)+(C255/0.12)+(D255/0.12)+(F255/0.12)+(G255/0.12)+(H255/0.12)+(J255/0.12)+(K255/0.12)+(L255/0.12)+(N255/0.12)+(O255/0.12)+(P255/0.12))/12</f>
        <v>63269.583333333336</v>
      </c>
      <c r="T266" s="54">
        <f>IF(R266&gt;0,R266/S266,0)</f>
        <v>3.904578266281191</v>
      </c>
      <c r="U266" s="66">
        <f>IF(R257&gt;0,R257/R266,0)</f>
        <v>0.25300452103018994</v>
      </c>
    </row>
    <row r="267" spans="1:18" ht="12.75">
      <c r="A267" s="85" t="s">
        <v>73</v>
      </c>
      <c r="B267" s="86"/>
      <c r="C267" s="86"/>
      <c r="D267" s="86"/>
      <c r="E267" s="87"/>
      <c r="F267" s="86"/>
      <c r="G267" s="86"/>
      <c r="H267" s="86"/>
      <c r="I267" s="87"/>
      <c r="J267" s="86"/>
      <c r="K267" s="86"/>
      <c r="L267" s="86"/>
      <c r="M267" s="87"/>
      <c r="N267" s="86"/>
      <c r="O267" s="86"/>
      <c r="P267" s="86"/>
      <c r="Q267" s="87"/>
      <c r="R267" s="88"/>
    </row>
    <row r="268" spans="1:18" ht="12.75" hidden="1" outlineLevel="1">
      <c r="A268" s="19" t="s">
        <v>40</v>
      </c>
      <c r="B268" s="63">
        <f aca="true" t="shared" si="144" ref="B268:D275">B246+B224+B202+B180+B158+B136+B114+B92+B70+B48+B26+B4</f>
        <v>0</v>
      </c>
      <c r="C268" s="63">
        <f t="shared" si="144"/>
        <v>0</v>
      </c>
      <c r="D268" s="63">
        <f t="shared" si="144"/>
        <v>0</v>
      </c>
      <c r="E268" s="63">
        <f aca="true" t="shared" si="145" ref="E268:E275">SUM(B268:D268)</f>
        <v>0</v>
      </c>
      <c r="F268" s="63">
        <f aca="true" t="shared" si="146" ref="F268:H275">F246+F224+F202+F180+F158+F136+F114+F92+F70+F48+F26+F4</f>
        <v>0</v>
      </c>
      <c r="G268" s="63">
        <f t="shared" si="146"/>
        <v>0</v>
      </c>
      <c r="H268" s="63">
        <f t="shared" si="146"/>
        <v>0</v>
      </c>
      <c r="I268" s="63">
        <f aca="true" t="shared" si="147" ref="I268:I275">SUM(F268:H268)</f>
        <v>0</v>
      </c>
      <c r="J268" s="63">
        <f aca="true" t="shared" si="148" ref="J268:L275">J246+J224+J202+J180+J158+J136+J114+J92+J70+J48+J26+J4</f>
        <v>0</v>
      </c>
      <c r="K268" s="63">
        <f t="shared" si="148"/>
        <v>0</v>
      </c>
      <c r="L268" s="63">
        <f t="shared" si="148"/>
        <v>0</v>
      </c>
      <c r="M268" s="63">
        <f aca="true" t="shared" si="149" ref="M268:M275">SUM(J268:L268)</f>
        <v>0</v>
      </c>
      <c r="N268" s="63">
        <f aca="true" t="shared" si="150" ref="N268:P272">N246+N224+N202+N180+N158+N136+N114+N92+N70+N48+N26+N4</f>
        <v>0</v>
      </c>
      <c r="O268" s="63">
        <f t="shared" si="150"/>
        <v>0</v>
      </c>
      <c r="P268" s="63">
        <f t="shared" si="150"/>
        <v>0</v>
      </c>
      <c r="Q268" s="63">
        <f aca="true" t="shared" si="151" ref="Q268:Q275">SUM(N268:P268)</f>
        <v>0</v>
      </c>
      <c r="R268" s="21">
        <f aca="true" t="shared" si="152" ref="R268:R286">Q268+M268+I268+E268</f>
        <v>0</v>
      </c>
    </row>
    <row r="269" spans="1:18" ht="12.75" hidden="1" outlineLevel="1">
      <c r="A269" s="19" t="s">
        <v>41</v>
      </c>
      <c r="B269" s="63">
        <f t="shared" si="144"/>
        <v>0</v>
      </c>
      <c r="C269" s="63">
        <f t="shared" si="144"/>
        <v>0</v>
      </c>
      <c r="D269" s="63">
        <f t="shared" si="144"/>
        <v>0</v>
      </c>
      <c r="E269" s="63">
        <f t="shared" si="145"/>
        <v>0</v>
      </c>
      <c r="F269" s="63">
        <f t="shared" si="146"/>
        <v>0</v>
      </c>
      <c r="G269" s="63">
        <f t="shared" si="146"/>
        <v>0</v>
      </c>
      <c r="H269" s="63">
        <f t="shared" si="146"/>
        <v>0</v>
      </c>
      <c r="I269" s="63">
        <f t="shared" si="147"/>
        <v>0</v>
      </c>
      <c r="J269" s="63">
        <f t="shared" si="148"/>
        <v>0</v>
      </c>
      <c r="K269" s="63">
        <f t="shared" si="148"/>
        <v>0</v>
      </c>
      <c r="L269" s="63">
        <f t="shared" si="148"/>
        <v>0</v>
      </c>
      <c r="M269" s="63">
        <f t="shared" si="149"/>
        <v>0</v>
      </c>
      <c r="N269" s="63">
        <f t="shared" si="150"/>
        <v>0</v>
      </c>
      <c r="O269" s="63">
        <f t="shared" si="150"/>
        <v>0</v>
      </c>
      <c r="P269" s="63">
        <f t="shared" si="150"/>
        <v>0</v>
      </c>
      <c r="Q269" s="63">
        <f t="shared" si="151"/>
        <v>0</v>
      </c>
      <c r="R269" s="21">
        <f t="shared" si="152"/>
        <v>0</v>
      </c>
    </row>
    <row r="270" spans="1:18" ht="12.75" hidden="1" outlineLevel="1">
      <c r="A270" s="19" t="s">
        <v>42</v>
      </c>
      <c r="B270" s="63">
        <f t="shared" si="144"/>
        <v>0</v>
      </c>
      <c r="C270" s="63">
        <f t="shared" si="144"/>
        <v>0</v>
      </c>
      <c r="D270" s="63">
        <f t="shared" si="144"/>
        <v>0</v>
      </c>
      <c r="E270" s="63">
        <f t="shared" si="145"/>
        <v>0</v>
      </c>
      <c r="F270" s="63">
        <f t="shared" si="146"/>
        <v>0</v>
      </c>
      <c r="G270" s="63">
        <f t="shared" si="146"/>
        <v>0</v>
      </c>
      <c r="H270" s="63">
        <f t="shared" si="146"/>
        <v>0</v>
      </c>
      <c r="I270" s="63">
        <f t="shared" si="147"/>
        <v>0</v>
      </c>
      <c r="J270" s="63">
        <f t="shared" si="148"/>
        <v>0</v>
      </c>
      <c r="K270" s="63">
        <f t="shared" si="148"/>
        <v>0</v>
      </c>
      <c r="L270" s="63">
        <f t="shared" si="148"/>
        <v>0</v>
      </c>
      <c r="M270" s="63">
        <f t="shared" si="149"/>
        <v>0</v>
      </c>
      <c r="N270" s="63">
        <f t="shared" si="150"/>
        <v>0</v>
      </c>
      <c r="O270" s="63">
        <f t="shared" si="150"/>
        <v>0</v>
      </c>
      <c r="P270" s="63">
        <f t="shared" si="150"/>
        <v>0</v>
      </c>
      <c r="Q270" s="63">
        <f t="shared" si="151"/>
        <v>0</v>
      </c>
      <c r="R270" s="21">
        <f t="shared" si="152"/>
        <v>0</v>
      </c>
    </row>
    <row r="271" spans="1:18" ht="12.75" hidden="1" outlineLevel="1">
      <c r="A271" s="19" t="s">
        <v>43</v>
      </c>
      <c r="B271" s="63">
        <f t="shared" si="144"/>
        <v>0</v>
      </c>
      <c r="C271" s="63">
        <f t="shared" si="144"/>
        <v>0</v>
      </c>
      <c r="D271" s="63">
        <f t="shared" si="144"/>
        <v>0</v>
      </c>
      <c r="E271" s="63">
        <f t="shared" si="145"/>
        <v>0</v>
      </c>
      <c r="F271" s="63">
        <f t="shared" si="146"/>
        <v>0</v>
      </c>
      <c r="G271" s="63">
        <f t="shared" si="146"/>
        <v>0</v>
      </c>
      <c r="H271" s="63">
        <f t="shared" si="146"/>
        <v>0</v>
      </c>
      <c r="I271" s="63">
        <f t="shared" si="147"/>
        <v>0</v>
      </c>
      <c r="J271" s="63">
        <f t="shared" si="148"/>
        <v>0</v>
      </c>
      <c r="K271" s="63">
        <f t="shared" si="148"/>
        <v>0</v>
      </c>
      <c r="L271" s="63">
        <f t="shared" si="148"/>
        <v>0</v>
      </c>
      <c r="M271" s="63">
        <f t="shared" si="149"/>
        <v>0</v>
      </c>
      <c r="N271" s="63">
        <f t="shared" si="150"/>
        <v>0</v>
      </c>
      <c r="O271" s="63">
        <f t="shared" si="150"/>
        <v>0</v>
      </c>
      <c r="P271" s="63">
        <f t="shared" si="150"/>
        <v>0</v>
      </c>
      <c r="Q271" s="63">
        <f t="shared" si="151"/>
        <v>0</v>
      </c>
      <c r="R271" s="21">
        <f t="shared" si="152"/>
        <v>0</v>
      </c>
    </row>
    <row r="272" spans="1:18" ht="12.75" hidden="1" outlineLevel="1">
      <c r="A272" s="19" t="s">
        <v>44</v>
      </c>
      <c r="B272" s="63">
        <f t="shared" si="144"/>
        <v>0</v>
      </c>
      <c r="C272" s="63">
        <f t="shared" si="144"/>
        <v>0</v>
      </c>
      <c r="D272" s="63">
        <f t="shared" si="144"/>
        <v>0</v>
      </c>
      <c r="E272" s="63">
        <f t="shared" si="145"/>
        <v>0</v>
      </c>
      <c r="F272" s="63">
        <f t="shared" si="146"/>
        <v>0</v>
      </c>
      <c r="G272" s="63">
        <f t="shared" si="146"/>
        <v>0</v>
      </c>
      <c r="H272" s="63">
        <f t="shared" si="146"/>
        <v>0</v>
      </c>
      <c r="I272" s="63">
        <f t="shared" si="147"/>
        <v>0</v>
      </c>
      <c r="J272" s="63">
        <f t="shared" si="148"/>
        <v>0</v>
      </c>
      <c r="K272" s="63">
        <f t="shared" si="148"/>
        <v>0</v>
      </c>
      <c r="L272" s="63">
        <f t="shared" si="148"/>
        <v>0</v>
      </c>
      <c r="M272" s="63">
        <f t="shared" si="149"/>
        <v>0</v>
      </c>
      <c r="N272" s="63">
        <f t="shared" si="150"/>
        <v>0</v>
      </c>
      <c r="O272" s="63">
        <f t="shared" si="150"/>
        <v>0</v>
      </c>
      <c r="P272" s="63">
        <f t="shared" si="150"/>
        <v>0</v>
      </c>
      <c r="Q272" s="63">
        <f t="shared" si="151"/>
        <v>0</v>
      </c>
      <c r="R272" s="21">
        <f t="shared" si="152"/>
        <v>0</v>
      </c>
    </row>
    <row r="273" spans="1:18" ht="12.75" hidden="1" outlineLevel="1">
      <c r="A273" s="19" t="s">
        <v>45</v>
      </c>
      <c r="B273" s="63">
        <f t="shared" si="144"/>
        <v>0</v>
      </c>
      <c r="C273" s="63">
        <f t="shared" si="144"/>
        <v>0</v>
      </c>
      <c r="D273" s="63">
        <f t="shared" si="144"/>
        <v>25406.98</v>
      </c>
      <c r="E273" s="63">
        <f t="shared" si="145"/>
        <v>25406.98</v>
      </c>
      <c r="F273" s="63">
        <f t="shared" si="146"/>
        <v>11635.560000000001</v>
      </c>
      <c r="G273" s="63">
        <f t="shared" si="146"/>
        <v>15208</v>
      </c>
      <c r="H273" s="63">
        <f t="shared" si="146"/>
        <v>0</v>
      </c>
      <c r="I273" s="63">
        <f t="shared" si="147"/>
        <v>26843.56</v>
      </c>
      <c r="J273" s="63">
        <f t="shared" si="148"/>
        <v>0</v>
      </c>
      <c r="K273" s="63">
        <f t="shared" si="148"/>
        <v>0</v>
      </c>
      <c r="L273" s="63">
        <f t="shared" si="148"/>
        <v>0</v>
      </c>
      <c r="M273" s="63">
        <f t="shared" si="149"/>
        <v>0</v>
      </c>
      <c r="N273" s="63">
        <f aca="true" t="shared" si="153" ref="N273:P275">N251+N229+N207+N185+N163+N141+N119+N97+N75+N53+N31+N9</f>
        <v>0</v>
      </c>
      <c r="O273" s="63">
        <f t="shared" si="153"/>
        <v>0</v>
      </c>
      <c r="P273" s="63">
        <f t="shared" si="153"/>
        <v>112106.44</v>
      </c>
      <c r="Q273" s="63">
        <f t="shared" si="151"/>
        <v>112106.44</v>
      </c>
      <c r="R273" s="21">
        <f t="shared" si="152"/>
        <v>164356.98</v>
      </c>
    </row>
    <row r="274" spans="1:18" ht="12.75" hidden="1" outlineLevel="1">
      <c r="A274" s="19" t="s">
        <v>46</v>
      </c>
      <c r="B274" s="63">
        <f t="shared" si="144"/>
        <v>0</v>
      </c>
      <c r="C274" s="63">
        <f t="shared" si="144"/>
        <v>0</v>
      </c>
      <c r="D274" s="63">
        <f t="shared" si="144"/>
        <v>0</v>
      </c>
      <c r="E274" s="63">
        <f t="shared" si="145"/>
        <v>0</v>
      </c>
      <c r="F274" s="63">
        <f t="shared" si="146"/>
        <v>0</v>
      </c>
      <c r="G274" s="63">
        <f t="shared" si="146"/>
        <v>0</v>
      </c>
      <c r="H274" s="63">
        <f t="shared" si="146"/>
        <v>0</v>
      </c>
      <c r="I274" s="63">
        <f t="shared" si="147"/>
        <v>0</v>
      </c>
      <c r="J274" s="63">
        <f t="shared" si="148"/>
        <v>0</v>
      </c>
      <c r="K274" s="63">
        <f t="shared" si="148"/>
        <v>0</v>
      </c>
      <c r="L274" s="63">
        <f t="shared" si="148"/>
        <v>0</v>
      </c>
      <c r="M274" s="63">
        <f t="shared" si="149"/>
        <v>0</v>
      </c>
      <c r="N274" s="63">
        <f t="shared" si="153"/>
        <v>0</v>
      </c>
      <c r="O274" s="63">
        <f t="shared" si="153"/>
        <v>0</v>
      </c>
      <c r="P274" s="63">
        <f t="shared" si="153"/>
        <v>0</v>
      </c>
      <c r="Q274" s="63">
        <f t="shared" si="151"/>
        <v>0</v>
      </c>
      <c r="R274" s="21">
        <f t="shared" si="152"/>
        <v>0</v>
      </c>
    </row>
    <row r="275" spans="1:18" ht="12.75" hidden="1" outlineLevel="1">
      <c r="A275" s="19" t="s">
        <v>58</v>
      </c>
      <c r="B275" s="63">
        <f t="shared" si="144"/>
        <v>0</v>
      </c>
      <c r="C275" s="63">
        <f t="shared" si="144"/>
        <v>0</v>
      </c>
      <c r="D275" s="63">
        <f t="shared" si="144"/>
        <v>0</v>
      </c>
      <c r="E275" s="63">
        <f t="shared" si="145"/>
        <v>0</v>
      </c>
      <c r="F275" s="63">
        <f t="shared" si="146"/>
        <v>336</v>
      </c>
      <c r="G275" s="63">
        <f t="shared" si="146"/>
        <v>0</v>
      </c>
      <c r="H275" s="63">
        <f t="shared" si="146"/>
        <v>0</v>
      </c>
      <c r="I275" s="63">
        <f t="shared" si="147"/>
        <v>336</v>
      </c>
      <c r="J275" s="63">
        <f t="shared" si="148"/>
        <v>0</v>
      </c>
      <c r="K275" s="63">
        <f t="shared" si="148"/>
        <v>0</v>
      </c>
      <c r="L275" s="63">
        <f t="shared" si="148"/>
        <v>0</v>
      </c>
      <c r="M275" s="63">
        <f t="shared" si="149"/>
        <v>0</v>
      </c>
      <c r="N275" s="63">
        <f t="shared" si="153"/>
        <v>0</v>
      </c>
      <c r="O275" s="63">
        <f t="shared" si="153"/>
        <v>0</v>
      </c>
      <c r="P275" s="63">
        <f t="shared" si="153"/>
        <v>0</v>
      </c>
      <c r="Q275" s="63">
        <f t="shared" si="151"/>
        <v>0</v>
      </c>
      <c r="R275" s="21">
        <f t="shared" si="152"/>
        <v>336</v>
      </c>
    </row>
    <row r="276" spans="1:18" ht="12.75" hidden="1" outlineLevel="1">
      <c r="A276" s="22" t="s">
        <v>47</v>
      </c>
      <c r="B276" s="33">
        <f aca="true" t="shared" si="154" ref="B276:Q276">SUM(B268:B275)</f>
        <v>0</v>
      </c>
      <c r="C276" s="33">
        <f t="shared" si="154"/>
        <v>0</v>
      </c>
      <c r="D276" s="33">
        <f t="shared" si="154"/>
        <v>25406.98</v>
      </c>
      <c r="E276" s="33">
        <f t="shared" si="154"/>
        <v>25406.98</v>
      </c>
      <c r="F276" s="33">
        <f t="shared" si="154"/>
        <v>11971.560000000001</v>
      </c>
      <c r="G276" s="33">
        <f t="shared" si="154"/>
        <v>15208</v>
      </c>
      <c r="H276" s="33">
        <f t="shared" si="154"/>
        <v>0</v>
      </c>
      <c r="I276" s="33">
        <f t="shared" si="154"/>
        <v>27179.56</v>
      </c>
      <c r="J276" s="33">
        <f t="shared" si="154"/>
        <v>0</v>
      </c>
      <c r="K276" s="33">
        <f t="shared" si="154"/>
        <v>0</v>
      </c>
      <c r="L276" s="33">
        <f t="shared" si="154"/>
        <v>0</v>
      </c>
      <c r="M276" s="33">
        <f t="shared" si="154"/>
        <v>0</v>
      </c>
      <c r="N276" s="33">
        <f t="shared" si="154"/>
        <v>0</v>
      </c>
      <c r="O276" s="33">
        <f t="shared" si="154"/>
        <v>0</v>
      </c>
      <c r="P276" s="33">
        <f t="shared" si="154"/>
        <v>112106.44</v>
      </c>
      <c r="Q276" s="33">
        <f t="shared" si="154"/>
        <v>112106.44</v>
      </c>
      <c r="R276" s="34">
        <f t="shared" si="152"/>
        <v>164692.98</v>
      </c>
    </row>
    <row r="277" spans="1:18" ht="12.75" hidden="1" outlineLevel="1">
      <c r="A277" s="23" t="s">
        <v>15</v>
      </c>
      <c r="B277" s="63">
        <f aca="true" t="shared" si="155" ref="B277:D285">B255+B233+B211+B189+B167+B145+B123+B101+B79+B57+B35+B13</f>
        <v>13345.920000000002</v>
      </c>
      <c r="C277" s="63">
        <f t="shared" si="155"/>
        <v>15436.439999999999</v>
      </c>
      <c r="D277" s="63">
        <f t="shared" si="155"/>
        <v>16015.320000000003</v>
      </c>
      <c r="E277" s="63">
        <f aca="true" t="shared" si="156" ref="E277:E286">SUM(B277:D277)</f>
        <v>44797.68000000001</v>
      </c>
      <c r="F277" s="63">
        <f aca="true" t="shared" si="157" ref="F277:H286">F255+F233+F211+F189+F167+F145+F123+F101+F79+F57+F35+F13</f>
        <v>15966.48</v>
      </c>
      <c r="G277" s="63">
        <f t="shared" si="157"/>
        <v>15891.600000000002</v>
      </c>
      <c r="H277" s="63">
        <f t="shared" si="157"/>
        <v>15894.96</v>
      </c>
      <c r="I277" s="63">
        <f aca="true" t="shared" si="158" ref="I277:I286">SUM(F277:H277)</f>
        <v>47753.04</v>
      </c>
      <c r="J277" s="63">
        <f aca="true" t="shared" si="159" ref="J277:L286">J255+J233+J211+J189+J167+J145+J123+J101+J79+J57+J35+J13</f>
        <v>15941.4</v>
      </c>
      <c r="K277" s="63">
        <f t="shared" si="159"/>
        <v>15861.119999999999</v>
      </c>
      <c r="L277" s="63">
        <f t="shared" si="159"/>
        <v>15615.240000000002</v>
      </c>
      <c r="M277" s="63">
        <f aca="true" t="shared" si="160" ref="M277:M286">SUM(J277:L277)</f>
        <v>47417.759999999995</v>
      </c>
      <c r="N277" s="63">
        <f aca="true" t="shared" si="161" ref="N277:P286">N255+N233+N211+N189+N167+N145+N123+N101+N79+N57+N35+N13</f>
        <v>15409.68</v>
      </c>
      <c r="O277" s="63">
        <f t="shared" si="161"/>
        <v>15339.720000000001</v>
      </c>
      <c r="P277" s="63">
        <f t="shared" si="161"/>
        <v>15101.279999999999</v>
      </c>
      <c r="Q277" s="63">
        <f aca="true" t="shared" si="162" ref="Q277:Q286">SUM(N277:P277)</f>
        <v>45850.68</v>
      </c>
      <c r="R277" s="21">
        <f t="shared" si="152"/>
        <v>185819.16000000003</v>
      </c>
    </row>
    <row r="278" spans="1:18" ht="12.75" hidden="1" outlineLevel="1">
      <c r="A278" s="23" t="s">
        <v>16</v>
      </c>
      <c r="B278" s="63">
        <f t="shared" si="155"/>
        <v>1540.3600000000001</v>
      </c>
      <c r="C278" s="63">
        <f t="shared" si="155"/>
        <v>1499.3600000000001</v>
      </c>
      <c r="D278" s="63">
        <f t="shared" si="155"/>
        <v>1540.3600000000001</v>
      </c>
      <c r="E278" s="63">
        <f t="shared" si="156"/>
        <v>4580.08</v>
      </c>
      <c r="F278" s="63">
        <f t="shared" si="157"/>
        <v>1540.3600000000001</v>
      </c>
      <c r="G278" s="63">
        <f t="shared" si="157"/>
        <v>1540.3600000000001</v>
      </c>
      <c r="H278" s="63">
        <f t="shared" si="157"/>
        <v>1540.3600000000001</v>
      </c>
      <c r="I278" s="63">
        <f t="shared" si="158"/>
        <v>4621.08</v>
      </c>
      <c r="J278" s="63">
        <f t="shared" si="159"/>
        <v>1540.3600000000001</v>
      </c>
      <c r="K278" s="63">
        <f t="shared" si="159"/>
        <v>1540.3600000000001</v>
      </c>
      <c r="L278" s="63">
        <f t="shared" si="159"/>
        <v>1540.3600000000001</v>
      </c>
      <c r="M278" s="63">
        <f t="shared" si="160"/>
        <v>4621.08</v>
      </c>
      <c r="N278" s="63">
        <f t="shared" si="161"/>
        <v>1540.3600000000001</v>
      </c>
      <c r="O278" s="63">
        <f t="shared" si="161"/>
        <v>1540.3600000000001</v>
      </c>
      <c r="P278" s="63">
        <f t="shared" si="161"/>
        <v>1540.3600000000001</v>
      </c>
      <c r="Q278" s="63">
        <f t="shared" si="162"/>
        <v>4621.08</v>
      </c>
      <c r="R278" s="21">
        <f t="shared" si="152"/>
        <v>18443.32</v>
      </c>
    </row>
    <row r="279" spans="1:18" ht="12.75" hidden="1" outlineLevel="1">
      <c r="A279" s="23" t="s">
        <v>17</v>
      </c>
      <c r="B279" s="63">
        <f t="shared" si="155"/>
        <v>23551.460000000003</v>
      </c>
      <c r="C279" s="63">
        <f t="shared" si="155"/>
        <v>20388.55</v>
      </c>
      <c r="D279" s="63">
        <f t="shared" si="155"/>
        <v>12589.310000000001</v>
      </c>
      <c r="E279" s="63">
        <f t="shared" si="156"/>
        <v>56529.32000000001</v>
      </c>
      <c r="F279" s="63">
        <f t="shared" si="157"/>
        <v>3463.45</v>
      </c>
      <c r="G279" s="63">
        <f t="shared" si="157"/>
        <v>2027.2200000000005</v>
      </c>
      <c r="H279" s="63">
        <f t="shared" si="157"/>
        <v>1951.5100000000002</v>
      </c>
      <c r="I279" s="63">
        <f t="shared" si="158"/>
        <v>7442.18</v>
      </c>
      <c r="J279" s="63">
        <f t="shared" si="159"/>
        <v>2626.1200000000003</v>
      </c>
      <c r="K279" s="63">
        <f t="shared" si="159"/>
        <v>1785.4</v>
      </c>
      <c r="L279" s="63">
        <f t="shared" si="159"/>
        <v>1700.65</v>
      </c>
      <c r="M279" s="63">
        <f t="shared" si="160"/>
        <v>6112.17</v>
      </c>
      <c r="N279" s="63">
        <f t="shared" si="161"/>
        <v>1742.4599999999998</v>
      </c>
      <c r="O279" s="63">
        <f t="shared" si="161"/>
        <v>1365.0399999999997</v>
      </c>
      <c r="P279" s="63">
        <f t="shared" si="161"/>
        <v>1493.86</v>
      </c>
      <c r="Q279" s="63">
        <f t="shared" si="162"/>
        <v>4601.36</v>
      </c>
      <c r="R279" s="21">
        <f t="shared" si="152"/>
        <v>74685.03</v>
      </c>
    </row>
    <row r="280" spans="1:18" ht="12.75" hidden="1" outlineLevel="1">
      <c r="A280" s="25" t="s">
        <v>18</v>
      </c>
      <c r="B280" s="63">
        <f t="shared" si="155"/>
        <v>635.85</v>
      </c>
      <c r="C280" s="63">
        <f t="shared" si="155"/>
        <v>698.9100000000001</v>
      </c>
      <c r="D280" s="63">
        <f t="shared" si="155"/>
        <v>718.8</v>
      </c>
      <c r="E280" s="63">
        <f t="shared" si="156"/>
        <v>2053.5600000000004</v>
      </c>
      <c r="F280" s="63">
        <f t="shared" si="157"/>
        <v>668.92</v>
      </c>
      <c r="G280" s="63">
        <f t="shared" si="157"/>
        <v>318.78999999999996</v>
      </c>
      <c r="H280" s="63">
        <f t="shared" si="157"/>
        <v>59.12</v>
      </c>
      <c r="I280" s="63">
        <f t="shared" si="158"/>
        <v>1046.83</v>
      </c>
      <c r="J280" s="63">
        <f t="shared" si="159"/>
        <v>328.34000000000003</v>
      </c>
      <c r="K280" s="63">
        <f t="shared" si="159"/>
        <v>328.6</v>
      </c>
      <c r="L280" s="63">
        <f t="shared" si="159"/>
        <v>362.17</v>
      </c>
      <c r="M280" s="63">
        <f t="shared" si="160"/>
        <v>1019.1100000000001</v>
      </c>
      <c r="N280" s="63">
        <f t="shared" si="161"/>
        <v>1116.48</v>
      </c>
      <c r="O280" s="63">
        <f t="shared" si="161"/>
        <v>373.38</v>
      </c>
      <c r="P280" s="63">
        <f t="shared" si="161"/>
        <v>3147.8199999999997</v>
      </c>
      <c r="Q280" s="63">
        <f t="shared" si="162"/>
        <v>4637.68</v>
      </c>
      <c r="R280" s="21">
        <f t="shared" si="152"/>
        <v>8757.18</v>
      </c>
    </row>
    <row r="281" spans="1:18" ht="12.75" hidden="1" outlineLevel="1">
      <c r="A281" s="23" t="s">
        <v>19</v>
      </c>
      <c r="B281" s="63">
        <f t="shared" si="155"/>
        <v>88.35</v>
      </c>
      <c r="C281" s="63">
        <f t="shared" si="155"/>
        <v>140.43</v>
      </c>
      <c r="D281" s="63">
        <f t="shared" si="155"/>
        <v>167.40000000000003</v>
      </c>
      <c r="E281" s="63">
        <f t="shared" si="156"/>
        <v>396.18000000000006</v>
      </c>
      <c r="F281" s="63">
        <f t="shared" si="157"/>
        <v>76.26</v>
      </c>
      <c r="G281" s="63">
        <f t="shared" si="157"/>
        <v>39.06</v>
      </c>
      <c r="H281" s="63">
        <f t="shared" si="157"/>
        <v>45.57</v>
      </c>
      <c r="I281" s="63">
        <f t="shared" si="158"/>
        <v>160.89000000000001</v>
      </c>
      <c r="J281" s="63">
        <f t="shared" si="159"/>
        <v>48.36</v>
      </c>
      <c r="K281" s="63">
        <f t="shared" si="159"/>
        <v>39.989999999999995</v>
      </c>
      <c r="L281" s="63">
        <f t="shared" si="159"/>
        <v>53.94</v>
      </c>
      <c r="M281" s="63">
        <f t="shared" si="160"/>
        <v>142.29</v>
      </c>
      <c r="N281" s="63">
        <f t="shared" si="161"/>
        <v>37.199999999999996</v>
      </c>
      <c r="O281" s="63">
        <f t="shared" si="161"/>
        <v>47.43</v>
      </c>
      <c r="P281" s="63">
        <f t="shared" si="161"/>
        <v>58.59</v>
      </c>
      <c r="Q281" s="63">
        <f t="shared" si="162"/>
        <v>143.22</v>
      </c>
      <c r="R281" s="21">
        <f t="shared" si="152"/>
        <v>842.58</v>
      </c>
    </row>
    <row r="282" spans="1:18" ht="12.75" hidden="1" outlineLevel="1">
      <c r="A282" s="23" t="s">
        <v>20</v>
      </c>
      <c r="B282" s="63">
        <f t="shared" si="155"/>
        <v>4370.5</v>
      </c>
      <c r="C282" s="63">
        <f t="shared" si="155"/>
        <v>4137</v>
      </c>
      <c r="D282" s="63">
        <f t="shared" si="155"/>
        <v>3639</v>
      </c>
      <c r="E282" s="63">
        <f t="shared" si="156"/>
        <v>12146.5</v>
      </c>
      <c r="F282" s="63">
        <f t="shared" si="157"/>
        <v>6311.5</v>
      </c>
      <c r="G282" s="63">
        <f t="shared" si="157"/>
        <v>1829.5</v>
      </c>
      <c r="H282" s="63">
        <f t="shared" si="157"/>
        <v>1599.5</v>
      </c>
      <c r="I282" s="63">
        <f t="shared" si="158"/>
        <v>9740.5</v>
      </c>
      <c r="J282" s="63">
        <f t="shared" si="159"/>
        <v>2165</v>
      </c>
      <c r="K282" s="63">
        <f t="shared" si="159"/>
        <v>1763.5</v>
      </c>
      <c r="L282" s="63">
        <f t="shared" si="159"/>
        <v>1800.78</v>
      </c>
      <c r="M282" s="63">
        <f t="shared" si="160"/>
        <v>5729.28</v>
      </c>
      <c r="N282" s="63">
        <f t="shared" si="161"/>
        <v>1867</v>
      </c>
      <c r="O282" s="63">
        <f t="shared" si="161"/>
        <v>2217.5</v>
      </c>
      <c r="P282" s="63">
        <f t="shared" si="161"/>
        <v>1747</v>
      </c>
      <c r="Q282" s="63">
        <f t="shared" si="162"/>
        <v>5831.5</v>
      </c>
      <c r="R282" s="21">
        <f t="shared" si="152"/>
        <v>33447.78</v>
      </c>
    </row>
    <row r="283" spans="1:18" ht="12.75" hidden="1" outlineLevel="1">
      <c r="A283" s="23" t="s">
        <v>72</v>
      </c>
      <c r="B283" s="63">
        <f t="shared" si="155"/>
        <v>0.96</v>
      </c>
      <c r="C283" s="63">
        <f t="shared" si="155"/>
        <v>1961.6100000000001</v>
      </c>
      <c r="D283" s="63">
        <f t="shared" si="155"/>
        <v>2275.08</v>
      </c>
      <c r="E283" s="63">
        <f t="shared" si="156"/>
        <v>4237.65</v>
      </c>
      <c r="F283" s="63">
        <f t="shared" si="157"/>
        <v>13.24</v>
      </c>
      <c r="G283" s="63">
        <f t="shared" si="157"/>
        <v>2.04</v>
      </c>
      <c r="H283" s="63">
        <f t="shared" si="157"/>
        <v>1.9100000000000001</v>
      </c>
      <c r="I283" s="63">
        <f t="shared" si="158"/>
        <v>17.19</v>
      </c>
      <c r="J283" s="63">
        <f t="shared" si="159"/>
        <v>116.2</v>
      </c>
      <c r="K283" s="63">
        <f t="shared" si="159"/>
        <v>8.12</v>
      </c>
      <c r="L283" s="63">
        <f t="shared" si="159"/>
        <v>8.629999999999999</v>
      </c>
      <c r="M283" s="63">
        <f t="shared" si="160"/>
        <v>132.95000000000002</v>
      </c>
      <c r="N283" s="63">
        <f t="shared" si="161"/>
        <v>8.51</v>
      </c>
      <c r="O283" s="63">
        <f t="shared" si="161"/>
        <v>3.1</v>
      </c>
      <c r="P283" s="63">
        <f t="shared" si="161"/>
        <v>7.329999999999999</v>
      </c>
      <c r="Q283" s="63">
        <f t="shared" si="162"/>
        <v>18.939999999999998</v>
      </c>
      <c r="R283" s="21">
        <f t="shared" si="152"/>
        <v>4406.73</v>
      </c>
    </row>
    <row r="284" spans="1:18" ht="12.75" hidden="1" outlineLevel="1">
      <c r="A284" s="23" t="s">
        <v>21</v>
      </c>
      <c r="B284" s="63">
        <f t="shared" si="155"/>
        <v>0</v>
      </c>
      <c r="C284" s="63">
        <f t="shared" si="155"/>
        <v>0</v>
      </c>
      <c r="D284" s="63">
        <f t="shared" si="155"/>
        <v>0</v>
      </c>
      <c r="E284" s="63">
        <f t="shared" si="156"/>
        <v>0</v>
      </c>
      <c r="F284" s="63">
        <f t="shared" si="157"/>
        <v>0</v>
      </c>
      <c r="G284" s="63">
        <f t="shared" si="157"/>
        <v>0</v>
      </c>
      <c r="H284" s="63">
        <f t="shared" si="157"/>
        <v>0</v>
      </c>
      <c r="I284" s="63">
        <f t="shared" si="158"/>
        <v>0</v>
      </c>
      <c r="J284" s="63">
        <f t="shared" si="159"/>
        <v>0</v>
      </c>
      <c r="K284" s="63">
        <f t="shared" si="159"/>
        <v>0</v>
      </c>
      <c r="L284" s="63">
        <f t="shared" si="159"/>
        <v>0</v>
      </c>
      <c r="M284" s="63">
        <f t="shared" si="160"/>
        <v>0</v>
      </c>
      <c r="N284" s="63">
        <f t="shared" si="161"/>
        <v>0</v>
      </c>
      <c r="O284" s="63">
        <f t="shared" si="161"/>
        <v>0</v>
      </c>
      <c r="P284" s="63">
        <f t="shared" si="161"/>
        <v>0</v>
      </c>
      <c r="Q284" s="63">
        <f t="shared" si="162"/>
        <v>0</v>
      </c>
      <c r="R284" s="21">
        <f t="shared" si="152"/>
        <v>0</v>
      </c>
    </row>
    <row r="285" spans="1:18" ht="12.75" hidden="1" outlineLevel="1">
      <c r="A285" s="23" t="s">
        <v>22</v>
      </c>
      <c r="B285" s="63">
        <f t="shared" si="155"/>
        <v>293.94</v>
      </c>
      <c r="C285" s="63">
        <f t="shared" si="155"/>
        <v>600.66</v>
      </c>
      <c r="D285" s="63">
        <f t="shared" si="155"/>
        <v>1299.2999999999997</v>
      </c>
      <c r="E285" s="63">
        <f t="shared" si="156"/>
        <v>2193.8999999999996</v>
      </c>
      <c r="F285" s="63">
        <f t="shared" si="157"/>
        <v>3041.64</v>
      </c>
      <c r="G285" s="63">
        <f t="shared" si="157"/>
        <v>1116.12</v>
      </c>
      <c r="H285" s="63">
        <f t="shared" si="157"/>
        <v>1350.4199999999996</v>
      </c>
      <c r="I285" s="63">
        <f t="shared" si="158"/>
        <v>5508.18</v>
      </c>
      <c r="J285" s="63">
        <f t="shared" si="159"/>
        <v>967.02</v>
      </c>
      <c r="K285" s="63">
        <f t="shared" si="159"/>
        <v>1797.7199999999998</v>
      </c>
      <c r="L285" s="63">
        <f t="shared" si="159"/>
        <v>2662.5</v>
      </c>
      <c r="M285" s="63">
        <f t="shared" si="160"/>
        <v>5427.24</v>
      </c>
      <c r="N285" s="63">
        <f t="shared" si="161"/>
        <v>5763.780000000001</v>
      </c>
      <c r="O285" s="63">
        <f t="shared" si="161"/>
        <v>2215.2</v>
      </c>
      <c r="P285" s="63">
        <f t="shared" si="161"/>
        <v>3944.7600000000007</v>
      </c>
      <c r="Q285" s="63">
        <f t="shared" si="162"/>
        <v>11923.740000000002</v>
      </c>
      <c r="R285" s="21">
        <f t="shared" si="152"/>
        <v>25053.060000000005</v>
      </c>
    </row>
    <row r="286" spans="1:18" ht="12.75" hidden="1" outlineLevel="1">
      <c r="A286" s="23" t="s">
        <v>61</v>
      </c>
      <c r="B286" s="63">
        <f>B264+B242+B220+B198+B176+B154+B132+B110+B88+B66+B44+B22</f>
        <v>0</v>
      </c>
      <c r="C286" s="63">
        <f>C264+C242+C220+C198+C176+C154+C132+C110+C88+C65+C44+C22</f>
        <v>59.64</v>
      </c>
      <c r="D286" s="63">
        <f>D264+D242+D220+D198+D176+D154+D132+D110+D88+D66+D44+D22</f>
        <v>0</v>
      </c>
      <c r="E286" s="63">
        <f t="shared" si="156"/>
        <v>59.64</v>
      </c>
      <c r="F286" s="63">
        <f t="shared" si="157"/>
        <v>0</v>
      </c>
      <c r="G286" s="63">
        <f t="shared" si="157"/>
        <v>0</v>
      </c>
      <c r="H286" s="63">
        <f t="shared" si="157"/>
        <v>0</v>
      </c>
      <c r="I286" s="63">
        <f t="shared" si="158"/>
        <v>0</v>
      </c>
      <c r="J286" s="63">
        <f t="shared" si="159"/>
        <v>0</v>
      </c>
      <c r="K286" s="63">
        <f t="shared" si="159"/>
        <v>0</v>
      </c>
      <c r="L286" s="63">
        <f t="shared" si="159"/>
        <v>0</v>
      </c>
      <c r="M286" s="63">
        <f t="shared" si="160"/>
        <v>0</v>
      </c>
      <c r="N286" s="63">
        <f t="shared" si="161"/>
        <v>0</v>
      </c>
      <c r="O286" s="63">
        <f t="shared" si="161"/>
        <v>0</v>
      </c>
      <c r="P286" s="63">
        <f t="shared" si="161"/>
        <v>0</v>
      </c>
      <c r="Q286" s="63">
        <f t="shared" si="162"/>
        <v>0</v>
      </c>
      <c r="R286" s="21">
        <f t="shared" si="152"/>
        <v>59.64</v>
      </c>
    </row>
    <row r="287" spans="1:18" ht="12.75" hidden="1" outlineLevel="1">
      <c r="A287" s="89" t="s">
        <v>49</v>
      </c>
      <c r="B287" s="33">
        <f aca="true" t="shared" si="163" ref="B287:R287">SUM(B277:B286)</f>
        <v>43827.340000000004</v>
      </c>
      <c r="C287" s="33">
        <f t="shared" si="163"/>
        <v>44922.600000000006</v>
      </c>
      <c r="D287" s="33">
        <f t="shared" si="163"/>
        <v>38244.57000000001</v>
      </c>
      <c r="E287" s="33">
        <f t="shared" si="163"/>
        <v>126994.51</v>
      </c>
      <c r="F287" s="33">
        <f t="shared" si="163"/>
        <v>31081.85</v>
      </c>
      <c r="G287" s="33">
        <f t="shared" si="163"/>
        <v>22764.690000000006</v>
      </c>
      <c r="H287" s="33">
        <f t="shared" si="163"/>
        <v>22443.35</v>
      </c>
      <c r="I287" s="33">
        <f t="shared" si="163"/>
        <v>76289.89000000001</v>
      </c>
      <c r="J287" s="33">
        <f t="shared" si="163"/>
        <v>23732.8</v>
      </c>
      <c r="K287" s="33">
        <f t="shared" si="163"/>
        <v>23124.81</v>
      </c>
      <c r="L287" s="33">
        <f t="shared" si="163"/>
        <v>23744.27</v>
      </c>
      <c r="M287" s="33">
        <f t="shared" si="163"/>
        <v>70601.87999999999</v>
      </c>
      <c r="N287" s="33">
        <f t="shared" si="163"/>
        <v>27485.47</v>
      </c>
      <c r="O287" s="33">
        <f t="shared" si="163"/>
        <v>23101.730000000003</v>
      </c>
      <c r="P287" s="33">
        <f t="shared" si="163"/>
        <v>27041.000000000004</v>
      </c>
      <c r="Q287" s="33">
        <f t="shared" si="163"/>
        <v>77628.20000000001</v>
      </c>
      <c r="R287" s="90">
        <f t="shared" si="163"/>
        <v>351514.48000000004</v>
      </c>
    </row>
    <row r="288" spans="1:21" ht="13.5" collapsed="1" thickBot="1">
      <c r="A288" s="84" t="s">
        <v>48</v>
      </c>
      <c r="B288" s="49">
        <f>B287+B276</f>
        <v>43827.340000000004</v>
      </c>
      <c r="C288" s="49">
        <f>C287+C276</f>
        <v>44922.600000000006</v>
      </c>
      <c r="D288" s="49">
        <f>D287+D276</f>
        <v>63651.55</v>
      </c>
      <c r="E288" s="49">
        <f>SUM(B288:D288)</f>
        <v>152401.49</v>
      </c>
      <c r="F288" s="49">
        <f>F287+F276</f>
        <v>43053.41</v>
      </c>
      <c r="G288" s="49">
        <f>G287+G276</f>
        <v>37972.69</v>
      </c>
      <c r="H288" s="49">
        <f>H287+H276</f>
        <v>22443.35</v>
      </c>
      <c r="I288" s="49">
        <f>SUM(F288:H288)</f>
        <v>103469.45000000001</v>
      </c>
      <c r="J288" s="49">
        <f>J287+J276</f>
        <v>23732.8</v>
      </c>
      <c r="K288" s="49">
        <f>K287+K276</f>
        <v>23124.81</v>
      </c>
      <c r="L288" s="49">
        <f>L287+L276</f>
        <v>23744.27</v>
      </c>
      <c r="M288" s="49">
        <f>SUM(J288:L288)</f>
        <v>70601.88</v>
      </c>
      <c r="N288" s="49">
        <f>N287+N276</f>
        <v>27485.47</v>
      </c>
      <c r="O288" s="49">
        <f>O287+O276</f>
        <v>23101.730000000003</v>
      </c>
      <c r="P288" s="49">
        <f>P287+P276</f>
        <v>139147.44</v>
      </c>
      <c r="Q288" s="49">
        <f>SUM(N288:P288)</f>
        <v>189734.64</v>
      </c>
      <c r="R288" s="96">
        <f>Q288+M288+I288+E288</f>
        <v>516207.46</v>
      </c>
      <c r="S288" s="65">
        <f>((B277/0.12)+(C277/0.12)+(D277/0.12)+(F277/0.12)+(G277/0.12)+(H277/0.12)+(J277/0.12)+(K277/0.12)+(L277/0.12)+(N277/0.12)+(O277/0.12)+(P277/0.12))/12</f>
        <v>129041.08333333333</v>
      </c>
      <c r="T288" s="54">
        <f>IF(R288&gt;0,R288/S288,0)</f>
        <v>4.0003342088081775</v>
      </c>
      <c r="U288" s="66">
        <f>IF(R279&gt;0,R279/R288,0)</f>
        <v>0.1446802609168027</v>
      </c>
    </row>
    <row r="289" spans="1:18" ht="12.75">
      <c r="A289" s="85" t="s">
        <v>74</v>
      </c>
      <c r="B289" s="86"/>
      <c r="C289" s="86"/>
      <c r="D289" s="86"/>
      <c r="E289" s="87"/>
      <c r="F289" s="86"/>
      <c r="G289" s="86"/>
      <c r="H289" s="86"/>
      <c r="I289" s="87"/>
      <c r="J289" s="86"/>
      <c r="K289" s="86"/>
      <c r="L289" s="86"/>
      <c r="M289" s="87"/>
      <c r="N289" s="86"/>
      <c r="O289" s="86"/>
      <c r="P289" s="86"/>
      <c r="Q289" s="87"/>
      <c r="R289" s="88"/>
    </row>
    <row r="290" spans="1:18" ht="12.75" hidden="1" outlineLevel="1">
      <c r="A290" s="19" t="s">
        <v>40</v>
      </c>
      <c r="B290" s="63">
        <f aca="true" t="shared" si="164" ref="B290:D295">B224+B202+B180+B158+B136+B114+B92+B70+B26+B4</f>
        <v>0</v>
      </c>
      <c r="C290" s="63">
        <f t="shared" si="164"/>
        <v>0</v>
      </c>
      <c r="D290" s="63">
        <f t="shared" si="164"/>
        <v>0</v>
      </c>
      <c r="E290" s="63">
        <f aca="true" t="shared" si="165" ref="E290:E297">SUM(B290:D290)</f>
        <v>0</v>
      </c>
      <c r="F290" s="63">
        <f aca="true" t="shared" si="166" ref="F290:H297">F224+F202+F180+F158+F136+F114+F92+F70+F26+F4</f>
        <v>0</v>
      </c>
      <c r="G290" s="63">
        <f t="shared" si="166"/>
        <v>0</v>
      </c>
      <c r="H290" s="63">
        <f t="shared" si="166"/>
        <v>0</v>
      </c>
      <c r="I290" s="63">
        <f aca="true" t="shared" si="167" ref="I290:I297">SUM(F290:H290)</f>
        <v>0</v>
      </c>
      <c r="J290" s="63">
        <f aca="true" t="shared" si="168" ref="J290:L297">J224+J202+J180+J158+J136+J114+J92+J70+J26+J4</f>
        <v>0</v>
      </c>
      <c r="K290" s="63">
        <f t="shared" si="168"/>
        <v>0</v>
      </c>
      <c r="L290" s="63">
        <f t="shared" si="168"/>
        <v>0</v>
      </c>
      <c r="M290" s="63">
        <f aca="true" t="shared" si="169" ref="M290:M297">SUM(J290:L290)</f>
        <v>0</v>
      </c>
      <c r="N290" s="63">
        <f aca="true" t="shared" si="170" ref="N290:P297">N224+N202+N180+N158+N136+N114+N92+N70+N26+N4</f>
        <v>0</v>
      </c>
      <c r="O290" s="63">
        <f t="shared" si="170"/>
        <v>0</v>
      </c>
      <c r="P290" s="63">
        <f t="shared" si="170"/>
        <v>0</v>
      </c>
      <c r="Q290" s="63">
        <f aca="true" t="shared" si="171" ref="Q290:Q297">SUM(N290:P290)</f>
        <v>0</v>
      </c>
      <c r="R290" s="21">
        <f aca="true" t="shared" si="172" ref="R290:R308">Q290+M290+I290+E290</f>
        <v>0</v>
      </c>
    </row>
    <row r="291" spans="1:18" ht="12.75" hidden="1" outlineLevel="1">
      <c r="A291" s="19" t="s">
        <v>41</v>
      </c>
      <c r="B291" s="63">
        <f t="shared" si="164"/>
        <v>0</v>
      </c>
      <c r="C291" s="63">
        <f t="shared" si="164"/>
        <v>0</v>
      </c>
      <c r="D291" s="63">
        <f t="shared" si="164"/>
        <v>0</v>
      </c>
      <c r="E291" s="63">
        <f t="shared" si="165"/>
        <v>0</v>
      </c>
      <c r="F291" s="63">
        <f t="shared" si="166"/>
        <v>0</v>
      </c>
      <c r="G291" s="63">
        <f t="shared" si="166"/>
        <v>0</v>
      </c>
      <c r="H291" s="63">
        <f t="shared" si="166"/>
        <v>0</v>
      </c>
      <c r="I291" s="63">
        <f t="shared" si="167"/>
        <v>0</v>
      </c>
      <c r="J291" s="63">
        <f t="shared" si="168"/>
        <v>0</v>
      </c>
      <c r="K291" s="63">
        <f t="shared" si="168"/>
        <v>0</v>
      </c>
      <c r="L291" s="63">
        <f t="shared" si="168"/>
        <v>0</v>
      </c>
      <c r="M291" s="63">
        <f t="shared" si="169"/>
        <v>0</v>
      </c>
      <c r="N291" s="63">
        <f t="shared" si="170"/>
        <v>0</v>
      </c>
      <c r="O291" s="63">
        <f t="shared" si="170"/>
        <v>0</v>
      </c>
      <c r="P291" s="63">
        <f t="shared" si="170"/>
        <v>0</v>
      </c>
      <c r="Q291" s="63">
        <f t="shared" si="171"/>
        <v>0</v>
      </c>
      <c r="R291" s="21">
        <f t="shared" si="172"/>
        <v>0</v>
      </c>
    </row>
    <row r="292" spans="1:18" ht="12.75" hidden="1" outlineLevel="1">
      <c r="A292" s="19" t="s">
        <v>42</v>
      </c>
      <c r="B292" s="63">
        <f t="shared" si="164"/>
        <v>0</v>
      </c>
      <c r="C292" s="63">
        <f t="shared" si="164"/>
        <v>0</v>
      </c>
      <c r="D292" s="63">
        <f t="shared" si="164"/>
        <v>0</v>
      </c>
      <c r="E292" s="63">
        <f t="shared" si="165"/>
        <v>0</v>
      </c>
      <c r="F292" s="63">
        <f t="shared" si="166"/>
        <v>0</v>
      </c>
      <c r="G292" s="63">
        <f t="shared" si="166"/>
        <v>0</v>
      </c>
      <c r="H292" s="63">
        <f t="shared" si="166"/>
        <v>0</v>
      </c>
      <c r="I292" s="63">
        <f t="shared" si="167"/>
        <v>0</v>
      </c>
      <c r="J292" s="63">
        <f t="shared" si="168"/>
        <v>0</v>
      </c>
      <c r="K292" s="63">
        <f t="shared" si="168"/>
        <v>0</v>
      </c>
      <c r="L292" s="63">
        <f t="shared" si="168"/>
        <v>0</v>
      </c>
      <c r="M292" s="63">
        <f t="shared" si="169"/>
        <v>0</v>
      </c>
      <c r="N292" s="63">
        <f t="shared" si="170"/>
        <v>0</v>
      </c>
      <c r="O292" s="63">
        <f t="shared" si="170"/>
        <v>0</v>
      </c>
      <c r="P292" s="63">
        <f t="shared" si="170"/>
        <v>0</v>
      </c>
      <c r="Q292" s="63">
        <f t="shared" si="171"/>
        <v>0</v>
      </c>
      <c r="R292" s="21">
        <f t="shared" si="172"/>
        <v>0</v>
      </c>
    </row>
    <row r="293" spans="1:18" ht="12.75" hidden="1" outlineLevel="1">
      <c r="A293" s="19" t="s">
        <v>43</v>
      </c>
      <c r="B293" s="63">
        <f t="shared" si="164"/>
        <v>0</v>
      </c>
      <c r="C293" s="63">
        <f t="shared" si="164"/>
        <v>0</v>
      </c>
      <c r="D293" s="63">
        <f t="shared" si="164"/>
        <v>0</v>
      </c>
      <c r="E293" s="63">
        <f t="shared" si="165"/>
        <v>0</v>
      </c>
      <c r="F293" s="63">
        <f t="shared" si="166"/>
        <v>0</v>
      </c>
      <c r="G293" s="63">
        <f t="shared" si="166"/>
        <v>0</v>
      </c>
      <c r="H293" s="63">
        <f t="shared" si="166"/>
        <v>0</v>
      </c>
      <c r="I293" s="63">
        <f t="shared" si="167"/>
        <v>0</v>
      </c>
      <c r="J293" s="63">
        <f t="shared" si="168"/>
        <v>0</v>
      </c>
      <c r="K293" s="63">
        <f t="shared" si="168"/>
        <v>0</v>
      </c>
      <c r="L293" s="63">
        <f t="shared" si="168"/>
        <v>0</v>
      </c>
      <c r="M293" s="63">
        <f t="shared" si="169"/>
        <v>0</v>
      </c>
      <c r="N293" s="63">
        <f t="shared" si="170"/>
        <v>0</v>
      </c>
      <c r="O293" s="63">
        <f t="shared" si="170"/>
        <v>0</v>
      </c>
      <c r="P293" s="63">
        <f t="shared" si="170"/>
        <v>0</v>
      </c>
      <c r="Q293" s="63">
        <f t="shared" si="171"/>
        <v>0</v>
      </c>
      <c r="R293" s="21">
        <f t="shared" si="172"/>
        <v>0</v>
      </c>
    </row>
    <row r="294" spans="1:18" ht="12.75" hidden="1" outlineLevel="1">
      <c r="A294" s="19" t="s">
        <v>44</v>
      </c>
      <c r="B294" s="63">
        <f t="shared" si="164"/>
        <v>0</v>
      </c>
      <c r="C294" s="63">
        <f t="shared" si="164"/>
        <v>0</v>
      </c>
      <c r="D294" s="63">
        <f t="shared" si="164"/>
        <v>0</v>
      </c>
      <c r="E294" s="63">
        <f t="shared" si="165"/>
        <v>0</v>
      </c>
      <c r="F294" s="63">
        <f t="shared" si="166"/>
        <v>0</v>
      </c>
      <c r="G294" s="63">
        <f t="shared" si="166"/>
        <v>0</v>
      </c>
      <c r="H294" s="63">
        <f t="shared" si="166"/>
        <v>0</v>
      </c>
      <c r="I294" s="63">
        <f t="shared" si="167"/>
        <v>0</v>
      </c>
      <c r="J294" s="63">
        <f t="shared" si="168"/>
        <v>0</v>
      </c>
      <c r="K294" s="63">
        <f t="shared" si="168"/>
        <v>0</v>
      </c>
      <c r="L294" s="63">
        <f t="shared" si="168"/>
        <v>0</v>
      </c>
      <c r="M294" s="63">
        <f t="shared" si="169"/>
        <v>0</v>
      </c>
      <c r="N294" s="63">
        <f t="shared" si="170"/>
        <v>0</v>
      </c>
      <c r="O294" s="63">
        <f t="shared" si="170"/>
        <v>0</v>
      </c>
      <c r="P294" s="63">
        <f t="shared" si="170"/>
        <v>0</v>
      </c>
      <c r="Q294" s="63">
        <f t="shared" si="171"/>
        <v>0</v>
      </c>
      <c r="R294" s="21">
        <f t="shared" si="172"/>
        <v>0</v>
      </c>
    </row>
    <row r="295" spans="1:18" ht="12.75" hidden="1" outlineLevel="1">
      <c r="A295" s="19" t="s">
        <v>45</v>
      </c>
      <c r="B295" s="63">
        <f t="shared" si="164"/>
        <v>0</v>
      </c>
      <c r="C295" s="63">
        <f t="shared" si="164"/>
        <v>0</v>
      </c>
      <c r="D295" s="63">
        <f t="shared" si="164"/>
        <v>22696.57</v>
      </c>
      <c r="E295" s="63">
        <f t="shared" si="165"/>
        <v>22696.57</v>
      </c>
      <c r="F295" s="63">
        <f t="shared" si="166"/>
        <v>10394.29</v>
      </c>
      <c r="G295" s="63">
        <f t="shared" si="166"/>
        <v>13585.61</v>
      </c>
      <c r="H295" s="63">
        <f t="shared" si="166"/>
        <v>0</v>
      </c>
      <c r="I295" s="63">
        <f t="shared" si="167"/>
        <v>23979.9</v>
      </c>
      <c r="J295" s="63">
        <f t="shared" si="168"/>
        <v>0</v>
      </c>
      <c r="K295" s="63">
        <f t="shared" si="168"/>
        <v>0</v>
      </c>
      <c r="L295" s="63">
        <f t="shared" si="168"/>
        <v>0</v>
      </c>
      <c r="M295" s="63">
        <f t="shared" si="169"/>
        <v>0</v>
      </c>
      <c r="N295" s="63">
        <f t="shared" si="170"/>
        <v>0</v>
      </c>
      <c r="O295" s="63">
        <f t="shared" si="170"/>
        <v>0</v>
      </c>
      <c r="P295" s="63">
        <f t="shared" si="170"/>
        <v>48917.23</v>
      </c>
      <c r="Q295" s="63">
        <f t="shared" si="171"/>
        <v>48917.23</v>
      </c>
      <c r="R295" s="21">
        <f t="shared" si="172"/>
        <v>95593.70000000001</v>
      </c>
    </row>
    <row r="296" spans="1:18" ht="12.75" hidden="1" outlineLevel="1">
      <c r="A296" s="19" t="s">
        <v>46</v>
      </c>
      <c r="B296" s="63">
        <f>B230+B208+B186+B164+B142+B120+B98+B76+B32+B10</f>
        <v>0</v>
      </c>
      <c r="C296" s="63">
        <f>C230+C208+C186+C164+C142+C120+C98+C76+C32+C10</f>
        <v>0</v>
      </c>
      <c r="D296" s="63">
        <f>D230+D208+D186+D164+D142+D120+D98+D76+D32+D10</f>
        <v>0</v>
      </c>
      <c r="E296" s="63">
        <f t="shared" si="165"/>
        <v>0</v>
      </c>
      <c r="F296" s="63">
        <f t="shared" si="166"/>
        <v>0</v>
      </c>
      <c r="G296" s="63">
        <f t="shared" si="166"/>
        <v>0</v>
      </c>
      <c r="H296" s="63">
        <f t="shared" si="166"/>
        <v>0</v>
      </c>
      <c r="I296" s="63">
        <f t="shared" si="167"/>
        <v>0</v>
      </c>
      <c r="J296" s="63">
        <f t="shared" si="168"/>
        <v>0</v>
      </c>
      <c r="K296" s="63">
        <f t="shared" si="168"/>
        <v>0</v>
      </c>
      <c r="L296" s="63">
        <f t="shared" si="168"/>
        <v>0</v>
      </c>
      <c r="M296" s="63">
        <f t="shared" si="169"/>
        <v>0</v>
      </c>
      <c r="N296" s="63">
        <f t="shared" si="170"/>
        <v>0</v>
      </c>
      <c r="O296" s="63">
        <f t="shared" si="170"/>
        <v>0</v>
      </c>
      <c r="P296" s="63">
        <f t="shared" si="170"/>
        <v>0</v>
      </c>
      <c r="Q296" s="63">
        <f t="shared" si="171"/>
        <v>0</v>
      </c>
      <c r="R296" s="21">
        <f t="shared" si="172"/>
        <v>0</v>
      </c>
    </row>
    <row r="297" spans="1:18" ht="12.75" hidden="1" outlineLevel="1">
      <c r="A297" s="19" t="s">
        <v>58</v>
      </c>
      <c r="B297" s="63">
        <f aca="true" t="shared" si="173" ref="B297:D299">B231+B209+B187+B165+B143+B121+B99+B77+B33+B11</f>
        <v>0</v>
      </c>
      <c r="C297" s="63">
        <f t="shared" si="173"/>
        <v>0</v>
      </c>
      <c r="D297" s="63">
        <f t="shared" si="173"/>
        <v>0</v>
      </c>
      <c r="E297" s="63">
        <f t="shared" si="165"/>
        <v>0</v>
      </c>
      <c r="F297" s="63">
        <f t="shared" si="166"/>
        <v>336</v>
      </c>
      <c r="G297" s="63">
        <f t="shared" si="166"/>
        <v>0</v>
      </c>
      <c r="H297" s="63">
        <f t="shared" si="166"/>
        <v>0</v>
      </c>
      <c r="I297" s="63">
        <f t="shared" si="167"/>
        <v>336</v>
      </c>
      <c r="J297" s="63">
        <f t="shared" si="168"/>
        <v>0</v>
      </c>
      <c r="K297" s="63">
        <f t="shared" si="168"/>
        <v>0</v>
      </c>
      <c r="L297" s="63">
        <f t="shared" si="168"/>
        <v>0</v>
      </c>
      <c r="M297" s="63">
        <f t="shared" si="169"/>
        <v>0</v>
      </c>
      <c r="N297" s="63">
        <f t="shared" si="170"/>
        <v>0</v>
      </c>
      <c r="O297" s="63">
        <f t="shared" si="170"/>
        <v>0</v>
      </c>
      <c r="P297" s="63">
        <f t="shared" si="170"/>
        <v>0</v>
      </c>
      <c r="Q297" s="63">
        <f t="shared" si="171"/>
        <v>0</v>
      </c>
      <c r="R297" s="21">
        <f t="shared" si="172"/>
        <v>336</v>
      </c>
    </row>
    <row r="298" spans="1:18" ht="12.75" hidden="1" outlineLevel="1">
      <c r="A298" s="22" t="s">
        <v>47</v>
      </c>
      <c r="B298" s="33">
        <f aca="true" t="shared" si="174" ref="B298:Q298">SUM(B290:B297)</f>
        <v>0</v>
      </c>
      <c r="C298" s="33">
        <f t="shared" si="174"/>
        <v>0</v>
      </c>
      <c r="D298" s="33">
        <f t="shared" si="174"/>
        <v>22696.57</v>
      </c>
      <c r="E298" s="33">
        <f t="shared" si="174"/>
        <v>22696.57</v>
      </c>
      <c r="F298" s="33">
        <f t="shared" si="174"/>
        <v>10730.29</v>
      </c>
      <c r="G298" s="33">
        <f t="shared" si="174"/>
        <v>13585.61</v>
      </c>
      <c r="H298" s="33">
        <f t="shared" si="174"/>
        <v>0</v>
      </c>
      <c r="I298" s="33">
        <f t="shared" si="174"/>
        <v>24315.9</v>
      </c>
      <c r="J298" s="33">
        <f t="shared" si="174"/>
        <v>0</v>
      </c>
      <c r="K298" s="33">
        <f t="shared" si="174"/>
        <v>0</v>
      </c>
      <c r="L298" s="33">
        <f t="shared" si="174"/>
        <v>0</v>
      </c>
      <c r="M298" s="33">
        <f t="shared" si="174"/>
        <v>0</v>
      </c>
      <c r="N298" s="33">
        <f t="shared" si="174"/>
        <v>0</v>
      </c>
      <c r="O298" s="33">
        <f t="shared" si="174"/>
        <v>0</v>
      </c>
      <c r="P298" s="33">
        <f t="shared" si="174"/>
        <v>48917.23</v>
      </c>
      <c r="Q298" s="33">
        <f t="shared" si="174"/>
        <v>48917.23</v>
      </c>
      <c r="R298" s="34">
        <f t="shared" si="172"/>
        <v>95929.70000000001</v>
      </c>
    </row>
    <row r="299" spans="1:18" ht="12.75" hidden="1" outlineLevel="1">
      <c r="A299" s="23" t="s">
        <v>15</v>
      </c>
      <c r="B299" s="63">
        <f t="shared" si="173"/>
        <v>7743.24</v>
      </c>
      <c r="C299" s="63">
        <f t="shared" si="173"/>
        <v>6955.5599999999995</v>
      </c>
      <c r="D299" s="63">
        <f t="shared" si="173"/>
        <v>7190.52</v>
      </c>
      <c r="E299" s="63">
        <f aca="true" t="shared" si="175" ref="E299:E308">SUM(B299:D299)</f>
        <v>21889.32</v>
      </c>
      <c r="F299" s="63">
        <f aca="true" t="shared" si="176" ref="F299:H308">F233+F211+F189+F167+F145+F123+F101+F79+F35+F13</f>
        <v>7127.4</v>
      </c>
      <c r="G299" s="63">
        <f t="shared" si="176"/>
        <v>7126.92</v>
      </c>
      <c r="H299" s="63">
        <f t="shared" si="176"/>
        <v>7122.599999999999</v>
      </c>
      <c r="I299" s="63">
        <f aca="true" t="shared" si="177" ref="I299:I308">SUM(F299:H299)</f>
        <v>21376.92</v>
      </c>
      <c r="J299" s="63">
        <f aca="true" t="shared" si="178" ref="J299:L308">J233+J211+J189+J167+J145+J123+J101+J79+J35+J13</f>
        <v>7016.76</v>
      </c>
      <c r="K299" s="63">
        <f t="shared" si="178"/>
        <v>7006.320000000001</v>
      </c>
      <c r="L299" s="63">
        <f t="shared" si="178"/>
        <v>7012.08</v>
      </c>
      <c r="M299" s="63">
        <f aca="true" t="shared" si="179" ref="M299:M308">SUM(J299:L299)</f>
        <v>21035.160000000003</v>
      </c>
      <c r="N299" s="63">
        <f aca="true" t="shared" si="180" ref="N299:P308">N233+N211+N189+N167+N145+N123+N101+N79+N35+N13</f>
        <v>7006.68</v>
      </c>
      <c r="O299" s="63">
        <f t="shared" si="180"/>
        <v>7000.92</v>
      </c>
      <c r="P299" s="63">
        <f t="shared" si="180"/>
        <v>6997.2</v>
      </c>
      <c r="Q299" s="63">
        <f aca="true" t="shared" si="181" ref="Q299:Q308">SUM(N299:P299)</f>
        <v>21004.8</v>
      </c>
      <c r="R299" s="21">
        <f t="shared" si="172"/>
        <v>85306.20000000001</v>
      </c>
    </row>
    <row r="300" spans="1:18" ht="12.75" hidden="1" outlineLevel="1">
      <c r="A300" s="23" t="s">
        <v>16</v>
      </c>
      <c r="B300" s="63">
        <f aca="true" t="shared" si="182" ref="B300:D308">B234+B212+B190+B168+B146+B124+B102+B80+B36+B14</f>
        <v>1188.3600000000001</v>
      </c>
      <c r="C300" s="63">
        <f t="shared" si="182"/>
        <v>1147.3600000000001</v>
      </c>
      <c r="D300" s="63">
        <f t="shared" si="182"/>
        <v>1188.3600000000001</v>
      </c>
      <c r="E300" s="63">
        <f t="shared" si="175"/>
        <v>3524.0800000000004</v>
      </c>
      <c r="F300" s="63">
        <f t="shared" si="176"/>
        <v>1188.3600000000001</v>
      </c>
      <c r="G300" s="63">
        <f t="shared" si="176"/>
        <v>1188.3600000000001</v>
      </c>
      <c r="H300" s="63">
        <f t="shared" si="176"/>
        <v>1188.3600000000001</v>
      </c>
      <c r="I300" s="63">
        <f t="shared" si="177"/>
        <v>3565.0800000000004</v>
      </c>
      <c r="J300" s="63">
        <f t="shared" si="178"/>
        <v>1188.3600000000001</v>
      </c>
      <c r="K300" s="63">
        <f t="shared" si="178"/>
        <v>1188.3600000000001</v>
      </c>
      <c r="L300" s="63">
        <f t="shared" si="178"/>
        <v>1188.3600000000001</v>
      </c>
      <c r="M300" s="63">
        <f t="shared" si="179"/>
        <v>3565.0800000000004</v>
      </c>
      <c r="N300" s="63">
        <f t="shared" si="180"/>
        <v>1188.3600000000001</v>
      </c>
      <c r="O300" s="63">
        <f t="shared" si="180"/>
        <v>1188.3600000000001</v>
      </c>
      <c r="P300" s="63">
        <f t="shared" si="180"/>
        <v>1188.3600000000001</v>
      </c>
      <c r="Q300" s="63">
        <f t="shared" si="181"/>
        <v>3565.0800000000004</v>
      </c>
      <c r="R300" s="21">
        <f t="shared" si="172"/>
        <v>14219.320000000002</v>
      </c>
    </row>
    <row r="301" spans="1:18" ht="12.75" hidden="1" outlineLevel="1">
      <c r="A301" s="23" t="s">
        <v>17</v>
      </c>
      <c r="B301" s="63">
        <f t="shared" si="182"/>
        <v>1965.07</v>
      </c>
      <c r="C301" s="63">
        <f t="shared" si="182"/>
        <v>1394.42</v>
      </c>
      <c r="D301" s="63">
        <f t="shared" si="182"/>
        <v>1083.67</v>
      </c>
      <c r="E301" s="63">
        <f t="shared" si="175"/>
        <v>4443.16</v>
      </c>
      <c r="F301" s="63">
        <f t="shared" si="176"/>
        <v>705.12</v>
      </c>
      <c r="G301" s="63">
        <f t="shared" si="176"/>
        <v>623.76</v>
      </c>
      <c r="H301" s="63">
        <f t="shared" si="176"/>
        <v>480.25</v>
      </c>
      <c r="I301" s="63">
        <f t="shared" si="177"/>
        <v>1809.13</v>
      </c>
      <c r="J301" s="63">
        <f t="shared" si="178"/>
        <v>783.0899999999999</v>
      </c>
      <c r="K301" s="63">
        <f t="shared" si="178"/>
        <v>581.95</v>
      </c>
      <c r="L301" s="63">
        <f t="shared" si="178"/>
        <v>620.37</v>
      </c>
      <c r="M301" s="63">
        <f t="shared" si="179"/>
        <v>1985.4099999999999</v>
      </c>
      <c r="N301" s="63">
        <f t="shared" si="180"/>
        <v>639.5799999999999</v>
      </c>
      <c r="O301" s="63">
        <f t="shared" si="180"/>
        <v>579.69</v>
      </c>
      <c r="P301" s="63">
        <f t="shared" si="180"/>
        <v>584.21</v>
      </c>
      <c r="Q301" s="63">
        <f t="shared" si="181"/>
        <v>1803.48</v>
      </c>
      <c r="R301" s="21">
        <f t="shared" si="172"/>
        <v>10041.18</v>
      </c>
    </row>
    <row r="302" spans="1:18" ht="12.75" hidden="1" outlineLevel="1">
      <c r="A302" s="25" t="s">
        <v>18</v>
      </c>
      <c r="B302" s="63">
        <f t="shared" si="182"/>
        <v>443.15999999999997</v>
      </c>
      <c r="C302" s="63">
        <f t="shared" si="182"/>
        <v>464.78000000000003</v>
      </c>
      <c r="D302" s="63">
        <f t="shared" si="182"/>
        <v>500.98</v>
      </c>
      <c r="E302" s="63">
        <f t="shared" si="175"/>
        <v>1408.92</v>
      </c>
      <c r="F302" s="63">
        <f t="shared" si="176"/>
        <v>466.22</v>
      </c>
      <c r="G302" s="63">
        <f t="shared" si="176"/>
        <v>222.18</v>
      </c>
      <c r="H302" s="63">
        <f t="shared" si="176"/>
        <v>41.2</v>
      </c>
      <c r="I302" s="63">
        <f t="shared" si="177"/>
        <v>729.6000000000001</v>
      </c>
      <c r="J302" s="63">
        <f t="shared" si="178"/>
        <v>228.84000000000003</v>
      </c>
      <c r="K302" s="63">
        <f t="shared" si="178"/>
        <v>229.01999999999998</v>
      </c>
      <c r="L302" s="63">
        <f t="shared" si="178"/>
        <v>252.41000000000003</v>
      </c>
      <c r="M302" s="63">
        <f t="shared" si="179"/>
        <v>710.27</v>
      </c>
      <c r="N302" s="63">
        <f t="shared" si="180"/>
        <v>487.18</v>
      </c>
      <c r="O302" s="63">
        <f t="shared" si="180"/>
        <v>260.23</v>
      </c>
      <c r="P302" s="63">
        <f t="shared" si="180"/>
        <v>2193.66</v>
      </c>
      <c r="Q302" s="63">
        <f t="shared" si="181"/>
        <v>2941.0699999999997</v>
      </c>
      <c r="R302" s="21">
        <f t="shared" si="172"/>
        <v>5789.86</v>
      </c>
    </row>
    <row r="303" spans="1:18" ht="12.75" hidden="1" outlineLevel="1">
      <c r="A303" s="23" t="s">
        <v>19</v>
      </c>
      <c r="B303" s="63">
        <f t="shared" si="182"/>
        <v>31.62</v>
      </c>
      <c r="C303" s="63">
        <f t="shared" si="182"/>
        <v>44.64</v>
      </c>
      <c r="D303" s="63">
        <f t="shared" si="182"/>
        <v>64.17</v>
      </c>
      <c r="E303" s="63">
        <f t="shared" si="175"/>
        <v>140.43</v>
      </c>
      <c r="F303" s="63">
        <f t="shared" si="176"/>
        <v>13.020000000000001</v>
      </c>
      <c r="G303" s="63">
        <f t="shared" si="176"/>
        <v>7.44</v>
      </c>
      <c r="H303" s="63">
        <f t="shared" si="176"/>
        <v>9.299999999999999</v>
      </c>
      <c r="I303" s="63">
        <f t="shared" si="177"/>
        <v>29.759999999999998</v>
      </c>
      <c r="J303" s="63">
        <f t="shared" si="178"/>
        <v>12.09</v>
      </c>
      <c r="K303" s="63">
        <f t="shared" si="178"/>
        <v>7.44</v>
      </c>
      <c r="L303" s="63">
        <f t="shared" si="178"/>
        <v>8.370000000000001</v>
      </c>
      <c r="M303" s="63">
        <f t="shared" si="179"/>
        <v>27.900000000000002</v>
      </c>
      <c r="N303" s="63">
        <f t="shared" si="180"/>
        <v>8.37</v>
      </c>
      <c r="O303" s="63">
        <f t="shared" si="180"/>
        <v>5.58</v>
      </c>
      <c r="P303" s="63">
        <f t="shared" si="180"/>
        <v>11.16</v>
      </c>
      <c r="Q303" s="63">
        <f t="shared" si="181"/>
        <v>25.11</v>
      </c>
      <c r="R303" s="21">
        <f t="shared" si="172"/>
        <v>223.20000000000002</v>
      </c>
    </row>
    <row r="304" spans="1:18" ht="12.75" hidden="1" outlineLevel="1">
      <c r="A304" s="23" t="s">
        <v>20</v>
      </c>
      <c r="B304" s="63">
        <f t="shared" si="182"/>
        <v>1321</v>
      </c>
      <c r="C304" s="63">
        <f t="shared" si="182"/>
        <v>1682.5</v>
      </c>
      <c r="D304" s="63">
        <f t="shared" si="182"/>
        <v>1582.5</v>
      </c>
      <c r="E304" s="63">
        <f t="shared" si="175"/>
        <v>4586</v>
      </c>
      <c r="F304" s="63">
        <f t="shared" si="176"/>
        <v>2562.5</v>
      </c>
      <c r="G304" s="63">
        <f t="shared" si="176"/>
        <v>654</v>
      </c>
      <c r="H304" s="63">
        <f t="shared" si="176"/>
        <v>651</v>
      </c>
      <c r="I304" s="63">
        <f t="shared" si="177"/>
        <v>3867.5</v>
      </c>
      <c r="J304" s="63">
        <f t="shared" si="178"/>
        <v>984</v>
      </c>
      <c r="K304" s="63">
        <f t="shared" si="178"/>
        <v>719</v>
      </c>
      <c r="L304" s="63">
        <f t="shared" si="178"/>
        <v>795.28</v>
      </c>
      <c r="M304" s="63">
        <f t="shared" si="179"/>
        <v>2498.2799999999997</v>
      </c>
      <c r="N304" s="63">
        <f t="shared" si="180"/>
        <v>745.5</v>
      </c>
      <c r="O304" s="63">
        <f t="shared" si="180"/>
        <v>1073</v>
      </c>
      <c r="P304" s="63">
        <f t="shared" si="180"/>
        <v>652.5</v>
      </c>
      <c r="Q304" s="63">
        <f t="shared" si="181"/>
        <v>2471</v>
      </c>
      <c r="R304" s="21">
        <f t="shared" si="172"/>
        <v>13422.779999999999</v>
      </c>
    </row>
    <row r="305" spans="1:18" ht="12.75" hidden="1" outlineLevel="1">
      <c r="A305" s="23" t="s">
        <v>72</v>
      </c>
      <c r="B305" s="63">
        <f t="shared" si="182"/>
        <v>0.84</v>
      </c>
      <c r="C305" s="63">
        <f t="shared" si="182"/>
        <v>1713.6</v>
      </c>
      <c r="D305" s="63">
        <f t="shared" si="182"/>
        <v>2046.58</v>
      </c>
      <c r="E305" s="63">
        <f t="shared" si="175"/>
        <v>3761.0199999999995</v>
      </c>
      <c r="F305" s="63">
        <f t="shared" si="176"/>
        <v>13</v>
      </c>
      <c r="G305" s="63">
        <f t="shared" si="176"/>
        <v>1.5</v>
      </c>
      <c r="H305" s="63">
        <f t="shared" si="176"/>
        <v>1.85</v>
      </c>
      <c r="I305" s="63">
        <f t="shared" si="177"/>
        <v>16.35</v>
      </c>
      <c r="J305" s="63">
        <f t="shared" si="178"/>
        <v>0.54</v>
      </c>
      <c r="K305" s="63">
        <f t="shared" si="178"/>
        <v>2.09</v>
      </c>
      <c r="L305" s="63">
        <f t="shared" si="178"/>
        <v>0.66</v>
      </c>
      <c r="M305" s="63">
        <f t="shared" si="179"/>
        <v>3.29</v>
      </c>
      <c r="N305" s="63">
        <f t="shared" si="180"/>
        <v>1.73</v>
      </c>
      <c r="O305" s="63">
        <f t="shared" si="180"/>
        <v>0.66</v>
      </c>
      <c r="P305" s="63">
        <f t="shared" si="180"/>
        <v>2.27</v>
      </c>
      <c r="Q305" s="63">
        <f t="shared" si="181"/>
        <v>4.66</v>
      </c>
      <c r="R305" s="21">
        <f t="shared" si="172"/>
        <v>3785.3199999999997</v>
      </c>
    </row>
    <row r="306" spans="1:18" ht="12.75" hidden="1" outlineLevel="1">
      <c r="A306" s="23" t="s">
        <v>21</v>
      </c>
      <c r="B306" s="63">
        <f t="shared" si="182"/>
        <v>0</v>
      </c>
      <c r="C306" s="63">
        <f t="shared" si="182"/>
        <v>0</v>
      </c>
      <c r="D306" s="63">
        <f t="shared" si="182"/>
        <v>0</v>
      </c>
      <c r="E306" s="63">
        <f t="shared" si="175"/>
        <v>0</v>
      </c>
      <c r="F306" s="63">
        <f t="shared" si="176"/>
        <v>0</v>
      </c>
      <c r="G306" s="63">
        <f t="shared" si="176"/>
        <v>0</v>
      </c>
      <c r="H306" s="63">
        <f t="shared" si="176"/>
        <v>0</v>
      </c>
      <c r="I306" s="63">
        <f t="shared" si="177"/>
        <v>0</v>
      </c>
      <c r="J306" s="63">
        <f t="shared" si="178"/>
        <v>0</v>
      </c>
      <c r="K306" s="63">
        <f t="shared" si="178"/>
        <v>0</v>
      </c>
      <c r="L306" s="63">
        <f t="shared" si="178"/>
        <v>0</v>
      </c>
      <c r="M306" s="63">
        <f t="shared" si="179"/>
        <v>0</v>
      </c>
      <c r="N306" s="63">
        <f t="shared" si="180"/>
        <v>0</v>
      </c>
      <c r="O306" s="63">
        <f t="shared" si="180"/>
        <v>0</v>
      </c>
      <c r="P306" s="63">
        <f t="shared" si="180"/>
        <v>0</v>
      </c>
      <c r="Q306" s="63">
        <f t="shared" si="181"/>
        <v>0</v>
      </c>
      <c r="R306" s="21">
        <f t="shared" si="172"/>
        <v>0</v>
      </c>
    </row>
    <row r="307" spans="1:18" ht="12.75" hidden="1" outlineLevel="1">
      <c r="A307" s="23" t="s">
        <v>22</v>
      </c>
      <c r="B307" s="63">
        <f t="shared" si="182"/>
        <v>264.12</v>
      </c>
      <c r="C307" s="63">
        <f t="shared" si="182"/>
        <v>511.2</v>
      </c>
      <c r="D307" s="63">
        <f t="shared" si="182"/>
        <v>847.74</v>
      </c>
      <c r="E307" s="63">
        <f t="shared" si="175"/>
        <v>1623.06</v>
      </c>
      <c r="F307" s="63">
        <f t="shared" si="176"/>
        <v>2521.92</v>
      </c>
      <c r="G307" s="63">
        <f t="shared" si="176"/>
        <v>532.5</v>
      </c>
      <c r="H307" s="63">
        <f t="shared" si="176"/>
        <v>805.14</v>
      </c>
      <c r="I307" s="63">
        <f t="shared" si="177"/>
        <v>3859.56</v>
      </c>
      <c r="J307" s="63">
        <f t="shared" si="178"/>
        <v>685.86</v>
      </c>
      <c r="K307" s="63">
        <f t="shared" si="178"/>
        <v>852</v>
      </c>
      <c r="L307" s="63">
        <f t="shared" si="178"/>
        <v>1013.8799999999999</v>
      </c>
      <c r="M307" s="63">
        <f t="shared" si="179"/>
        <v>2551.74</v>
      </c>
      <c r="N307" s="63">
        <f t="shared" si="180"/>
        <v>1640.1000000000001</v>
      </c>
      <c r="O307" s="63">
        <f t="shared" si="180"/>
        <v>570.84</v>
      </c>
      <c r="P307" s="63">
        <f t="shared" si="180"/>
        <v>1120.38</v>
      </c>
      <c r="Q307" s="63">
        <f t="shared" si="181"/>
        <v>3331.32</v>
      </c>
      <c r="R307" s="21">
        <f t="shared" si="172"/>
        <v>11365.679999999998</v>
      </c>
    </row>
    <row r="308" spans="1:18" ht="12.75" hidden="1" outlineLevel="1">
      <c r="A308" s="23" t="s">
        <v>61</v>
      </c>
      <c r="B308" s="63">
        <f t="shared" si="182"/>
        <v>0</v>
      </c>
      <c r="C308" s="63">
        <f t="shared" si="182"/>
        <v>0</v>
      </c>
      <c r="D308" s="63">
        <f t="shared" si="182"/>
        <v>0</v>
      </c>
      <c r="E308" s="63">
        <f t="shared" si="175"/>
        <v>0</v>
      </c>
      <c r="F308" s="63">
        <f t="shared" si="176"/>
        <v>0</v>
      </c>
      <c r="G308" s="63">
        <f t="shared" si="176"/>
        <v>0</v>
      </c>
      <c r="H308" s="63">
        <f t="shared" si="176"/>
        <v>0</v>
      </c>
      <c r="I308" s="63">
        <f t="shared" si="177"/>
        <v>0</v>
      </c>
      <c r="J308" s="63">
        <f t="shared" si="178"/>
        <v>0</v>
      </c>
      <c r="K308" s="63">
        <f t="shared" si="178"/>
        <v>0</v>
      </c>
      <c r="L308" s="63">
        <f t="shared" si="178"/>
        <v>0</v>
      </c>
      <c r="M308" s="63">
        <f t="shared" si="179"/>
        <v>0</v>
      </c>
      <c r="N308" s="63">
        <f t="shared" si="180"/>
        <v>0</v>
      </c>
      <c r="O308" s="63">
        <f t="shared" si="180"/>
        <v>0</v>
      </c>
      <c r="P308" s="63">
        <f t="shared" si="180"/>
        <v>0</v>
      </c>
      <c r="Q308" s="63">
        <f t="shared" si="181"/>
        <v>0</v>
      </c>
      <c r="R308" s="21">
        <f t="shared" si="172"/>
        <v>0</v>
      </c>
    </row>
    <row r="309" spans="1:18" ht="12.75" hidden="1" outlineLevel="1">
      <c r="A309" s="89" t="s">
        <v>49</v>
      </c>
      <c r="B309" s="33">
        <f aca="true" t="shared" si="183" ref="B309:R309">SUM(B299:B308)</f>
        <v>12957.410000000002</v>
      </c>
      <c r="C309" s="33">
        <f t="shared" si="183"/>
        <v>13914.060000000001</v>
      </c>
      <c r="D309" s="33">
        <f t="shared" si="183"/>
        <v>14504.52</v>
      </c>
      <c r="E309" s="33">
        <f t="shared" si="183"/>
        <v>41375.99</v>
      </c>
      <c r="F309" s="33">
        <f t="shared" si="183"/>
        <v>14597.54</v>
      </c>
      <c r="G309" s="33">
        <f t="shared" si="183"/>
        <v>10356.660000000002</v>
      </c>
      <c r="H309" s="33">
        <f t="shared" si="183"/>
        <v>10299.699999999999</v>
      </c>
      <c r="I309" s="33">
        <f t="shared" si="183"/>
        <v>35253.899999999994</v>
      </c>
      <c r="J309" s="33">
        <f t="shared" si="183"/>
        <v>10899.540000000003</v>
      </c>
      <c r="K309" s="33">
        <f t="shared" si="183"/>
        <v>10586.180000000002</v>
      </c>
      <c r="L309" s="33">
        <f t="shared" si="183"/>
        <v>10891.410000000002</v>
      </c>
      <c r="M309" s="33">
        <f t="shared" si="183"/>
        <v>32377.130000000005</v>
      </c>
      <c r="N309" s="33">
        <f t="shared" si="183"/>
        <v>11717.500000000002</v>
      </c>
      <c r="O309" s="33">
        <f t="shared" si="183"/>
        <v>10679.28</v>
      </c>
      <c r="P309" s="33">
        <f t="shared" si="183"/>
        <v>12749.740000000002</v>
      </c>
      <c r="Q309" s="33">
        <f t="shared" si="183"/>
        <v>35146.520000000004</v>
      </c>
      <c r="R309" s="90">
        <f t="shared" si="183"/>
        <v>144153.54</v>
      </c>
    </row>
    <row r="310" spans="1:21" ht="13.5" collapsed="1" thickBot="1">
      <c r="A310" s="84" t="s">
        <v>48</v>
      </c>
      <c r="B310" s="49">
        <f>B309+B298</f>
        <v>12957.410000000002</v>
      </c>
      <c r="C310" s="49">
        <f>C309+C298</f>
        <v>13914.060000000001</v>
      </c>
      <c r="D310" s="49">
        <f>D309+D298</f>
        <v>37201.09</v>
      </c>
      <c r="E310" s="49">
        <f>SUM(B310:D310)</f>
        <v>64072.56</v>
      </c>
      <c r="F310" s="49">
        <f>F309+F298</f>
        <v>25327.83</v>
      </c>
      <c r="G310" s="49">
        <f>G309+G298</f>
        <v>23942.270000000004</v>
      </c>
      <c r="H310" s="49">
        <f>H309+H298</f>
        <v>10299.699999999999</v>
      </c>
      <c r="I310" s="49">
        <f>SUM(F310:H310)</f>
        <v>59569.8</v>
      </c>
      <c r="J310" s="49">
        <f>J309+J298</f>
        <v>10899.540000000003</v>
      </c>
      <c r="K310" s="49">
        <f>K309+K298</f>
        <v>10586.180000000002</v>
      </c>
      <c r="L310" s="49">
        <f>L309+L298</f>
        <v>10891.410000000002</v>
      </c>
      <c r="M310" s="49">
        <f>SUM(J310:L310)</f>
        <v>32377.130000000005</v>
      </c>
      <c r="N310" s="49">
        <f>N309+N298</f>
        <v>11717.500000000002</v>
      </c>
      <c r="O310" s="49">
        <f>O309+O298</f>
        <v>10679.28</v>
      </c>
      <c r="P310" s="49">
        <f>P309+P298</f>
        <v>61666.97</v>
      </c>
      <c r="Q310" s="49">
        <f>SUM(N310:P310)</f>
        <v>84063.75</v>
      </c>
      <c r="R310" s="96">
        <f>Q310+M310+I310+E310</f>
        <v>240083.24</v>
      </c>
      <c r="S310" s="65">
        <f>((B299/0.12)+(C299/0.12)+(D299/0.12)+(F299/0.12)+(G299/0.12)+(H299/0.12)+(J299/0.12)+(K299/0.12)+(L299/0.12)+(N299/0.12)+(O299/0.12)+(P299/0.12))/12</f>
        <v>59240.416666666664</v>
      </c>
      <c r="T310" s="54">
        <f>IF(R310&gt;0,R310/S310,0)</f>
        <v>4.052693304824269</v>
      </c>
      <c r="U310" s="66">
        <f>IF(R301&gt;0,R301/R310,0)</f>
        <v>0.04182374413141043</v>
      </c>
    </row>
  </sheetData>
  <mergeCells count="1">
    <mergeCell ref="A1:Q1"/>
  </mergeCells>
  <printOptions/>
  <pageMargins left="0.75" right="0.6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Woodmansee</dc:creator>
  <cp:keywords/>
  <dc:description/>
  <cp:lastModifiedBy>jim.woodmansee</cp:lastModifiedBy>
  <cp:lastPrinted>2003-12-30T20:18:34Z</cp:lastPrinted>
  <dcterms:created xsi:type="dcterms:W3CDTF">1999-03-26T17:55:43Z</dcterms:created>
  <dcterms:modified xsi:type="dcterms:W3CDTF">2004-01-09T15:37:17Z</dcterms:modified>
  <cp:category/>
  <cp:version/>
  <cp:contentType/>
  <cp:contentStatus/>
</cp:coreProperties>
</file>