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7770" activeTab="3"/>
  </bookViews>
  <sheets>
    <sheet name="Appndx O" sheetId="1" r:id="rId1"/>
    <sheet name="Charge per Tag FY 2006" sheetId="2" r:id="rId2"/>
    <sheet name="Captol Cost FY 2006" sheetId="3" r:id="rId3"/>
    <sheet name="Labor Cost FY 2006" sheetId="4" r:id="rId4"/>
  </sheets>
  <externalReferences>
    <externalReference r:id="rId7"/>
    <externalReference r:id="rId8"/>
  </externalReferences>
  <definedNames>
    <definedName name="Budget">'[1]Budget'!#REF!</definedName>
    <definedName name="Budget_To_Apportionment">'[1]For Apportionment Study'!#REF!</definedName>
    <definedName name="Cost_Apportionment_Study_FY2001">#REF!</definedName>
    <definedName name="Cost_Apportionment_Study_FY2002">#REF!</definedName>
    <definedName name="Investment">#REF!</definedName>
    <definedName name="_xlnm.Print_Area" localSheetId="2">'Captol Cost FY 2006'!$A$1:$H$41</definedName>
    <definedName name="Rate_Design_FY2001">#REF!</definedName>
    <definedName name="Rate_Design_FY2002">#REF!</definedName>
  </definedNames>
  <calcPr fullCalcOnLoad="1"/>
</workbook>
</file>

<file path=xl/sharedStrings.xml><?xml version="1.0" encoding="utf-8"?>
<sst xmlns="http://schemas.openxmlformats.org/spreadsheetml/2006/main" count="104" uniqueCount="84">
  <si>
    <t>Capital Cost Calculations</t>
  </si>
  <si>
    <t>Work Order No.</t>
  </si>
  <si>
    <t>Replacement Investment</t>
  </si>
  <si>
    <t>Addition Investment</t>
  </si>
  <si>
    <t>Percentage Rate</t>
  </si>
  <si>
    <t>Annual Capitorl Cost</t>
  </si>
  <si>
    <t>Total</t>
  </si>
  <si>
    <t xml:space="preserve">Annuity Factor </t>
  </si>
  <si>
    <t>SCADA Cost</t>
  </si>
  <si>
    <t>32 Years</t>
  </si>
  <si>
    <t>50 Years</t>
  </si>
  <si>
    <t>Replacement</t>
  </si>
  <si>
    <t>Addition</t>
  </si>
  <si>
    <t>PerCent</t>
  </si>
  <si>
    <t>32 Year</t>
  </si>
  <si>
    <t>50 Year</t>
  </si>
  <si>
    <t>PHS 0028C</t>
  </si>
  <si>
    <t>PHS 0058B</t>
  </si>
  <si>
    <t>PHS 0034B</t>
  </si>
  <si>
    <t>PHS 0061B</t>
  </si>
  <si>
    <t>PHS 0066B</t>
  </si>
  <si>
    <t>Interpelation</t>
  </si>
  <si>
    <t>PHS 0048C</t>
  </si>
  <si>
    <t>PHS 0077B</t>
  </si>
  <si>
    <t>Annual Capital Cost for SCADA</t>
  </si>
  <si>
    <t>Dispatch Center</t>
  </si>
  <si>
    <t>PHS 0023</t>
  </si>
  <si>
    <t>PHS 0053C</t>
  </si>
  <si>
    <t>PHS 0054B</t>
  </si>
  <si>
    <t xml:space="preserve">Work Order </t>
  </si>
  <si>
    <t>PHS 0068B</t>
  </si>
  <si>
    <t>Annual Capital Cost for Dispatch Center</t>
  </si>
  <si>
    <t>Total Annual Capital Cost</t>
  </si>
  <si>
    <t>Total Number of Tags/year</t>
  </si>
  <si>
    <t>G4200 Estimate</t>
  </si>
  <si>
    <t>Annual Capitol Cost per Tag</t>
  </si>
  <si>
    <t>#</t>
  </si>
  <si>
    <t>hours worked per day</t>
  </si>
  <si>
    <t>days worked per year</t>
  </si>
  <si>
    <t>Total hours per year</t>
  </si>
  <si>
    <t>% of time spent on tagging</t>
  </si>
  <si>
    <t>hours spent on tagging per year</t>
  </si>
  <si>
    <t>% of  tagging time</t>
  </si>
  <si>
    <t>Average mins per Tag</t>
  </si>
  <si>
    <t>Cost per Tag</t>
  </si>
  <si>
    <t>Pre-Schedulers</t>
  </si>
  <si>
    <t>x</t>
  </si>
  <si>
    <t>=</t>
  </si>
  <si>
    <t>Real-time Schedulers</t>
  </si>
  <si>
    <t>Post-Schedulers</t>
  </si>
  <si>
    <t>-</t>
  </si>
  <si>
    <t>G4200 Support</t>
  </si>
  <si>
    <t>TOTAL</t>
  </si>
  <si>
    <t>Tag Count (as Authority) for FY04</t>
  </si>
  <si>
    <t>Tags / hr</t>
  </si>
  <si>
    <t>- WALC Total</t>
  </si>
  <si>
    <t>- WALC as TP</t>
  </si>
  <si>
    <t>Tags / min</t>
  </si>
  <si>
    <t>Min/ Tag</t>
  </si>
  <si>
    <t>Percentage of tags</t>
  </si>
  <si>
    <t>where WALC is NOT</t>
  </si>
  <si>
    <t xml:space="preserve">a TP = </t>
  </si>
  <si>
    <t>G4100</t>
  </si>
  <si>
    <t>G4200</t>
  </si>
  <si>
    <t xml:space="preserve">Integrated Labor Hourly Cost </t>
  </si>
  <si>
    <t xml:space="preserve">    (Including benefits)</t>
  </si>
  <si>
    <t xml:space="preserve">Overhead Expenses </t>
  </si>
  <si>
    <t>Hourly Cost</t>
  </si>
  <si>
    <t>Cost per minute</t>
  </si>
  <si>
    <t xml:space="preserve">Maximum Cost </t>
  </si>
  <si>
    <t>Labor Cost</t>
  </si>
  <si>
    <t>per Tag</t>
  </si>
  <si>
    <t>Appendix O</t>
  </si>
  <si>
    <t>Maximum Cost per Tag</t>
  </si>
  <si>
    <t>Capitol cost +</t>
  </si>
  <si>
    <t xml:space="preserve">for SCADA and Control Building </t>
  </si>
  <si>
    <t>CALCULATION OF LABOR COSTS</t>
  </si>
  <si>
    <t>Job Description</t>
  </si>
  <si>
    <t>Budget Cost per hour</t>
  </si>
  <si>
    <t>/2  Number of minutes multiplied by labor cost for G4200</t>
  </si>
  <si>
    <t>/3  Number of minutes multiplied by labor cost for G4100</t>
  </si>
  <si>
    <t>/1  Percent of tagging time multiplied by the number of minutes per tag</t>
  </si>
  <si>
    <t xml:space="preserve">Scheduling, System Control, and </t>
  </si>
  <si>
    <t>Dispatch Ancillary Service Rate Design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</si>
</sst>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kW&quot;"/>
    <numFmt numFmtId="165" formatCode="0&quot; kW&quot;"/>
    <numFmt numFmtId="166" formatCode="0.00&quot;/kW-mo&quot;"/>
    <numFmt numFmtId="167" formatCode="_(&quot;$&quot;* #,##0_);_(&quot;$&quot;* \(#,##0\);_(&quot;$&quot;* &quot;-&quot;??_);_(@_)"/>
    <numFmt numFmtId="168" formatCode="0.0%"/>
    <numFmt numFmtId="169" formatCode="0.000%"/>
    <numFmt numFmtId="170" formatCode="0\ &quot;/&quot;"/>
    <numFmt numFmtId="171" formatCode="0.0000000%"/>
    <numFmt numFmtId="172" formatCode="0.0000000000"/>
    <numFmt numFmtId="173" formatCode="_(* #,##0_);_(* \(#,##0\);_(* &quot;-&quot;??_);_(@_)"/>
    <numFmt numFmtId="174" formatCode="&quot;$&quot;#,##0.00&quot; kW/Yr&quot;"/>
    <numFmt numFmtId="175" formatCode="#,##0&quot; MWhr&quot;"/>
    <numFmt numFmtId="176" formatCode="#,##0.0000_)&quot;mills/kWhr&quot;;\(#,##0.0000\)"/>
    <numFmt numFmtId="177" formatCode="#,##0&quot; MWH&quot;"/>
    <numFmt numFmtId="178" formatCode="#,##0_)&quot; kW&quot;;[Red]\(#,##0\)"/>
    <numFmt numFmtId="179" formatCode="0.000&quot; mills/kWh&quot;"/>
    <numFmt numFmtId="180" formatCode="&quot;$&quot;#,##0.000_);\(&quot;$&quot;#,##0.000\)"/>
    <numFmt numFmtId="181" formatCode="&quot;$&quot;#,##0.00000_);\(&quot;$&quot;#,##0.00000\)"/>
    <numFmt numFmtId="182" formatCode="&quot;$&quot;#,##0.0_);\(&quot;$&quot;#,##0.0\)"/>
    <numFmt numFmtId="183" formatCode="#,##0.0000_);[Red]\(#,##0.0000\)"/>
    <numFmt numFmtId="184" formatCode="#,##0.000_);[Red]\(#,##0.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&quot;$&quot;* #,##0.00_)&quot;/1&quot;;_(&quot;$&quot;* \(#,##0.00\);_(&quot;$&quot;* &quot;-&quot;??_);_(@_)"/>
    <numFmt numFmtId="190" formatCode="_(&quot;$&quot;* #,##0.00_)&quot;/2&quot;;_(&quot;$&quot;* \(#,##0.00\);_(&quot;$&quot;* &quot;-&quot;??_);_(@_)"/>
    <numFmt numFmtId="191" formatCode="0.0000"/>
    <numFmt numFmtId="192" formatCode="0.000"/>
    <numFmt numFmtId="193" formatCode="0.00&quot;\1&quot;"/>
    <numFmt numFmtId="194" formatCode="0.00&quot; \1&quot;"/>
    <numFmt numFmtId="195" formatCode="0.00&quot; /1&quot;"/>
    <numFmt numFmtId="196" formatCode="_(&quot;$&quot;* #,##0.00_)&quot;/3&quot;;_(&quot;$&quot;* \(#,##0.00\);_(&quot;$&quot;* &quot;-&quot;??_);_(@_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8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7" fontId="0" fillId="0" borderId="3" xfId="22" applyNumberFormat="1" applyBorder="1" applyAlignment="1">
      <alignment horizontal="center"/>
    </xf>
    <xf numFmtId="169" fontId="0" fillId="0" borderId="3" xfId="25" applyNumberFormat="1" applyBorder="1" applyAlignment="1">
      <alignment horizontal="center"/>
    </xf>
    <xf numFmtId="169" fontId="0" fillId="0" borderId="0" xfId="25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167" fontId="0" fillId="0" borderId="3" xfId="22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167" fontId="0" fillId="0" borderId="5" xfId="22" applyNumberFormat="1" applyBorder="1" applyAlignment="1">
      <alignment horizontal="center"/>
    </xf>
    <xf numFmtId="0" fontId="0" fillId="0" borderId="5" xfId="0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7" fontId="5" fillId="0" borderId="3" xfId="22" applyNumberFormat="1" applyFont="1" applyBorder="1" applyAlignment="1">
      <alignment horizontal="center"/>
    </xf>
    <xf numFmtId="173" fontId="0" fillId="0" borderId="5" xfId="15" applyNumberFormat="1" applyBorder="1" applyAlignment="1">
      <alignment horizontal="center"/>
    </xf>
    <xf numFmtId="170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4" fontId="7" fillId="0" borderId="5" xfId="22" applyFont="1" applyBorder="1" applyAlignment="1">
      <alignment horizontal="center"/>
    </xf>
    <xf numFmtId="9" fontId="0" fillId="0" borderId="0" xfId="25" applyAlignment="1">
      <alignment/>
    </xf>
    <xf numFmtId="173" fontId="0" fillId="0" borderId="0" xfId="15" applyNumberForma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 quotePrefix="1">
      <alignment/>
    </xf>
    <xf numFmtId="173" fontId="0" fillId="0" borderId="4" xfId="15" applyNumberFormat="1" applyBorder="1" applyAlignment="1">
      <alignment/>
    </xf>
    <xf numFmtId="9" fontId="0" fillId="0" borderId="4" xfId="25" applyBorder="1" applyAlignment="1">
      <alignment/>
    </xf>
    <xf numFmtId="9" fontId="5" fillId="0" borderId="0" xfId="25" applyFont="1" applyAlignment="1">
      <alignment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/>
    </xf>
    <xf numFmtId="44" fontId="5" fillId="0" borderId="0" xfId="21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3" fontId="0" fillId="0" borderId="0" xfId="15" applyNumberFormat="1" applyFont="1" applyAlignment="1">
      <alignment/>
    </xf>
    <xf numFmtId="0" fontId="0" fillId="0" borderId="9" xfId="0" applyBorder="1" applyAlignment="1" quotePrefix="1">
      <alignment/>
    </xf>
    <xf numFmtId="173" fontId="5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7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0" fillId="0" borderId="0" xfId="21" applyBorder="1" applyAlignment="1">
      <alignment/>
    </xf>
    <xf numFmtId="44" fontId="0" fillId="0" borderId="10" xfId="21" applyBorder="1" applyAlignment="1">
      <alignment/>
    </xf>
    <xf numFmtId="44" fontId="0" fillId="0" borderId="0" xfId="0" applyNumberFormat="1" applyBorder="1" applyAlignment="1">
      <alignment/>
    </xf>
    <xf numFmtId="44" fontId="0" fillId="0" borderId="10" xfId="0" applyNumberFormat="1" applyBorder="1" applyAlignment="1">
      <alignment/>
    </xf>
    <xf numFmtId="5" fontId="0" fillId="0" borderId="0" xfId="20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 quotePrefix="1">
      <alignment horizontal="center"/>
    </xf>
    <xf numFmtId="5" fontId="0" fillId="0" borderId="0" xfId="19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 quotePrefix="1">
      <alignment/>
    </xf>
    <xf numFmtId="5" fontId="6" fillId="0" borderId="0" xfId="20" applyFont="1" applyAlignment="1">
      <alignment/>
    </xf>
    <xf numFmtId="5" fontId="0" fillId="0" borderId="0" xfId="2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9" fontId="6" fillId="0" borderId="0" xfId="25" applyFont="1" applyAlignment="1">
      <alignment horizontal="centerContinuous"/>
    </xf>
    <xf numFmtId="173" fontId="6" fillId="0" borderId="0" xfId="15" applyNumberFormat="1" applyFont="1" applyAlignment="1">
      <alignment horizontal="centerContinuous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 wrapText="1"/>
    </xf>
    <xf numFmtId="9" fontId="5" fillId="0" borderId="4" xfId="25" applyFont="1" applyBorder="1" applyAlignment="1">
      <alignment horizontal="right" wrapText="1"/>
    </xf>
    <xf numFmtId="173" fontId="5" fillId="0" borderId="4" xfId="15" applyNumberFormat="1" applyFont="1" applyBorder="1" applyAlignment="1">
      <alignment horizontal="right" wrapText="1"/>
    </xf>
    <xf numFmtId="190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195" fontId="0" fillId="0" borderId="4" xfId="0" applyNumberFormat="1" applyBorder="1" applyAlignment="1">
      <alignment/>
    </xf>
    <xf numFmtId="196" fontId="0" fillId="0" borderId="4" xfId="0" applyNumberFormat="1" applyBorder="1" applyAlignment="1">
      <alignment/>
    </xf>
    <xf numFmtId="0" fontId="5" fillId="0" borderId="0" xfId="0" applyFont="1" applyBorder="1" applyAlignment="1">
      <alignment/>
    </xf>
    <xf numFmtId="189" fontId="0" fillId="0" borderId="7" xfId="0" applyNumberFormat="1" applyBorder="1" applyAlignment="1">
      <alignment/>
    </xf>
    <xf numFmtId="195" fontId="0" fillId="0" borderId="7" xfId="0" applyNumberFormat="1" applyBorder="1" applyAlignment="1">
      <alignment/>
    </xf>
    <xf numFmtId="195" fontId="0" fillId="0" borderId="0" xfId="0" applyNumberFormat="1" applyBorder="1" applyAlignment="1">
      <alignment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5" fontId="6" fillId="0" borderId="0" xfId="20" applyFont="1" applyAlignment="1">
      <alignment horizontal="centerContinuous"/>
    </xf>
    <xf numFmtId="5" fontId="8" fillId="0" borderId="0" xfId="20" applyFont="1" applyAlignment="1">
      <alignment horizontal="centerContinuous"/>
    </xf>
    <xf numFmtId="5" fontId="9" fillId="0" borderId="0" xfId="2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5" fontId="9" fillId="0" borderId="0" xfId="20" applyFont="1" applyAlignment="1">
      <alignment horizontal="centerContinuous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Currency [0]_basis for template1" xfId="19"/>
    <cellStyle name="Currency_basis for template1" xfId="20"/>
    <cellStyle name="Currency_Cost per Tag 04" xfId="21"/>
    <cellStyle name="Currency_SD1-CALC2006" xfId="22"/>
    <cellStyle name="Followed Hyperlink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INGRONC_CPQPOOL_SERVER\DATA\Groups\G6100\Parker-Davis%20Project\RATE\FY05\CAS6-2Rev8-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INGRONC_CPQPOOL_SERVER\DATA\Groups\G6100\Parker-Davis%20Project\RATE\FY05\ProjectedAverageAnnualCrod%20(04-28-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For Apportionment Study"/>
      <sheetName val="Avg Rev"/>
      <sheetName val="2005"/>
      <sheetName val="2006"/>
      <sheetName val="2007"/>
      <sheetName val="2008"/>
      <sheetName val="2009"/>
      <sheetName val="2010"/>
      <sheetName val="PRS Check"/>
      <sheetName val="2003 Rate"/>
      <sheetName val="2004 Rate"/>
      <sheetName val="Cost Eval Comparison"/>
      <sheetName val="Rates"/>
      <sheetName val="Rates (v2)"/>
      <sheetName val="Rates Comparison"/>
      <sheetName val="2011"/>
      <sheetName val="2012"/>
      <sheetName val="2013"/>
      <sheetName val="2014"/>
      <sheetName val="2007 (2)"/>
      <sheetName val="INVESTMENTS"/>
      <sheetName val="Movable Prop"/>
      <sheetName val="Sheet1"/>
      <sheetName val="Purchase Power"/>
      <sheetName val="Trans"/>
      <sheetName val="Generation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AverageAnnualCrod"/>
      <sheetName val="AssAverageAnnualCrod P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2" sqref="A2:I3"/>
    </sheetView>
  </sheetViews>
  <sheetFormatPr defaultColWidth="9.140625" defaultRowHeight="12.75"/>
  <sheetData>
    <row r="1" spans="1:9" ht="23.25">
      <c r="A1" s="87"/>
      <c r="B1" s="88" t="s">
        <v>72</v>
      </c>
      <c r="C1" s="89"/>
      <c r="D1" s="89"/>
      <c r="E1" s="89"/>
      <c r="F1" s="89"/>
      <c r="G1" s="89"/>
      <c r="H1" s="89"/>
      <c r="I1" s="89"/>
    </row>
    <row r="2" spans="1:9" ht="23.25">
      <c r="A2" s="90" t="s">
        <v>82</v>
      </c>
      <c r="B2" s="90"/>
      <c r="C2" s="89"/>
      <c r="D2" s="89"/>
      <c r="E2" s="89"/>
      <c r="F2" s="89"/>
      <c r="G2" s="89"/>
      <c r="H2" s="89"/>
      <c r="I2" s="89"/>
    </row>
    <row r="3" spans="1:9" ht="23.25">
      <c r="A3" s="91" t="s">
        <v>83</v>
      </c>
      <c r="B3" s="86"/>
      <c r="C3" s="66"/>
      <c r="D3" s="66"/>
      <c r="E3" s="66"/>
      <c r="F3" s="66"/>
      <c r="G3" s="66"/>
      <c r="H3" s="66"/>
      <c r="I3" s="66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&amp;LAppendix 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10"/>
  <sheetViews>
    <sheetView workbookViewId="0" topLeftCell="A1">
      <selection activeCell="B2" sqref="B2"/>
    </sheetView>
  </sheetViews>
  <sheetFormatPr defaultColWidth="9.140625" defaultRowHeight="12.75"/>
  <cols>
    <col min="1" max="1" width="13.421875" style="0" bestFit="1" customWidth="1"/>
    <col min="2" max="2" width="10.00390625" style="0" bestFit="1" customWidth="1"/>
    <col min="3" max="3" width="2.140625" style="0" customWidth="1"/>
    <col min="4" max="4" width="16.8515625" style="0" bestFit="1" customWidth="1"/>
    <col min="7" max="7" width="14.00390625" style="0" bestFit="1" customWidth="1"/>
  </cols>
  <sheetData>
    <row r="1" spans="1:2" ht="15.75">
      <c r="A1" s="57"/>
      <c r="B1" s="63"/>
    </row>
    <row r="2" spans="1:4" ht="15.75">
      <c r="A2" s="64"/>
      <c r="B2" s="4" t="s">
        <v>73</v>
      </c>
      <c r="C2" s="66"/>
      <c r="D2" s="66"/>
    </row>
    <row r="3" spans="1:2" ht="12.75">
      <c r="A3" s="57"/>
      <c r="B3" s="58"/>
    </row>
    <row r="4" spans="1:2" ht="15.75">
      <c r="A4" s="57"/>
      <c r="B4" s="63"/>
    </row>
    <row r="5" spans="1:4" ht="12.75">
      <c r="A5" s="38"/>
      <c r="B5" s="38"/>
      <c r="C5" s="38"/>
      <c r="D5" s="38" t="s">
        <v>69</v>
      </c>
    </row>
    <row r="6" spans="1:9" ht="12.75">
      <c r="A6" s="58" t="s">
        <v>74</v>
      </c>
      <c r="B6" s="58" t="s">
        <v>70</v>
      </c>
      <c r="C6" s="59" t="s">
        <v>47</v>
      </c>
      <c r="D6" s="58" t="s">
        <v>71</v>
      </c>
      <c r="I6" s="60"/>
    </row>
    <row r="7" spans="1:7" ht="12.75">
      <c r="A7" s="61">
        <f>'Captol Cost FY 2006'!E41</f>
        <v>14.345739063821938</v>
      </c>
      <c r="B7" s="61">
        <f>'Labor Cost FY 2006'!R14</f>
        <v>4.197226984116807</v>
      </c>
      <c r="D7" s="62">
        <f>ROUNDUP(A7+B7,2)</f>
        <v>18.55</v>
      </c>
      <c r="G7" s="57"/>
    </row>
    <row r="8" spans="4:7" ht="12.75">
      <c r="D8" s="62"/>
      <c r="G8" s="57"/>
    </row>
    <row r="9" ht="12.75">
      <c r="G9" s="57"/>
    </row>
    <row r="10" ht="12.75">
      <c r="G10" s="57"/>
    </row>
  </sheetData>
  <printOptions/>
  <pageMargins left="0.75" right="0.75" top="1" bottom="1" header="0.5" footer="0.5"/>
  <pageSetup horizontalDpi="600" verticalDpi="600" orientation="portrait" scale="205" r:id="rId1"/>
  <headerFooter alignWithMargins="0">
    <oddFooter>&amp;LAppendix O&amp;R&amp;P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20">
      <selection activeCell="D41" sqref="D41"/>
    </sheetView>
  </sheetViews>
  <sheetFormatPr defaultColWidth="9.140625" defaultRowHeight="12.75"/>
  <cols>
    <col min="1" max="1" width="11.57421875" style="0" customWidth="1"/>
    <col min="2" max="2" width="15.140625" style="0" bestFit="1" customWidth="1"/>
    <col min="3" max="3" width="13.7109375" style="0" customWidth="1"/>
    <col min="4" max="4" width="11.140625" style="0" customWidth="1"/>
    <col min="5" max="5" width="16.28125" style="0" customWidth="1"/>
    <col min="6" max="6" width="11.28125" style="0" customWidth="1"/>
    <col min="7" max="7" width="16.421875" style="0" customWidth="1"/>
    <col min="8" max="8" width="11.28125" style="0" bestFit="1" customWidth="1"/>
    <col min="9" max="9" width="0" style="0" hidden="1" customWidth="1"/>
    <col min="10" max="11" width="12.57421875" style="0" hidden="1" customWidth="1"/>
  </cols>
  <sheetData>
    <row r="1" spans="1:4" ht="12.75">
      <c r="A1" s="1"/>
      <c r="D1" s="2"/>
    </row>
    <row r="2" spans="1:4" ht="12.75">
      <c r="A2" s="1"/>
      <c r="D2" s="2"/>
    </row>
    <row r="3" spans="1:4" ht="15.75">
      <c r="A3" s="3"/>
      <c r="D3" s="4" t="s">
        <v>0</v>
      </c>
    </row>
    <row r="4" spans="1:4" ht="15.75">
      <c r="A4" s="3"/>
      <c r="D4" s="4" t="s">
        <v>75</v>
      </c>
    </row>
    <row r="5" spans="1:3" ht="12.75">
      <c r="A5" s="3"/>
      <c r="C5" s="5"/>
    </row>
    <row r="6" spans="1:11" ht="26.25" thickBot="1">
      <c r="A6" s="6"/>
      <c r="B6" s="7" t="s">
        <v>1</v>
      </c>
      <c r="C6" s="8" t="s">
        <v>2</v>
      </c>
      <c r="D6" s="8" t="s">
        <v>3</v>
      </c>
      <c r="E6" s="8" t="s">
        <v>4</v>
      </c>
      <c r="F6" s="82" t="s">
        <v>5</v>
      </c>
      <c r="G6" s="83"/>
      <c r="H6" s="8" t="s">
        <v>6</v>
      </c>
      <c r="I6" s="84" t="s">
        <v>7</v>
      </c>
      <c r="J6" s="85"/>
      <c r="K6" s="85"/>
    </row>
    <row r="7" spans="1:11" ht="12.75">
      <c r="A7" s="9" t="s">
        <v>8</v>
      </c>
      <c r="C7" s="10" t="s">
        <v>9</v>
      </c>
      <c r="D7" s="10" t="s">
        <v>10</v>
      </c>
      <c r="E7" s="11"/>
      <c r="F7" s="11" t="s">
        <v>11</v>
      </c>
      <c r="G7" s="11" t="s">
        <v>12</v>
      </c>
      <c r="H7" s="11"/>
      <c r="I7" t="s">
        <v>13</v>
      </c>
      <c r="J7" t="s">
        <v>14</v>
      </c>
      <c r="K7" t="s">
        <v>15</v>
      </c>
    </row>
    <row r="8" spans="1:11" ht="12.75">
      <c r="A8" s="9"/>
      <c r="B8" s="5" t="s">
        <v>16</v>
      </c>
      <c r="C8" s="12">
        <v>17531971</v>
      </c>
      <c r="D8" s="12"/>
      <c r="E8" s="13">
        <v>0.08875</v>
      </c>
      <c r="F8" s="12">
        <v>1665575</v>
      </c>
      <c r="G8" s="12"/>
      <c r="H8" s="10"/>
      <c r="I8" s="14">
        <v>0.08875</v>
      </c>
      <c r="J8" s="15">
        <f>F8/C8</f>
        <v>0.09500215349432188</v>
      </c>
      <c r="K8" s="16">
        <v>0.08993526665</v>
      </c>
    </row>
    <row r="9" spans="1:11" ht="12.75">
      <c r="A9" s="9"/>
      <c r="B9" s="5"/>
      <c r="C9" s="12"/>
      <c r="D9" s="12"/>
      <c r="E9" s="13"/>
      <c r="F9" s="12"/>
      <c r="G9" s="12"/>
      <c r="H9" s="10"/>
      <c r="I9" s="14">
        <v>0.0725</v>
      </c>
      <c r="J9" s="16">
        <v>0.08114017</v>
      </c>
      <c r="K9" s="16">
        <v>0.0747583683</v>
      </c>
    </row>
    <row r="10" spans="1:11" ht="12.75">
      <c r="A10" s="9"/>
      <c r="B10" s="5" t="s">
        <v>17</v>
      </c>
      <c r="C10" s="12">
        <v>139004.67</v>
      </c>
      <c r="D10" s="12"/>
      <c r="E10" s="13">
        <v>0.0575</v>
      </c>
      <c r="F10" s="17">
        <f>C10*J14</f>
        <v>9596.540701619739</v>
      </c>
      <c r="G10" s="18"/>
      <c r="H10" s="10"/>
      <c r="I10" s="14">
        <v>0.07125</v>
      </c>
      <c r="J10" s="16">
        <v>0.0801041826</v>
      </c>
      <c r="K10" s="16">
        <v>0.0736070997</v>
      </c>
    </row>
    <row r="11" spans="1:11" ht="12.75">
      <c r="A11" s="3"/>
      <c r="B11" s="5"/>
      <c r="C11" s="12"/>
      <c r="D11" s="12"/>
      <c r="E11" s="13"/>
      <c r="F11" s="12"/>
      <c r="G11" s="12"/>
      <c r="H11" s="10"/>
      <c r="I11" s="14">
        <v>0.06875</v>
      </c>
      <c r="J11" s="16">
        <v>0.0780464483</v>
      </c>
      <c r="K11" s="16">
        <v>0.0713167597</v>
      </c>
    </row>
    <row r="12" spans="1:11" ht="12.75">
      <c r="A12" s="3"/>
      <c r="B12" s="5" t="s">
        <v>18</v>
      </c>
      <c r="C12" s="12">
        <v>93668</v>
      </c>
      <c r="D12" s="12"/>
      <c r="E12" s="13">
        <v>0.07125</v>
      </c>
      <c r="F12" s="12">
        <f>J10*C12</f>
        <v>7503.198575776801</v>
      </c>
      <c r="G12" s="12"/>
      <c r="H12" s="10"/>
      <c r="I12" s="14">
        <v>0.0625</v>
      </c>
      <c r="J12" s="16">
        <v>0.0729889235</v>
      </c>
      <c r="K12" s="16">
        <v>0.0656689327</v>
      </c>
    </row>
    <row r="13" spans="1:11" ht="12.75">
      <c r="A13" s="3"/>
      <c r="B13" s="5"/>
      <c r="C13" s="12"/>
      <c r="D13" s="12"/>
      <c r="E13" s="13"/>
      <c r="F13" s="12"/>
      <c r="G13" s="17"/>
      <c r="H13" s="10"/>
      <c r="I13" s="14">
        <v>0.06</v>
      </c>
      <c r="J13" s="16">
        <v>0.0710023374</v>
      </c>
      <c r="K13" s="16">
        <v>0.0634442864</v>
      </c>
    </row>
    <row r="14" spans="1:11" ht="12.75">
      <c r="A14" s="3"/>
      <c r="B14" s="5" t="s">
        <v>19</v>
      </c>
      <c r="C14" s="12">
        <v>602606</v>
      </c>
      <c r="D14" s="12"/>
      <c r="E14" s="13">
        <v>0.0575</v>
      </c>
      <c r="F14" s="17">
        <f>C14*J14</f>
        <v>41602.436853670195</v>
      </c>
      <c r="G14" s="12"/>
      <c r="H14" s="10"/>
      <c r="I14" s="14">
        <v>0.0575</v>
      </c>
      <c r="J14" s="16">
        <v>0.0690375417</v>
      </c>
      <c r="K14" s="16">
        <v>0.062413281</v>
      </c>
    </row>
    <row r="15" spans="1:11" ht="12.75">
      <c r="A15" s="3"/>
      <c r="B15" s="5"/>
      <c r="C15" s="12"/>
      <c r="D15" s="12"/>
      <c r="E15" s="13"/>
      <c r="F15" s="12"/>
      <c r="G15" s="12"/>
      <c r="H15" s="10"/>
      <c r="I15" s="14">
        <v>0.05125</v>
      </c>
      <c r="J15" s="16">
        <v>0.0642251672</v>
      </c>
      <c r="K15" s="16">
        <v>0.0558380691</v>
      </c>
    </row>
    <row r="16" spans="1:8" ht="12.75">
      <c r="A16" s="3"/>
      <c r="B16" s="5" t="s">
        <v>20</v>
      </c>
      <c r="C16" s="12">
        <v>93454</v>
      </c>
      <c r="D16" s="12">
        <v>40051</v>
      </c>
      <c r="E16" s="13">
        <v>0.0625</v>
      </c>
      <c r="F16" s="17">
        <f>C16*J12</f>
        <v>6821.106856769</v>
      </c>
      <c r="G16" s="17">
        <f>D16*K12</f>
        <v>2630.1064235677</v>
      </c>
      <c r="H16" s="10"/>
    </row>
    <row r="17" spans="1:9" ht="12.75">
      <c r="A17" s="3"/>
      <c r="B17" s="5"/>
      <c r="C17" s="12"/>
      <c r="D17" s="12"/>
      <c r="E17" s="13"/>
      <c r="F17" s="12"/>
      <c r="G17" s="12"/>
      <c r="H17" s="10"/>
      <c r="I17" t="s">
        <v>21</v>
      </c>
    </row>
    <row r="18" spans="1:11" ht="12.75">
      <c r="A18" s="3"/>
      <c r="B18" s="5" t="s">
        <v>22</v>
      </c>
      <c r="C18" s="12">
        <v>232624</v>
      </c>
      <c r="D18" s="12"/>
      <c r="E18" s="13">
        <v>0.0725</v>
      </c>
      <c r="F18" s="12">
        <v>18875</v>
      </c>
      <c r="G18" s="19"/>
      <c r="H18" s="19"/>
      <c r="I18" s="14">
        <v>0.0875</v>
      </c>
      <c r="J18">
        <v>0.0939118586</v>
      </c>
      <c r="K18">
        <v>0.0888401268</v>
      </c>
    </row>
    <row r="19" spans="1:11" ht="12.75">
      <c r="A19" s="3"/>
      <c r="B19" s="5"/>
      <c r="C19" s="12"/>
      <c r="D19" s="12"/>
      <c r="E19" s="10"/>
      <c r="F19" s="10"/>
      <c r="G19" s="10"/>
      <c r="H19" s="10"/>
      <c r="I19" s="14">
        <v>0.09</v>
      </c>
      <c r="J19">
        <v>0.0960961861</v>
      </c>
      <c r="K19">
        <v>0.0910304065</v>
      </c>
    </row>
    <row r="20" spans="1:9" ht="12.75">
      <c r="A20" s="3"/>
      <c r="B20" s="5" t="s">
        <v>23</v>
      </c>
      <c r="C20" s="12">
        <v>219300.11</v>
      </c>
      <c r="D20" s="12"/>
      <c r="E20" s="13">
        <v>0.055</v>
      </c>
      <c r="F20" s="12">
        <f>C20*J15</f>
        <v>14084.586231728392</v>
      </c>
      <c r="G20" s="10"/>
      <c r="H20" s="10"/>
      <c r="I20" s="14"/>
    </row>
    <row r="21" spans="1:11" ht="12.75">
      <c r="A21" s="3"/>
      <c r="B21" s="5"/>
      <c r="C21" s="12"/>
      <c r="D21" s="12"/>
      <c r="E21" s="10"/>
      <c r="F21" s="10"/>
      <c r="G21" s="10"/>
      <c r="H21" s="10"/>
      <c r="I21">
        <v>0.08875</v>
      </c>
      <c r="J21">
        <f>(0.08875-0.0875)*(J19-J18)/($I$19-$I$18)+J18</f>
        <v>0.09500402235</v>
      </c>
      <c r="K21">
        <f>(0.08875-0.0875)*(K19-K18)/($I$19-$I$18)+K18</f>
        <v>0.08993526665</v>
      </c>
    </row>
    <row r="22" spans="1:8" ht="12.75">
      <c r="A22" s="20" t="s">
        <v>24</v>
      </c>
      <c r="B22" s="21"/>
      <c r="C22" s="22"/>
      <c r="D22" s="23"/>
      <c r="E22" s="23"/>
      <c r="F22" s="24">
        <f>SUM(F8:F20)</f>
        <v>1764057.8692195641</v>
      </c>
      <c r="G22" s="24">
        <f>SUM(G8:G20)</f>
        <v>2630.1064235677</v>
      </c>
      <c r="H22" s="25">
        <f>SUM(F22:G22)</f>
        <v>1766687.9756431319</v>
      </c>
    </row>
    <row r="23" spans="1:8" ht="12.75">
      <c r="A23" s="3"/>
      <c r="B23" s="5"/>
      <c r="C23" s="10"/>
      <c r="D23" s="10"/>
      <c r="E23" s="10"/>
      <c r="F23" s="10"/>
      <c r="G23" s="10"/>
      <c r="H23" s="10"/>
    </row>
    <row r="24" spans="1:8" ht="12.75">
      <c r="A24" s="9" t="s">
        <v>25</v>
      </c>
      <c r="B24" s="5"/>
      <c r="C24" s="10"/>
      <c r="D24" s="10"/>
      <c r="E24" s="26"/>
      <c r="F24" s="10"/>
      <c r="G24" s="10"/>
      <c r="H24" s="10"/>
    </row>
    <row r="25" spans="1:8" ht="12.75">
      <c r="A25" s="3"/>
      <c r="B25" s="5" t="s">
        <v>26</v>
      </c>
      <c r="C25" s="12">
        <f>6537272-55388</f>
        <v>6481884</v>
      </c>
      <c r="D25" s="12">
        <f>6537272-55388</f>
        <v>6481884</v>
      </c>
      <c r="E25" s="13">
        <v>0.08875</v>
      </c>
      <c r="F25" s="12">
        <v>621055</v>
      </c>
      <c r="G25" s="12">
        <v>588566</v>
      </c>
      <c r="H25" s="10"/>
    </row>
    <row r="26" spans="1:8" ht="12.75">
      <c r="A26" s="3"/>
      <c r="B26" s="5"/>
      <c r="C26" s="12"/>
      <c r="D26" s="10"/>
      <c r="E26" s="10"/>
      <c r="F26" s="10"/>
      <c r="G26" s="10"/>
      <c r="H26" s="10"/>
    </row>
    <row r="27" spans="1:8" ht="12.75">
      <c r="A27" s="3"/>
      <c r="B27" s="5" t="s">
        <v>27</v>
      </c>
      <c r="C27" s="12"/>
      <c r="D27" s="12">
        <v>811185</v>
      </c>
      <c r="E27" s="13">
        <v>0.06875</v>
      </c>
      <c r="F27" s="10"/>
      <c r="G27" s="12">
        <f>D27*K11</f>
        <v>57851.085717244496</v>
      </c>
      <c r="H27" s="10"/>
    </row>
    <row r="28" spans="1:8" ht="12.75">
      <c r="A28" s="3"/>
      <c r="B28" s="5"/>
      <c r="C28" s="12"/>
      <c r="D28" s="12"/>
      <c r="E28" s="13"/>
      <c r="F28" s="10"/>
      <c r="G28" s="12"/>
      <c r="H28" s="10"/>
    </row>
    <row r="29" spans="1:8" ht="12.75">
      <c r="A29" s="3"/>
      <c r="B29" s="5" t="s">
        <v>28</v>
      </c>
      <c r="C29" s="12"/>
      <c r="D29" s="12">
        <v>253432.56</v>
      </c>
      <c r="E29" s="13">
        <v>0.06875</v>
      </c>
      <c r="F29" s="10"/>
      <c r="G29" s="12">
        <f>D29*K11</f>
        <v>18073.98898167583</v>
      </c>
      <c r="H29" s="10"/>
    </row>
    <row r="30" spans="1:8" ht="12.75">
      <c r="A30" s="3"/>
      <c r="B30" s="5"/>
      <c r="C30" s="12"/>
      <c r="D30" s="10"/>
      <c r="E30" s="10"/>
      <c r="F30" s="10"/>
      <c r="G30" s="10"/>
      <c r="H30" s="10"/>
    </row>
    <row r="31" spans="1:8" ht="12.75">
      <c r="A31" s="3" t="s">
        <v>29</v>
      </c>
      <c r="B31" s="5" t="s">
        <v>30</v>
      </c>
      <c r="C31" s="12">
        <v>73624</v>
      </c>
      <c r="D31" s="10"/>
      <c r="E31" s="13">
        <v>0.0625</v>
      </c>
      <c r="F31" s="12">
        <f>C31*J12</f>
        <v>5373.736503764</v>
      </c>
      <c r="G31" s="10"/>
      <c r="H31" s="10"/>
    </row>
    <row r="32" spans="1:8" ht="12.75">
      <c r="A32" s="3"/>
      <c r="B32" s="5"/>
      <c r="C32" s="10"/>
      <c r="D32" s="10"/>
      <c r="E32" s="10"/>
      <c r="F32" s="10"/>
      <c r="G32" s="10"/>
      <c r="H32" s="10"/>
    </row>
    <row r="33" spans="1:8" ht="12.75">
      <c r="A33" s="20" t="s">
        <v>31</v>
      </c>
      <c r="B33" s="21"/>
      <c r="C33" s="23"/>
      <c r="D33" s="23"/>
      <c r="E33" s="23"/>
      <c r="F33" s="24">
        <f>SUM(F25:F32)</f>
        <v>626428.736503764</v>
      </c>
      <c r="G33" s="24">
        <f>SUM(G25:G32)</f>
        <v>664491.0746989204</v>
      </c>
      <c r="H33" s="25">
        <f>SUM(F33:G33)</f>
        <v>1290919.8112026844</v>
      </c>
    </row>
    <row r="34" spans="1:8" ht="12.75">
      <c r="A34" s="3"/>
      <c r="B34" s="5"/>
      <c r="C34" s="10"/>
      <c r="D34" s="10"/>
      <c r="E34" s="10"/>
      <c r="F34" s="10"/>
      <c r="G34" s="10"/>
      <c r="H34" s="10"/>
    </row>
    <row r="35" spans="1:8" ht="12.75">
      <c r="A35" s="20" t="s">
        <v>32</v>
      </c>
      <c r="B35" s="21"/>
      <c r="C35" s="23"/>
      <c r="D35" s="23"/>
      <c r="E35" s="24"/>
      <c r="F35" s="23"/>
      <c r="G35" s="23"/>
      <c r="H35" s="25">
        <f>H33+H22</f>
        <v>3057607.7868458163</v>
      </c>
    </row>
    <row r="36" spans="1:8" ht="12.75">
      <c r="A36" s="3"/>
      <c r="B36" s="5"/>
      <c r="C36" s="10"/>
      <c r="D36" s="10"/>
      <c r="E36" s="10"/>
      <c r="F36" s="10"/>
      <c r="G36" s="10"/>
      <c r="H36" s="10"/>
    </row>
    <row r="37" spans="1:8" ht="12.75">
      <c r="A37" s="9" t="s">
        <v>33</v>
      </c>
      <c r="B37" s="5"/>
      <c r="C37" s="10"/>
      <c r="D37" s="10"/>
      <c r="E37" s="10"/>
      <c r="F37" s="10"/>
      <c r="G37" s="10"/>
      <c r="H37" s="10"/>
    </row>
    <row r="38" spans="1:8" ht="12.75">
      <c r="A38" s="20" t="s">
        <v>34</v>
      </c>
      <c r="B38" s="21"/>
      <c r="C38" s="23"/>
      <c r="D38" s="23"/>
      <c r="E38" s="27">
        <v>213137</v>
      </c>
      <c r="F38" s="23"/>
      <c r="G38" s="23"/>
      <c r="H38" s="23"/>
    </row>
    <row r="39" spans="1:8" ht="12.75">
      <c r="A39" s="9"/>
      <c r="B39" s="5"/>
      <c r="C39" s="10"/>
      <c r="D39" s="10"/>
      <c r="E39" s="10"/>
      <c r="F39" s="10"/>
      <c r="G39" s="10"/>
      <c r="H39" s="10"/>
    </row>
    <row r="40" spans="1:8" ht="12.75">
      <c r="A40" s="9" t="s">
        <v>35</v>
      </c>
      <c r="B40" s="5"/>
      <c r="C40" s="10"/>
      <c r="D40" s="10"/>
      <c r="E40" s="10"/>
      <c r="F40" s="10"/>
      <c r="G40" s="10"/>
      <c r="H40" s="10"/>
    </row>
    <row r="41" spans="1:8" ht="12.75">
      <c r="A41" s="28">
        <f>$H$35</f>
        <v>3057607.7868458163</v>
      </c>
      <c r="B41" s="29">
        <f>$E$38</f>
        <v>213137</v>
      </c>
      <c r="C41" s="23"/>
      <c r="D41" s="23"/>
      <c r="E41" s="30">
        <f>$A41/$B41</f>
        <v>14.345739063821938</v>
      </c>
      <c r="F41" s="23"/>
      <c r="G41" s="23"/>
      <c r="H41" s="23"/>
    </row>
  </sheetData>
  <mergeCells count="2">
    <mergeCell ref="F6:G6"/>
    <mergeCell ref="I6:K6"/>
  </mergeCells>
  <printOptions horizontalCentered="1"/>
  <pageMargins left="0.5" right="0.5" top="0.5" bottom="1.5" header="0.5" footer="0.5"/>
  <pageSetup fitToHeight="1" fitToWidth="1" horizontalDpi="600" verticalDpi="600" orientation="landscape" scale="89" r:id="rId1"/>
  <headerFooter alignWithMargins="0">
    <oddFooter>&amp;LAppendix O&amp;R2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workbookViewId="0" topLeftCell="A22">
      <selection activeCell="A37" sqref="A37"/>
    </sheetView>
  </sheetViews>
  <sheetFormatPr defaultColWidth="9.140625" defaultRowHeight="12.75"/>
  <cols>
    <col min="1" max="1" width="22.7109375" style="0" customWidth="1"/>
    <col min="2" max="2" width="11.28125" style="0" bestFit="1" customWidth="1"/>
    <col min="3" max="3" width="2.00390625" style="0" customWidth="1"/>
    <col min="5" max="5" width="2.140625" style="0" customWidth="1"/>
    <col min="7" max="7" width="2.140625" style="0" customWidth="1"/>
    <col min="8" max="8" width="10.28125" style="0" bestFit="1" customWidth="1"/>
    <col min="9" max="9" width="2.140625" style="0" customWidth="1"/>
    <col min="10" max="10" width="9.140625" style="31" customWidth="1"/>
    <col min="11" max="11" width="2.140625" style="0" customWidth="1"/>
    <col min="12" max="12" width="9.28125" style="32" bestFit="1" customWidth="1"/>
    <col min="13" max="13" width="4.00390625" style="0" customWidth="1"/>
    <col min="15" max="15" width="2.140625" style="0" customWidth="1"/>
    <col min="17" max="17" width="1.57421875" style="0" customWidth="1"/>
    <col min="18" max="18" width="8.28125" style="0" bestFit="1" customWidth="1"/>
  </cols>
  <sheetData>
    <row r="1" spans="1:18" ht="15.75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8"/>
      <c r="K1" s="67"/>
      <c r="L1" s="69"/>
      <c r="M1" s="67"/>
      <c r="N1" s="67"/>
      <c r="O1" s="67"/>
      <c r="P1" s="67"/>
      <c r="Q1" s="67"/>
      <c r="R1" s="65"/>
    </row>
    <row r="2" spans="1:18" ht="15.75">
      <c r="A2" s="67"/>
      <c r="B2" s="67"/>
      <c r="C2" s="67"/>
      <c r="D2" s="67"/>
      <c r="E2" s="67"/>
      <c r="F2" s="67"/>
      <c r="G2" s="67"/>
      <c r="H2" s="67"/>
      <c r="I2" s="67"/>
      <c r="J2" s="68"/>
      <c r="K2" s="67"/>
      <c r="L2" s="69"/>
      <c r="M2" s="67"/>
      <c r="N2" s="67"/>
      <c r="O2" s="67"/>
      <c r="P2" s="67"/>
      <c r="Q2" s="67"/>
      <c r="R2" s="65"/>
    </row>
    <row r="3" spans="1:18" ht="15.75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9"/>
      <c r="M3" s="67"/>
      <c r="N3" s="67"/>
      <c r="O3" s="67"/>
      <c r="P3" s="67"/>
      <c r="Q3" s="67"/>
      <c r="R3" s="65"/>
    </row>
    <row r="4" spans="1:18" ht="51">
      <c r="A4" s="58" t="s">
        <v>77</v>
      </c>
      <c r="B4" s="70" t="s">
        <v>36</v>
      </c>
      <c r="C4" s="70"/>
      <c r="D4" s="71" t="s">
        <v>37</v>
      </c>
      <c r="E4" s="70"/>
      <c r="F4" s="71" t="s">
        <v>38</v>
      </c>
      <c r="G4" s="70"/>
      <c r="H4" s="71" t="s">
        <v>39</v>
      </c>
      <c r="I4" s="70"/>
      <c r="J4" s="72" t="s">
        <v>40</v>
      </c>
      <c r="K4" s="70"/>
      <c r="L4" s="73" t="s">
        <v>41</v>
      </c>
      <c r="M4" s="73"/>
      <c r="N4" s="73" t="s">
        <v>42</v>
      </c>
      <c r="O4" s="38"/>
      <c r="P4" s="73" t="s">
        <v>43</v>
      </c>
      <c r="Q4" s="38"/>
      <c r="R4" s="73" t="s">
        <v>44</v>
      </c>
    </row>
    <row r="6" spans="1:18" ht="12.75">
      <c r="A6" s="33" t="s">
        <v>45</v>
      </c>
      <c r="B6" s="33">
        <v>3</v>
      </c>
      <c r="C6" s="33" t="s">
        <v>46</v>
      </c>
      <c r="D6" s="33">
        <v>8</v>
      </c>
      <c r="E6" s="33" t="s">
        <v>46</v>
      </c>
      <c r="F6" s="33">
        <v>365</v>
      </c>
      <c r="G6" s="34" t="s">
        <v>47</v>
      </c>
      <c r="H6" s="35">
        <f>+B6*D6*F6</f>
        <v>8760</v>
      </c>
      <c r="I6" s="33" t="s">
        <v>46</v>
      </c>
      <c r="J6" s="36">
        <v>0.5</v>
      </c>
      <c r="K6" s="34" t="s">
        <v>47</v>
      </c>
      <c r="L6" s="35">
        <f>+H6*J6</f>
        <v>4380</v>
      </c>
      <c r="M6" s="33"/>
      <c r="N6" s="36">
        <f>L6/$L$14</f>
        <v>0.31469586584472126</v>
      </c>
      <c r="O6" s="33"/>
      <c r="P6" s="76">
        <f>N6*$H$20</f>
        <v>1.2330097542894944</v>
      </c>
      <c r="Q6" s="33"/>
      <c r="R6" s="77">
        <f>D35*P6</f>
        <v>1.4768902363850953</v>
      </c>
    </row>
    <row r="7" spans="8:16" ht="12.75">
      <c r="H7" s="32"/>
      <c r="P7" s="75"/>
    </row>
    <row r="8" spans="1:18" ht="12.75">
      <c r="A8" s="33" t="s">
        <v>48</v>
      </c>
      <c r="B8" s="33">
        <v>2</v>
      </c>
      <c r="C8" s="33" t="s">
        <v>46</v>
      </c>
      <c r="D8" s="33">
        <v>24</v>
      </c>
      <c r="E8" s="33" t="s">
        <v>46</v>
      </c>
      <c r="F8" s="33">
        <v>365</v>
      </c>
      <c r="G8" s="34" t="s">
        <v>47</v>
      </c>
      <c r="H8" s="35">
        <f>+B8*D8*F8</f>
        <v>17520</v>
      </c>
      <c r="I8" s="33" t="s">
        <v>46</v>
      </c>
      <c r="J8" s="36">
        <v>0.33</v>
      </c>
      <c r="K8" s="34" t="s">
        <v>47</v>
      </c>
      <c r="L8" s="35">
        <f>+H8*J8</f>
        <v>5781.6</v>
      </c>
      <c r="M8" s="33"/>
      <c r="N8" s="36">
        <f>L8/$L$14</f>
        <v>0.41539854291503214</v>
      </c>
      <c r="O8" s="33"/>
      <c r="P8" s="76">
        <f>N8*$H$20</f>
        <v>1.627572875662133</v>
      </c>
      <c r="Q8" s="33"/>
      <c r="R8" s="74">
        <f>P8*F35</f>
        <v>1.502099738202629</v>
      </c>
    </row>
    <row r="9" spans="8:18" ht="12.75">
      <c r="H9" s="32"/>
      <c r="P9" s="75"/>
      <c r="R9" s="79"/>
    </row>
    <row r="10" spans="1:18" ht="12.75">
      <c r="A10" s="33" t="s">
        <v>49</v>
      </c>
      <c r="B10" s="33">
        <v>3</v>
      </c>
      <c r="C10" s="33" t="s">
        <v>46</v>
      </c>
      <c r="D10" s="33">
        <v>2087</v>
      </c>
      <c r="E10" s="33" t="s">
        <v>46</v>
      </c>
      <c r="F10" s="21" t="s">
        <v>50</v>
      </c>
      <c r="G10" s="34" t="s">
        <v>47</v>
      </c>
      <c r="H10" s="35">
        <f>+B10*D10</f>
        <v>6261</v>
      </c>
      <c r="I10" s="33" t="s">
        <v>46</v>
      </c>
      <c r="J10" s="36">
        <v>0.5</v>
      </c>
      <c r="K10" s="34" t="s">
        <v>47</v>
      </c>
      <c r="L10" s="35">
        <f>+H10*J10</f>
        <v>3130.5</v>
      </c>
      <c r="M10" s="33"/>
      <c r="N10" s="36">
        <f>L10/$L$14</f>
        <v>0.22492132603353882</v>
      </c>
      <c r="O10" s="33"/>
      <c r="P10" s="76">
        <f>N10*$H$20</f>
        <v>0.8812641634254026</v>
      </c>
      <c r="Q10" s="33"/>
      <c r="R10" s="77">
        <f>D35*P10</f>
        <v>1.05557189155332</v>
      </c>
    </row>
    <row r="11" spans="16:18" ht="12.75">
      <c r="P11" s="75"/>
      <c r="R11" s="79"/>
    </row>
    <row r="12" spans="1:18" ht="12.75">
      <c r="A12" s="33" t="s">
        <v>51</v>
      </c>
      <c r="B12" s="33">
        <v>3</v>
      </c>
      <c r="C12" s="33" t="s">
        <v>46</v>
      </c>
      <c r="D12" s="33">
        <v>2087</v>
      </c>
      <c r="E12" s="33" t="s">
        <v>46</v>
      </c>
      <c r="F12" s="21" t="s">
        <v>50</v>
      </c>
      <c r="G12" s="34" t="s">
        <v>47</v>
      </c>
      <c r="H12" s="35">
        <f>+B12*D12</f>
        <v>6261</v>
      </c>
      <c r="I12" s="33" t="s">
        <v>46</v>
      </c>
      <c r="J12" s="36">
        <v>0.1</v>
      </c>
      <c r="K12" s="34" t="s">
        <v>47</v>
      </c>
      <c r="L12" s="35">
        <f>+H12*J12</f>
        <v>626.1</v>
      </c>
      <c r="M12" s="33"/>
      <c r="N12" s="36">
        <f>L12/$L$14</f>
        <v>0.044984265206707764</v>
      </c>
      <c r="O12" s="33"/>
      <c r="P12" s="76">
        <f>N12*$H$20</f>
        <v>0.17625283268508052</v>
      </c>
      <c r="Q12" s="33"/>
      <c r="R12" s="77">
        <f>F35*P12</f>
        <v>0.1626651179757621</v>
      </c>
    </row>
    <row r="13" ht="12.75">
      <c r="P13" s="80"/>
    </row>
    <row r="14" spans="10:18" ht="12.75">
      <c r="J14" s="37" t="s">
        <v>52</v>
      </c>
      <c r="K14" s="38"/>
      <c r="L14" s="39">
        <f>SUM(L6:L13)</f>
        <v>13918.2</v>
      </c>
      <c r="M14" s="38"/>
      <c r="N14" s="38"/>
      <c r="O14" s="38"/>
      <c r="P14" s="81"/>
      <c r="Q14" s="38"/>
      <c r="R14" s="40">
        <f>SUM(R6:R13)</f>
        <v>4.197226984116807</v>
      </c>
    </row>
    <row r="15" ht="12.75">
      <c r="P15" s="81"/>
    </row>
    <row r="16" spans="1:16" ht="12.75">
      <c r="A16" s="41" t="s">
        <v>53</v>
      </c>
      <c r="B16" s="42"/>
      <c r="C16" s="42"/>
      <c r="D16" s="42"/>
      <c r="E16" s="42"/>
      <c r="F16" s="42" t="s">
        <v>54</v>
      </c>
      <c r="G16" s="42"/>
      <c r="H16" s="43">
        <f>B17/L14</f>
        <v>15.313546291905562</v>
      </c>
      <c r="L16" s="44"/>
      <c r="P16" s="81"/>
    </row>
    <row r="17" spans="1:16" ht="12.75">
      <c r="A17" s="45" t="s">
        <v>55</v>
      </c>
      <c r="B17" s="46">
        <v>213137</v>
      </c>
      <c r="C17" s="47"/>
      <c r="D17" s="47"/>
      <c r="E17" s="47"/>
      <c r="F17" s="47"/>
      <c r="G17" s="47"/>
      <c r="H17" s="48"/>
      <c r="P17" s="81"/>
    </row>
    <row r="18" spans="1:16" ht="12.75">
      <c r="A18" s="45" t="s">
        <v>56</v>
      </c>
      <c r="B18" s="35">
        <v>109151</v>
      </c>
      <c r="C18" s="47"/>
      <c r="D18" s="47"/>
      <c r="E18" s="47"/>
      <c r="F18" s="47" t="s">
        <v>57</v>
      </c>
      <c r="G18" s="47"/>
      <c r="H18" s="48">
        <f>H16/60</f>
        <v>0.25522577153175935</v>
      </c>
      <c r="P18" s="81"/>
    </row>
    <row r="19" spans="1:16" ht="12.75">
      <c r="A19" s="49"/>
      <c r="B19" s="50">
        <f>+B17-B18</f>
        <v>103986</v>
      </c>
      <c r="C19" s="47"/>
      <c r="D19" s="47"/>
      <c r="E19" s="47"/>
      <c r="F19" s="47"/>
      <c r="G19" s="47"/>
      <c r="H19" s="48"/>
      <c r="P19" s="81"/>
    </row>
    <row r="20" spans="1:16" ht="12.75">
      <c r="A20" s="49"/>
      <c r="B20" s="47"/>
      <c r="C20" s="47"/>
      <c r="D20" s="47"/>
      <c r="E20" s="47"/>
      <c r="F20" s="78" t="s">
        <v>58</v>
      </c>
      <c r="G20" s="47"/>
      <c r="H20" s="48">
        <f>1/H18</f>
        <v>3.918099626062111</v>
      </c>
      <c r="P20" s="81"/>
    </row>
    <row r="21" spans="1:16" ht="12.75">
      <c r="A21" s="49" t="s">
        <v>59</v>
      </c>
      <c r="B21" s="47"/>
      <c r="C21" s="47"/>
      <c r="D21" s="47"/>
      <c r="E21" s="47"/>
      <c r="F21" s="47"/>
      <c r="G21" s="47"/>
      <c r="H21" s="48"/>
      <c r="P21" s="81"/>
    </row>
    <row r="22" spans="1:16" ht="12.75">
      <c r="A22" s="49" t="s">
        <v>60</v>
      </c>
      <c r="B22" s="47"/>
      <c r="C22" s="47"/>
      <c r="D22" s="47"/>
      <c r="E22" s="47"/>
      <c r="F22" s="47"/>
      <c r="G22" s="47"/>
      <c r="H22" s="48"/>
      <c r="P22" s="81"/>
    </row>
    <row r="23" spans="1:16" ht="12.75">
      <c r="A23" s="51" t="s">
        <v>61</v>
      </c>
      <c r="B23" s="36">
        <f>+B19/B17</f>
        <v>0.48788338017331573</v>
      </c>
      <c r="C23" s="33"/>
      <c r="D23" s="33"/>
      <c r="E23" s="33"/>
      <c r="F23" s="33"/>
      <c r="G23" s="33"/>
      <c r="H23" s="52"/>
      <c r="P23" s="81"/>
    </row>
    <row r="24" ht="12.75">
      <c r="P24" s="81"/>
    </row>
    <row r="25" spans="1:16" ht="12.75">
      <c r="A25" s="41"/>
      <c r="B25" s="42"/>
      <c r="C25" s="42"/>
      <c r="D25" s="42" t="s">
        <v>62</v>
      </c>
      <c r="E25" s="42"/>
      <c r="F25" s="43" t="s">
        <v>63</v>
      </c>
      <c r="P25" s="81"/>
    </row>
    <row r="26" spans="1:16" ht="12.75">
      <c r="A26" s="49" t="s">
        <v>64</v>
      </c>
      <c r="B26" s="47"/>
      <c r="C26" s="47"/>
      <c r="D26" s="53">
        <v>64.49</v>
      </c>
      <c r="E26" s="53"/>
      <c r="F26" s="54">
        <v>49.69</v>
      </c>
      <c r="P26" s="81"/>
    </row>
    <row r="27" spans="1:16" ht="12.75">
      <c r="A27" s="49" t="s">
        <v>65</v>
      </c>
      <c r="B27" s="47"/>
      <c r="C27" s="47"/>
      <c r="D27" s="53"/>
      <c r="E27" s="53"/>
      <c r="F27" s="54"/>
      <c r="P27" s="81"/>
    </row>
    <row r="28" spans="1:16" ht="12.75">
      <c r="A28" s="49"/>
      <c r="B28" s="47"/>
      <c r="C28" s="47"/>
      <c r="D28" s="53"/>
      <c r="E28" s="53"/>
      <c r="F28" s="54"/>
      <c r="P28" s="81"/>
    </row>
    <row r="29" spans="1:16" ht="12.75">
      <c r="A29" s="49" t="s">
        <v>66</v>
      </c>
      <c r="B29" s="47">
        <v>0.329</v>
      </c>
      <c r="C29" s="47"/>
      <c r="D29" s="53">
        <f>D26*B29</f>
        <v>21.217209999999998</v>
      </c>
      <c r="E29" s="53"/>
      <c r="F29" s="54">
        <f>F26*B29</f>
        <v>16.34801</v>
      </c>
      <c r="P29" s="81"/>
    </row>
    <row r="30" spans="1:16" ht="12.75">
      <c r="A30" s="49"/>
      <c r="B30" s="47"/>
      <c r="C30" s="47"/>
      <c r="D30" s="53"/>
      <c r="E30" s="53"/>
      <c r="F30" s="54"/>
      <c r="P30" s="81"/>
    </row>
    <row r="31" spans="1:16" ht="12.75">
      <c r="A31" s="49" t="s">
        <v>67</v>
      </c>
      <c r="B31" s="47"/>
      <c r="C31" s="47"/>
      <c r="D31" s="53">
        <f>D26+D29</f>
        <v>85.70720999999999</v>
      </c>
      <c r="E31" s="53"/>
      <c r="F31" s="54">
        <f>F26+F29</f>
        <v>66.03801</v>
      </c>
      <c r="P31" s="81"/>
    </row>
    <row r="32" spans="1:16" ht="12.75">
      <c r="A32" s="49"/>
      <c r="B32" s="47"/>
      <c r="C32" s="47"/>
      <c r="D32" s="53"/>
      <c r="E32" s="53"/>
      <c r="F32" s="54"/>
      <c r="P32" s="81"/>
    </row>
    <row r="33" spans="1:6" ht="12.75">
      <c r="A33" s="49" t="s">
        <v>78</v>
      </c>
      <c r="B33" s="47">
        <f>1750/2087</f>
        <v>0.8385241974125539</v>
      </c>
      <c r="C33" s="47"/>
      <c r="D33" s="53">
        <f>D31*B33</f>
        <v>71.8675694777192</v>
      </c>
      <c r="E33" s="53"/>
      <c r="F33" s="54">
        <f>F31*B33</f>
        <v>55.37446933397221</v>
      </c>
    </row>
    <row r="34" spans="1:6" ht="12.75">
      <c r="A34" s="49"/>
      <c r="B34" s="47"/>
      <c r="C34" s="47"/>
      <c r="D34" s="47"/>
      <c r="E34" s="47"/>
      <c r="F34" s="48"/>
    </row>
    <row r="35" spans="1:6" ht="12.75">
      <c r="A35" s="49" t="s">
        <v>68</v>
      </c>
      <c r="B35" s="47"/>
      <c r="C35" s="47"/>
      <c r="D35" s="55">
        <f>D33/60</f>
        <v>1.1977928246286533</v>
      </c>
      <c r="E35" s="47"/>
      <c r="F35" s="56">
        <f>F33/60</f>
        <v>0.9229078222328702</v>
      </c>
    </row>
    <row r="36" spans="1:6" ht="12.75">
      <c r="A36" s="51"/>
      <c r="B36" s="33"/>
      <c r="C36" s="33"/>
      <c r="D36" s="33"/>
      <c r="E36" s="33"/>
      <c r="F36" s="52"/>
    </row>
    <row r="38" ht="12.75">
      <c r="A38" t="s">
        <v>81</v>
      </c>
    </row>
    <row r="40" ht="12.75">
      <c r="A40" t="s">
        <v>79</v>
      </c>
    </row>
    <row r="42" ht="12.75">
      <c r="A42" t="s">
        <v>80</v>
      </c>
    </row>
  </sheetData>
  <printOptions horizontalCentered="1"/>
  <pageMargins left="0.75" right="0.75" top="0.5" bottom="1" header="0.5" footer="0.5"/>
  <pageSetup fitToHeight="1" fitToWidth="1" horizontalDpi="600" verticalDpi="600" orientation="landscape" scale="89" r:id="rId1"/>
  <headerFooter alignWithMargins="0">
    <oddFooter>&amp;LAppendix O&amp;R3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snowden</dc:creator>
  <cp:keywords/>
  <dc:description/>
  <cp:lastModifiedBy>snowden</cp:lastModifiedBy>
  <cp:lastPrinted>2005-10-13T19:59:36Z</cp:lastPrinted>
  <dcterms:created xsi:type="dcterms:W3CDTF">2005-10-07T03:00:12Z</dcterms:created>
  <dcterms:modified xsi:type="dcterms:W3CDTF">2005-10-13T19:59:46Z</dcterms:modified>
  <cp:category/>
  <cp:version/>
  <cp:contentType/>
  <cp:contentStatus/>
</cp:coreProperties>
</file>