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6" windowWidth="21940" windowHeight="13420" activeTab="0"/>
  </bookViews>
  <sheets>
    <sheet name="Gases" sheetId="1" r:id="rId1"/>
    <sheet name="C4F10 Cost" sheetId="2" r:id="rId2"/>
  </sheets>
  <definedNames>
    <definedName name="moler_volume">'Gases'!$B$3</definedName>
    <definedName name="volume">'Gases'!$D$2</definedName>
  </definedNames>
  <calcPr fullCalcOnLoad="1"/>
</workbook>
</file>

<file path=xl/sharedStrings.xml><?xml version="1.0" encoding="utf-8"?>
<sst xmlns="http://schemas.openxmlformats.org/spreadsheetml/2006/main" count="126" uniqueCount="82">
  <si>
    <t>STP=0C, 1atm</t>
  </si>
  <si>
    <t>Formula</t>
  </si>
  <si>
    <t>sinThetaMax</t>
  </si>
  <si>
    <t>P threshold</t>
  </si>
  <si>
    <t>M. Weight</t>
  </si>
  <si>
    <t>Cost</t>
  </si>
  <si>
    <t>C2Cl2F4</t>
  </si>
  <si>
    <t>No</t>
  </si>
  <si>
    <t>Freon12</t>
  </si>
  <si>
    <t>CCl2F2</t>
  </si>
  <si>
    <t>Freon13 B1</t>
  </si>
  <si>
    <t>CBrF3</t>
  </si>
  <si>
    <t>Freon13</t>
  </si>
  <si>
    <t>CClF3</t>
  </si>
  <si>
    <t>Freon14</t>
  </si>
  <si>
    <t>CF4</t>
  </si>
  <si>
    <t>Freon C318</t>
  </si>
  <si>
    <t>C4F6</t>
  </si>
  <si>
    <t>Perfluoropentane</t>
  </si>
  <si>
    <t>C5F12</t>
  </si>
  <si>
    <t>FC 75</t>
  </si>
  <si>
    <t>C8H16O</t>
  </si>
  <si>
    <t>Isobutane</t>
  </si>
  <si>
    <t>C6H10</t>
  </si>
  <si>
    <t>Yes</t>
  </si>
  <si>
    <t>SF6</t>
  </si>
  <si>
    <t>?</t>
  </si>
  <si>
    <t>Slight</t>
  </si>
  <si>
    <t>Freon116</t>
  </si>
  <si>
    <t>C2F6</t>
  </si>
  <si>
    <t>Ethane</t>
  </si>
  <si>
    <t>C2H6</t>
  </si>
  <si>
    <t>Perfluorohexane</t>
  </si>
  <si>
    <t>C6F14</t>
  </si>
  <si>
    <t>C3F8</t>
  </si>
  <si>
    <t>C2H2F4</t>
  </si>
  <si>
    <t>CO2</t>
  </si>
  <si>
    <t>C4F10</t>
  </si>
  <si>
    <t xml:space="preserve">density </t>
  </si>
  <si>
    <t>Perfluorobutane (20C)</t>
  </si>
  <si>
    <t>(g/l at 20C 1atm)</t>
  </si>
  <si>
    <t>Air density (PDG02)</t>
  </si>
  <si>
    <t>Gas</t>
  </si>
  <si>
    <t>Freon114 (20C)</t>
  </si>
  <si>
    <t>Warning: index and density may not all be at same nominal pressure and temperature</t>
  </si>
  <si>
    <t>cuft</t>
  </si>
  <si>
    <t>Octofluoropropane (PFG-3218)</t>
  </si>
  <si>
    <t>Tetrafluoroethane (R134a)</t>
  </si>
  <si>
    <t>Ozone</t>
  </si>
  <si>
    <t>Depleting</t>
  </si>
  <si>
    <t>for 1 fill</t>
  </si>
  <si>
    <t>Index of</t>
  </si>
  <si>
    <t>refraction</t>
  </si>
  <si>
    <t>pressure</t>
  </si>
  <si>
    <t>vapor</t>
  </si>
  <si>
    <t>liters</t>
  </si>
  <si>
    <t>Air (20C)</t>
  </si>
  <si>
    <t>Air (STP)</t>
  </si>
  <si>
    <t>1 mole at STP</t>
  </si>
  <si>
    <t>Volume of Cerenkov vessel</t>
  </si>
  <si>
    <t>Flammable</t>
  </si>
  <si>
    <t xml:space="preserve">boiling </t>
  </si>
  <si>
    <t>point @ 1atm</t>
  </si>
  <si>
    <t>C</t>
  </si>
  <si>
    <t>g/l</t>
  </si>
  <si>
    <t>psi</t>
  </si>
  <si>
    <t>Gev/c</t>
  </si>
  <si>
    <t xml:space="preserve"> = density estimated from molecular weight</t>
  </si>
  <si>
    <t>Purchasing</t>
  </si>
  <si>
    <t>Unit</t>
  </si>
  <si>
    <t>lbs</t>
  </si>
  <si>
    <t>Weight</t>
  </si>
  <si>
    <t>$/lb</t>
  </si>
  <si>
    <t>$</t>
  </si>
  <si>
    <t>per unit</t>
  </si>
  <si>
    <t>per lb</t>
  </si>
  <si>
    <t>Fills per</t>
  </si>
  <si>
    <t>bottle</t>
  </si>
  <si>
    <t>3M Oct-02</t>
  </si>
  <si>
    <t>Quote</t>
  </si>
  <si>
    <t>CO2 (STP)</t>
  </si>
  <si>
    <t>g/l C4F10 Density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</si>
</sst>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&quot;$&quot;#,##0.00"/>
    <numFmt numFmtId="168" formatCode="&quot;$&quot;#,##0.0"/>
    <numFmt numFmtId="169" formatCode="&quot;$&quot;#,##0"/>
    <numFmt numFmtId="170" formatCode="&quot;$&quot;#,##0.000"/>
    <numFmt numFmtId="171" formatCode="&quot;$&quot;#,##0.0000"/>
    <numFmt numFmtId="172" formatCode="&quot;$&quot;#,##0.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"/>
    <numFmt numFmtId="180" formatCode="0.00000000"/>
    <numFmt numFmtId="181" formatCode="0.0000000"/>
    <numFmt numFmtId="182" formatCode="0.000000"/>
    <numFmt numFmtId="183" formatCode="0.00000"/>
  </numFmts>
  <fonts count="6">
    <font>
      <sz val="9"/>
      <color indexed="63"/>
      <name val="Helv"/>
      <family val="0"/>
    </font>
    <font>
      <sz val="9"/>
      <color indexed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color indexed="8"/>
      <name val="Helv"/>
      <family val="0"/>
    </font>
    <font>
      <u val="single"/>
      <sz val="9"/>
      <color indexed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2" fontId="0" fillId="0" borderId="2" xfId="0" applyNumberForma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164" fontId="0" fillId="4" borderId="0" xfId="0" applyNumberFormat="1" applyFill="1" applyBorder="1" applyAlignment="1" applyProtection="1">
      <alignment horizontal="center" vertical="center"/>
      <protection/>
    </xf>
    <xf numFmtId="2" fontId="0" fillId="4" borderId="0" xfId="0" applyNumberFormat="1" applyFill="1" applyBorder="1" applyAlignment="1" applyProtection="1">
      <alignment horizontal="center"/>
      <protection/>
    </xf>
    <xf numFmtId="165" fontId="0" fillId="4" borderId="0" xfId="0" applyNumberForma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9" fontId="0" fillId="0" borderId="0" xfId="0" applyNumberFormat="1" applyFill="1" applyBorder="1" applyAlignment="1" applyProtection="1">
      <alignment horizontal="right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06" zoomScaleNormal="106" workbookViewId="0" topLeftCell="A1">
      <selection activeCell="A33" sqref="A33"/>
    </sheetView>
  </sheetViews>
  <sheetFormatPr defaultColWidth="11.421875" defaultRowHeight="12"/>
  <cols>
    <col min="1" max="1" width="28.140625" style="1" customWidth="1"/>
    <col min="2" max="2" width="8.8515625" style="2" bestFit="1" customWidth="1"/>
    <col min="3" max="3" width="10.140625" style="3" customWidth="1"/>
    <col min="4" max="4" width="11.57421875" style="4" customWidth="1"/>
    <col min="5" max="5" width="13.8515625" style="4" customWidth="1"/>
    <col min="6" max="6" width="13.140625" style="2" customWidth="1"/>
    <col min="7" max="7" width="11.8515625" style="2" customWidth="1"/>
    <col min="8" max="9" width="8.8515625" style="2" bestFit="1" customWidth="1"/>
    <col min="10" max="10" width="9.57421875" style="2" bestFit="1" customWidth="1"/>
    <col min="11" max="11" width="11.8515625" style="2" customWidth="1"/>
    <col min="12" max="16384" width="10.00390625" style="0" customWidth="1"/>
  </cols>
  <sheetData>
    <row r="1" ht="12.75">
      <c r="A1" s="32" t="s">
        <v>0</v>
      </c>
    </row>
    <row r="2" spans="1:11" ht="10.5">
      <c r="A2" s="7" t="s">
        <v>59</v>
      </c>
      <c r="B2" s="2">
        <v>120</v>
      </c>
      <c r="C2" s="3" t="s">
        <v>45</v>
      </c>
      <c r="D2" s="33">
        <f>B2*28.32</f>
        <v>3398.4</v>
      </c>
      <c r="E2" s="1" t="s">
        <v>55</v>
      </c>
      <c r="F2" s="1"/>
      <c r="G2" s="1"/>
      <c r="H2" s="1"/>
      <c r="I2" s="1"/>
      <c r="J2" s="1"/>
      <c r="K2" s="1"/>
    </row>
    <row r="3" spans="1:11" ht="10.5">
      <c r="A3" s="1" t="s">
        <v>58</v>
      </c>
      <c r="B3" s="2">
        <v>22.414</v>
      </c>
      <c r="C3" s="3" t="s">
        <v>55</v>
      </c>
      <c r="E3" s="1"/>
      <c r="F3" s="1"/>
      <c r="G3" s="1"/>
      <c r="H3" s="1"/>
      <c r="I3" s="1"/>
      <c r="J3" s="1"/>
      <c r="K3" s="1"/>
    </row>
    <row r="4" spans="1:11" ht="10.5">
      <c r="A4" s="1" t="s">
        <v>41</v>
      </c>
      <c r="B4" s="2">
        <v>1.205</v>
      </c>
      <c r="C4" s="3" t="s">
        <v>40</v>
      </c>
      <c r="D4" s="1"/>
      <c r="E4" s="1"/>
      <c r="F4" s="1"/>
      <c r="G4" s="1"/>
      <c r="H4" s="1"/>
      <c r="I4" s="1"/>
      <c r="J4" s="1"/>
      <c r="K4" s="1"/>
    </row>
    <row r="5" spans="4:11" ht="10.5">
      <c r="D5" s="1"/>
      <c r="E5" s="1"/>
      <c r="F5" s="1"/>
      <c r="G5" s="9"/>
      <c r="H5" s="1"/>
      <c r="I5" s="1"/>
      <c r="J5" s="1"/>
      <c r="K5" s="1"/>
    </row>
    <row r="6" spans="1:11" ht="10.5">
      <c r="A6" s="1" t="s">
        <v>44</v>
      </c>
      <c r="D6" s="1"/>
      <c r="E6" s="1"/>
      <c r="F6" s="1"/>
      <c r="G6" s="1"/>
      <c r="J6" s="1"/>
      <c r="K6" s="1"/>
    </row>
    <row r="7" spans="4:11" ht="10.5">
      <c r="D7" s="1"/>
      <c r="F7" s="2" t="s">
        <v>61</v>
      </c>
      <c r="G7" s="1"/>
      <c r="I7" s="2" t="s">
        <v>54</v>
      </c>
      <c r="J7" s="1"/>
      <c r="K7" s="1"/>
    </row>
    <row r="8" spans="3:11" ht="10.5">
      <c r="C8" s="3" t="s">
        <v>51</v>
      </c>
      <c r="D8" s="1"/>
      <c r="E8" s="4" t="s">
        <v>3</v>
      </c>
      <c r="F8" s="2" t="s">
        <v>62</v>
      </c>
      <c r="G8" s="1"/>
      <c r="H8" s="2" t="s">
        <v>38</v>
      </c>
      <c r="I8" s="2" t="s">
        <v>53</v>
      </c>
      <c r="J8" s="2" t="s">
        <v>48</v>
      </c>
      <c r="K8" s="1"/>
    </row>
    <row r="9" spans="1:11" ht="10.5">
      <c r="A9" s="1" t="s">
        <v>42</v>
      </c>
      <c r="B9" s="2" t="s">
        <v>1</v>
      </c>
      <c r="C9" s="3" t="s">
        <v>52</v>
      </c>
      <c r="D9" s="4" t="s">
        <v>2</v>
      </c>
      <c r="E9" s="2" t="s">
        <v>66</v>
      </c>
      <c r="F9" s="2" t="s">
        <v>63</v>
      </c>
      <c r="G9" s="2" t="s">
        <v>4</v>
      </c>
      <c r="H9" s="2" t="s">
        <v>64</v>
      </c>
      <c r="I9" s="2" t="s">
        <v>65</v>
      </c>
      <c r="J9" s="2" t="s">
        <v>49</v>
      </c>
      <c r="K9" s="2" t="s">
        <v>60</v>
      </c>
    </row>
    <row r="10" spans="1:11" ht="10.5">
      <c r="A10" s="11" t="s">
        <v>20</v>
      </c>
      <c r="B10" s="2" t="s">
        <v>21</v>
      </c>
      <c r="C10" s="3">
        <v>1.00274</v>
      </c>
      <c r="D10" s="6">
        <f aca="true" t="shared" si="0" ref="D10:D23">SQRT(1-1/$C10*(1/$C10))</f>
        <v>0.07387529493950891</v>
      </c>
      <c r="E10" s="6">
        <f aca="true" t="shared" si="1" ref="E10:E23">0.13957/$C10/$D10</f>
        <v>1.8841024362268703</v>
      </c>
      <c r="F10" s="12">
        <v>102</v>
      </c>
      <c r="G10" s="2">
        <v>257.36</v>
      </c>
      <c r="J10" s="2" t="s">
        <v>7</v>
      </c>
      <c r="K10" s="2" t="s">
        <v>7</v>
      </c>
    </row>
    <row r="11" spans="1:11" ht="10.5">
      <c r="A11" s="11" t="s">
        <v>32</v>
      </c>
      <c r="B11" s="2" t="s">
        <v>33</v>
      </c>
      <c r="C11" s="3">
        <v>1.002</v>
      </c>
      <c r="D11" s="6">
        <f t="shared" si="0"/>
        <v>0.06315086634553563</v>
      </c>
      <c r="E11" s="6">
        <f t="shared" si="1"/>
        <v>2.2056928942751663</v>
      </c>
      <c r="F11" s="12">
        <v>54</v>
      </c>
      <c r="J11" s="2" t="s">
        <v>7</v>
      </c>
      <c r="K11" s="2" t="s">
        <v>7</v>
      </c>
    </row>
    <row r="12" spans="1:11" ht="10.5">
      <c r="A12" s="10" t="s">
        <v>22</v>
      </c>
      <c r="B12" s="2" t="s">
        <v>23</v>
      </c>
      <c r="C12" s="3">
        <v>1.0019</v>
      </c>
      <c r="D12" s="6">
        <f t="shared" si="0"/>
        <v>0.06155645677739922</v>
      </c>
      <c r="E12" s="6">
        <f t="shared" si="1"/>
        <v>2.2630496813025065</v>
      </c>
      <c r="F12" s="2">
        <v>-12</v>
      </c>
      <c r="G12" s="2">
        <v>58.12</v>
      </c>
      <c r="H12" s="37">
        <f>G12/moler_volume</f>
        <v>2.5930222182564466</v>
      </c>
      <c r="J12" s="2" t="s">
        <v>7</v>
      </c>
      <c r="K12" s="13" t="s">
        <v>24</v>
      </c>
    </row>
    <row r="13" spans="1:11" ht="10.5">
      <c r="A13" s="11" t="s">
        <v>18</v>
      </c>
      <c r="B13" s="2" t="s">
        <v>19</v>
      </c>
      <c r="C13" s="3">
        <v>1.00172</v>
      </c>
      <c r="D13" s="6">
        <f t="shared" si="0"/>
        <v>0.05857597724427076</v>
      </c>
      <c r="E13" s="6">
        <f t="shared" si="1"/>
        <v>2.378626159558277</v>
      </c>
      <c r="F13" s="12">
        <v>54</v>
      </c>
      <c r="G13" s="2">
        <v>288.04</v>
      </c>
      <c r="J13" s="2" t="s">
        <v>7</v>
      </c>
      <c r="K13" s="2" t="s">
        <v>7</v>
      </c>
    </row>
    <row r="14" spans="1:11" ht="10.5">
      <c r="A14" s="14" t="s">
        <v>39</v>
      </c>
      <c r="B14" s="27" t="s">
        <v>37</v>
      </c>
      <c r="C14" s="28">
        <v>1.00153</v>
      </c>
      <c r="D14" s="29">
        <f>SQRT(1-1/$C14*(1/$C14))</f>
        <v>0.055253883112042185</v>
      </c>
      <c r="E14" s="29">
        <f>0.13957/$C14/$D14</f>
        <v>2.522117474308772</v>
      </c>
      <c r="F14" s="27">
        <v>-2</v>
      </c>
      <c r="G14" s="27">
        <v>238.03</v>
      </c>
      <c r="H14" s="30">
        <f>8.4*1.205</f>
        <v>10.122000000000002</v>
      </c>
      <c r="I14" s="31">
        <f>1680*0.019337</f>
        <v>32.48616</v>
      </c>
      <c r="J14" s="27" t="s">
        <v>7</v>
      </c>
      <c r="K14" s="27" t="s">
        <v>7</v>
      </c>
    </row>
    <row r="15" spans="1:11" ht="10.5">
      <c r="A15" s="21" t="s">
        <v>43</v>
      </c>
      <c r="B15" s="22" t="s">
        <v>6</v>
      </c>
      <c r="C15" s="23">
        <v>1.0014</v>
      </c>
      <c r="D15" s="24">
        <f>SQRT(1-1/$C15*(1/$C15))</f>
        <v>0.05285953988472041</v>
      </c>
      <c r="E15" s="24">
        <f>0.13957/$C15/$D15</f>
        <v>2.636702390499677</v>
      </c>
      <c r="F15" s="22">
        <v>4</v>
      </c>
      <c r="G15" s="22">
        <v>170.92</v>
      </c>
      <c r="H15" s="25">
        <f>5.93*1.205</f>
        <v>7.14565</v>
      </c>
      <c r="I15" s="22">
        <v>27.6</v>
      </c>
      <c r="J15" s="26" t="s">
        <v>24</v>
      </c>
      <c r="K15" s="22" t="s">
        <v>7</v>
      </c>
    </row>
    <row r="16" spans="1:11" ht="10.5">
      <c r="A16" s="15" t="s">
        <v>16</v>
      </c>
      <c r="B16" s="16" t="s">
        <v>17</v>
      </c>
      <c r="C16" s="17">
        <v>1.001285</v>
      </c>
      <c r="D16" s="18">
        <f t="shared" si="0"/>
        <v>0.050646370044502</v>
      </c>
      <c r="E16" s="18">
        <f t="shared" si="1"/>
        <v>2.7522383656169276</v>
      </c>
      <c r="F16" s="16">
        <v>-6</v>
      </c>
      <c r="G16" s="16">
        <v>200.03</v>
      </c>
      <c r="H16" s="16"/>
      <c r="I16" s="16"/>
      <c r="J16" s="16" t="s">
        <v>7</v>
      </c>
      <c r="K16" s="16" t="s">
        <v>7</v>
      </c>
    </row>
    <row r="17" spans="1:11" ht="10.5">
      <c r="A17" s="10" t="s">
        <v>8</v>
      </c>
      <c r="B17" s="2" t="s">
        <v>9</v>
      </c>
      <c r="C17" s="3">
        <v>1.00108</v>
      </c>
      <c r="D17" s="6">
        <f t="shared" si="0"/>
        <v>0.046438193677772285</v>
      </c>
      <c r="E17" s="6">
        <f t="shared" si="1"/>
        <v>3.0022577533103534</v>
      </c>
      <c r="F17" s="2">
        <v>-30</v>
      </c>
      <c r="G17" s="2">
        <v>120.9</v>
      </c>
      <c r="J17" s="13" t="s">
        <v>24</v>
      </c>
      <c r="K17" s="2" t="s">
        <v>7</v>
      </c>
    </row>
    <row r="18" spans="1:11" ht="10.5">
      <c r="A18" s="1" t="s">
        <v>30</v>
      </c>
      <c r="B18" s="2" t="s">
        <v>31</v>
      </c>
      <c r="C18" s="3">
        <v>1.0009</v>
      </c>
      <c r="D18" s="6">
        <f t="shared" si="0"/>
        <v>0.042397793724709046</v>
      </c>
      <c r="E18" s="6">
        <f t="shared" si="1"/>
        <v>3.2889565163570764</v>
      </c>
      <c r="F18" s="5">
        <v>-89</v>
      </c>
      <c r="G18" s="2">
        <v>30.07</v>
      </c>
      <c r="J18" s="2" t="s">
        <v>7</v>
      </c>
      <c r="K18" s="2" t="s">
        <v>24</v>
      </c>
    </row>
    <row r="19" spans="1:11" ht="10.5">
      <c r="A19" s="10" t="s">
        <v>10</v>
      </c>
      <c r="B19" s="2" t="s">
        <v>11</v>
      </c>
      <c r="C19" s="3">
        <v>1.000864</v>
      </c>
      <c r="D19" s="6">
        <f t="shared" si="0"/>
        <v>0.04154230481216296</v>
      </c>
      <c r="E19" s="6">
        <f t="shared" si="1"/>
        <v>3.356807385845306</v>
      </c>
      <c r="F19" s="2">
        <v>-168</v>
      </c>
      <c r="G19" s="2">
        <v>148.9</v>
      </c>
      <c r="J19" s="13" t="s">
        <v>24</v>
      </c>
      <c r="K19" s="2" t="s">
        <v>7</v>
      </c>
    </row>
    <row r="20" spans="1:11" ht="10.5">
      <c r="A20" s="1" t="s">
        <v>28</v>
      </c>
      <c r="B20" s="2" t="s">
        <v>29</v>
      </c>
      <c r="C20" s="3">
        <v>1.0008</v>
      </c>
      <c r="D20" s="6">
        <f t="shared" si="0"/>
        <v>0.039976018385450895</v>
      </c>
      <c r="E20" s="6">
        <f t="shared" si="1"/>
        <v>3.488552359285301</v>
      </c>
      <c r="F20" s="2">
        <v>-79</v>
      </c>
      <c r="G20" s="2">
        <v>138.01</v>
      </c>
      <c r="J20" s="2" t="s">
        <v>7</v>
      </c>
      <c r="K20" s="2" t="s">
        <v>7</v>
      </c>
    </row>
    <row r="21" spans="1:11" ht="10.5">
      <c r="A21" s="10" t="s">
        <v>12</v>
      </c>
      <c r="B21" s="2" t="s">
        <v>13</v>
      </c>
      <c r="C21" s="3">
        <v>1.000782</v>
      </c>
      <c r="D21" s="6">
        <f t="shared" si="0"/>
        <v>0.03952426266205584</v>
      </c>
      <c r="E21" s="6">
        <f t="shared" si="1"/>
        <v>3.5284893923548983</v>
      </c>
      <c r="F21" s="2">
        <v>-81</v>
      </c>
      <c r="G21" s="2">
        <v>104.46</v>
      </c>
      <c r="J21" s="13" t="s">
        <v>24</v>
      </c>
      <c r="K21" s="2" t="s">
        <v>7</v>
      </c>
    </row>
    <row r="22" spans="1:11" ht="10.5">
      <c r="A22" s="1" t="s">
        <v>14</v>
      </c>
      <c r="B22" s="2" t="s">
        <v>15</v>
      </c>
      <c r="C22" s="3">
        <v>1.00046</v>
      </c>
      <c r="D22" s="6">
        <f t="shared" si="0"/>
        <v>0.030321042019033257</v>
      </c>
      <c r="E22" s="6">
        <f t="shared" si="1"/>
        <v>4.600957553894812</v>
      </c>
      <c r="F22" s="2">
        <v>-128</v>
      </c>
      <c r="G22" s="2">
        <v>88.01</v>
      </c>
      <c r="J22" s="2" t="s">
        <v>7</v>
      </c>
      <c r="K22" s="2" t="s">
        <v>7</v>
      </c>
    </row>
    <row r="23" spans="1:11" ht="10.5">
      <c r="A23" s="1" t="s">
        <v>25</v>
      </c>
      <c r="B23" s="2" t="s">
        <v>25</v>
      </c>
      <c r="C23" s="3">
        <v>1.00044</v>
      </c>
      <c r="D23" s="6">
        <f t="shared" si="0"/>
        <v>0.029655008692440293</v>
      </c>
      <c r="E23" s="6">
        <f t="shared" si="1"/>
        <v>4.704386286166622</v>
      </c>
      <c r="F23" s="2" t="s">
        <v>26</v>
      </c>
      <c r="G23" s="2">
        <v>146.06</v>
      </c>
      <c r="J23" s="2" t="s">
        <v>7</v>
      </c>
      <c r="K23" s="2" t="s">
        <v>27</v>
      </c>
    </row>
    <row r="24" spans="1:11" ht="10.5">
      <c r="A24" s="1" t="s">
        <v>80</v>
      </c>
      <c r="B24" s="2" t="s">
        <v>36</v>
      </c>
      <c r="C24" s="3">
        <f>1+410/1000000</f>
        <v>1.00041</v>
      </c>
      <c r="D24" s="4">
        <f>SQRT(1-1/$C24*(1/$C24))</f>
        <v>0.02862684012500788</v>
      </c>
      <c r="E24" s="4">
        <f>0.13957/$C24/$D24</f>
        <v>4.873496311254619</v>
      </c>
      <c r="H24" s="2">
        <v>1.977</v>
      </c>
      <c r="J24" s="2" t="s">
        <v>7</v>
      </c>
      <c r="K24" s="2" t="s">
        <v>7</v>
      </c>
    </row>
    <row r="25" spans="1:11" ht="10.5">
      <c r="A25" s="1" t="s">
        <v>57</v>
      </c>
      <c r="C25" s="3">
        <f>1+293/1000000</f>
        <v>1.000293</v>
      </c>
      <c r="D25" s="4">
        <f>SQRT(1-1/$C25*(1/$C25))</f>
        <v>0.02420211878283513</v>
      </c>
      <c r="E25" s="4">
        <f>0.13957/$C25/$D25</f>
        <v>5.765161274532438</v>
      </c>
      <c r="F25" s="5">
        <f>78.8-273.15</f>
        <v>-194.34999999999997</v>
      </c>
      <c r="H25" s="2">
        <v>1.2931</v>
      </c>
      <c r="J25" s="2" t="s">
        <v>7</v>
      </c>
      <c r="K25" s="2" t="s">
        <v>7</v>
      </c>
    </row>
    <row r="26" spans="1:11" ht="10.5">
      <c r="A26" s="1" t="s">
        <v>56</v>
      </c>
      <c r="C26" s="3">
        <f>1+273/1000000</f>
        <v>1.000273</v>
      </c>
      <c r="D26" s="4">
        <f>SQRT(1-1/$C26*(1/$C26))</f>
        <v>0.023361859822322157</v>
      </c>
      <c r="E26" s="4">
        <f>0.13957/$C26/$D26</f>
        <v>5.972636975411154</v>
      </c>
      <c r="F26" s="5">
        <f>78.8-273.15</f>
        <v>-194.34999999999997</v>
      </c>
      <c r="H26" s="2">
        <v>1.205</v>
      </c>
      <c r="J26" s="2" t="s">
        <v>7</v>
      </c>
      <c r="K26" s="2" t="s">
        <v>7</v>
      </c>
    </row>
    <row r="27" spans="4:5" ht="10.5">
      <c r="D27" s="6"/>
      <c r="E27" s="6"/>
    </row>
    <row r="28" spans="1:11" ht="10.5">
      <c r="A28" s="1" t="s">
        <v>46</v>
      </c>
      <c r="B28" s="2" t="s">
        <v>34</v>
      </c>
      <c r="F28" s="2">
        <v>-37</v>
      </c>
      <c r="G28" s="2">
        <v>188.2</v>
      </c>
      <c r="H28" s="37">
        <f>G28/moler_volume</f>
        <v>8.396537878111893</v>
      </c>
      <c r="J28" s="2" t="s">
        <v>7</v>
      </c>
      <c r="K28" s="2" t="s">
        <v>7</v>
      </c>
    </row>
    <row r="29" spans="1:11" ht="10.5">
      <c r="A29" s="1" t="s">
        <v>47</v>
      </c>
      <c r="B29" s="2" t="s">
        <v>35</v>
      </c>
      <c r="F29" s="2">
        <v>-27</v>
      </c>
      <c r="G29" s="2">
        <v>102</v>
      </c>
      <c r="H29" s="37">
        <f>G29/moler_volume</f>
        <v>4.550727224056393</v>
      </c>
      <c r="J29" s="2" t="s">
        <v>7</v>
      </c>
      <c r="K29" s="2" t="s">
        <v>7</v>
      </c>
    </row>
    <row r="30" ht="10.5">
      <c r="H30" s="8"/>
    </row>
    <row r="31" spans="8:9" ht="10.5">
      <c r="H31" s="37">
        <v>0</v>
      </c>
      <c r="I31" s="3" t="s">
        <v>67</v>
      </c>
    </row>
    <row r="37" ht="10.5">
      <c r="C37" s="20"/>
    </row>
    <row r="39" ht="10.5">
      <c r="E39" s="19"/>
    </row>
    <row r="42" ht="10.5">
      <c r="E42" s="19"/>
    </row>
  </sheetData>
  <printOptions/>
  <pageMargins left="0.39305555555555555" right="0.39305555555555555" top="0.39305555555555555" bottom="0.3930555555555555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3" sqref="E13"/>
    </sheetView>
  </sheetViews>
  <sheetFormatPr defaultColWidth="11.421875" defaultRowHeight="12"/>
  <cols>
    <col min="1" max="16384" width="11.00390625" style="40" customWidth="1"/>
  </cols>
  <sheetData>
    <row r="1" spans="1:2" ht="10.5">
      <c r="A1" s="43">
        <f>Gases!H14</f>
        <v>10.122000000000002</v>
      </c>
      <c r="B1" s="40" t="s">
        <v>81</v>
      </c>
    </row>
    <row r="3" spans="1:6" ht="10.5">
      <c r="A3" s="34" t="s">
        <v>68</v>
      </c>
      <c r="B3" s="34" t="s">
        <v>5</v>
      </c>
      <c r="C3" s="34" t="s">
        <v>5</v>
      </c>
      <c r="D3" s="44" t="s">
        <v>71</v>
      </c>
      <c r="E3" s="45" t="s">
        <v>5</v>
      </c>
      <c r="F3" s="46" t="s">
        <v>76</v>
      </c>
    </row>
    <row r="4" spans="1:6" ht="10.5">
      <c r="A4" s="34" t="s">
        <v>69</v>
      </c>
      <c r="B4" s="34" t="s">
        <v>74</v>
      </c>
      <c r="C4" s="34" t="s">
        <v>75</v>
      </c>
      <c r="D4" s="44" t="s">
        <v>50</v>
      </c>
      <c r="E4" s="44" t="s">
        <v>50</v>
      </c>
      <c r="F4" s="46" t="s">
        <v>77</v>
      </c>
    </row>
    <row r="5" spans="1:7" ht="10.5">
      <c r="A5" s="34" t="s">
        <v>70</v>
      </c>
      <c r="B5" s="34" t="s">
        <v>73</v>
      </c>
      <c r="C5" s="34" t="s">
        <v>72</v>
      </c>
      <c r="D5" s="44" t="s">
        <v>70</v>
      </c>
      <c r="E5" s="45" t="s">
        <v>73</v>
      </c>
      <c r="G5" s="40" t="s">
        <v>79</v>
      </c>
    </row>
    <row r="6" spans="1:7" ht="10.5">
      <c r="A6" s="35">
        <v>13</v>
      </c>
      <c r="B6" s="41">
        <f>A6*C6</f>
        <v>361.40000000000003</v>
      </c>
      <c r="C6" s="42">
        <v>27.8</v>
      </c>
      <c r="D6" s="36">
        <f>A1/1000*2.2*volume</f>
        <v>75.67693056000003</v>
      </c>
      <c r="E6" s="41">
        <f>D6*C6</f>
        <v>2103.818669568001</v>
      </c>
      <c r="F6" s="47">
        <f>A6/D6</f>
        <v>0.1717828657135218</v>
      </c>
      <c r="G6" s="40" t="s">
        <v>78</v>
      </c>
    </row>
    <row r="7" spans="1:7" ht="10.5">
      <c r="A7" s="38">
        <v>55</v>
      </c>
      <c r="B7" s="41">
        <f>A7*C7</f>
        <v>1309</v>
      </c>
      <c r="C7" s="39">
        <v>23.8</v>
      </c>
      <c r="D7" s="36">
        <f>D6</f>
        <v>75.67693056000003</v>
      </c>
      <c r="E7" s="41">
        <f>D7*C7</f>
        <v>1801.1109473280007</v>
      </c>
      <c r="F7" s="47">
        <f>A7/D7</f>
        <v>0.7267736626341307</v>
      </c>
      <c r="G7" s="40" t="s">
        <v>78</v>
      </c>
    </row>
    <row r="8" spans="1:7" ht="10.5">
      <c r="A8" s="38">
        <v>1025</v>
      </c>
      <c r="B8" s="41">
        <f>A8*C8</f>
        <v>20295</v>
      </c>
      <c r="C8" s="39">
        <v>19.8</v>
      </c>
      <c r="D8" s="36">
        <f>D6</f>
        <v>75.67693056000003</v>
      </c>
      <c r="E8" s="41">
        <f>D8*C8</f>
        <v>1498.4032250880007</v>
      </c>
      <c r="F8" s="47">
        <f>A8/D8</f>
        <v>13.544418258181528</v>
      </c>
      <c r="G8" s="40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Lange</dc:creator>
  <cp:keywords/>
  <dc:description/>
  <cp:lastModifiedBy>Doug Wright</cp:lastModifiedBy>
  <dcterms:created xsi:type="dcterms:W3CDTF">2003-05-09T16:27:26Z</dcterms:created>
  <cp:category/>
  <cp:version/>
  <cp:contentType/>
  <cp:contentStatus/>
</cp:coreProperties>
</file>