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521" windowWidth="7425" windowHeight="8700" tabRatio="983" activeTab="0"/>
  </bookViews>
  <sheets>
    <sheet name="Cover Page" sheetId="1" r:id="rId1"/>
    <sheet name="Index" sheetId="2" r:id="rId2"/>
    <sheet name="FY08 BD" sheetId="3" r:id="rId3"/>
    <sheet name="Adjustments" sheetId="4" r:id="rId4"/>
    <sheet name="IM FS Incentive" sheetId="5" r:id="rId5"/>
    <sheet name="ADJ. FY08-Current Rates" sheetId="6" r:id="rId6"/>
    <sheet name="ADJ. FY08-New Rates" sheetId="7" r:id="rId7"/>
    <sheet name="Old Classifications" sheetId="8" r:id="rId8"/>
    <sheet name="SP Letters &amp; Cards" sheetId="9" r:id="rId9"/>
    <sheet name="Presort Letters &amp; Cards" sheetId="10" r:id="rId10"/>
    <sheet name="First-Class Flats" sheetId="11" r:id="rId11"/>
    <sheet name="First-Class Parcels" sheetId="12" r:id="rId12"/>
    <sheet name="Workshare Passthroughs L,F &amp; P" sheetId="13" r:id="rId13"/>
    <sheet name="Workshare Passthroughs Cards" sheetId="14" r:id="rId14"/>
    <sheet name="Summary" sheetId="15" r:id="rId15"/>
  </sheets>
  <definedNames>
    <definedName name="_xlnm.Print_Area" localSheetId="0">'Cover Page'!$A$1:$L$16</definedName>
    <definedName name="Z_8832BA9C_6541_495D_B10E_07D064A9D002_.wvu.PrintArea" localSheetId="0" hidden="1">'Cover Page'!$A$1:$L$16</definedName>
  </definedNames>
  <calcPr fullCalcOnLoad="1"/>
</workbook>
</file>

<file path=xl/sharedStrings.xml><?xml version="1.0" encoding="utf-8"?>
<sst xmlns="http://schemas.openxmlformats.org/spreadsheetml/2006/main" count="472" uniqueCount="217">
  <si>
    <t>Single-Piece Letters, Flats &amp; Parcels</t>
  </si>
  <si>
    <t>Pieces (000)</t>
  </si>
  <si>
    <t>First-Ounce - Letters</t>
  </si>
  <si>
    <t>First-Ounce - Flats</t>
  </si>
  <si>
    <t>First-Ounce - Parcels</t>
  </si>
  <si>
    <t xml:space="preserve">Additional Ounces </t>
  </si>
  <si>
    <t xml:space="preserve">Nonmachinable Surcharge </t>
  </si>
  <si>
    <t>Qualified Business Reply Mail</t>
  </si>
  <si>
    <t xml:space="preserve">First-Ounce </t>
  </si>
  <si>
    <t xml:space="preserve">SINGLE-PIECE </t>
  </si>
  <si>
    <t xml:space="preserve">Stamped Cards </t>
  </si>
  <si>
    <t>Post Cards at Card Rates (excl. QBRM)</t>
  </si>
  <si>
    <t>Post Cards at Letter Rates</t>
  </si>
  <si>
    <t>QBRM Post Cards</t>
  </si>
  <si>
    <t>Single-Piece Cards</t>
  </si>
  <si>
    <t>Nonautomated Presorted Letters and Flats</t>
  </si>
  <si>
    <t>Additional Ounces - Letters</t>
  </si>
  <si>
    <t>Additional Ounces - Flats</t>
  </si>
  <si>
    <t>Presorted Parcels</t>
  </si>
  <si>
    <t>First-Ounce ADC Parcels</t>
  </si>
  <si>
    <t>First-Ounce 3-Digit Parcels</t>
  </si>
  <si>
    <t>First-Ounce 5-Digit Parcels</t>
  </si>
  <si>
    <t>Additional Ounces</t>
  </si>
  <si>
    <t>Nonmachinable Surcharge</t>
  </si>
  <si>
    <t>Automation Presorted Letters</t>
  </si>
  <si>
    <t xml:space="preserve">First-Ounces </t>
  </si>
  <si>
    <t xml:space="preserve">Mixed AADC Automation </t>
  </si>
  <si>
    <t xml:space="preserve">AADC Automation </t>
  </si>
  <si>
    <t xml:space="preserve">3-Digit Automation </t>
  </si>
  <si>
    <t xml:space="preserve">5-Digit Automation </t>
  </si>
  <si>
    <t>Automation Presorted Flats</t>
  </si>
  <si>
    <t xml:space="preserve">Mixed-ADC Automation </t>
  </si>
  <si>
    <t xml:space="preserve">ADC Automation </t>
  </si>
  <si>
    <t>Nonautomation Presort Cards</t>
  </si>
  <si>
    <t>Mixed AADC Automation</t>
  </si>
  <si>
    <t>AADC Automation</t>
  </si>
  <si>
    <t>3-Digit Automation  Presorted Cards</t>
  </si>
  <si>
    <t>5-Digit Automation Presorted Cards</t>
  </si>
  <si>
    <t>Automation Presorted Cards</t>
  </si>
  <si>
    <t xml:space="preserve">Repositionable Notes </t>
  </si>
  <si>
    <t>Repositionable Notes</t>
  </si>
  <si>
    <t>Letters, First Oz. except QBRM</t>
  </si>
  <si>
    <t>Flats, First Oz.</t>
  </si>
  <si>
    <t>Parcels, First Oz.</t>
  </si>
  <si>
    <t>Nonmachinable Letters</t>
  </si>
  <si>
    <t>Single-Piece Card</t>
  </si>
  <si>
    <t>Stamped Cards</t>
  </si>
  <si>
    <t>Postcards at Card Rates</t>
  </si>
  <si>
    <t>Postcards at Letter Rates</t>
  </si>
  <si>
    <t>Nonautomation Presort</t>
  </si>
  <si>
    <t xml:space="preserve">Letters, First Oz. </t>
  </si>
  <si>
    <t>Additional Ounces-Letters</t>
  </si>
  <si>
    <t>Additional Ounces-Flats</t>
  </si>
  <si>
    <t>Presort Parcels</t>
  </si>
  <si>
    <t>ADC</t>
  </si>
  <si>
    <t>3-Digit</t>
  </si>
  <si>
    <t>5-Digit</t>
  </si>
  <si>
    <t>Nonmachinable Parcels</t>
  </si>
  <si>
    <t>Automation Letters</t>
  </si>
  <si>
    <t>Mixed AADC, First Oz.</t>
  </si>
  <si>
    <t>AADC, First Oz.</t>
  </si>
  <si>
    <t>3-Digit, First Oz.</t>
  </si>
  <si>
    <t>5-Digit, First Oz.</t>
  </si>
  <si>
    <t>Automation Flats</t>
  </si>
  <si>
    <t>Mixed ADC, First Oz.</t>
  </si>
  <si>
    <t>ADC, First Oz.</t>
  </si>
  <si>
    <t>Presort Cards</t>
  </si>
  <si>
    <t>Letters</t>
  </si>
  <si>
    <t>Single-Piece</t>
  </si>
  <si>
    <t>QBRM</t>
  </si>
  <si>
    <t>Current Rate</t>
  </si>
  <si>
    <t>Volume</t>
  </si>
  <si>
    <t>Nonmachinable Pieces</t>
  </si>
  <si>
    <t>Qualified Business Reply Mail (QBRM)</t>
  </si>
  <si>
    <t>Pieces</t>
  </si>
  <si>
    <t>Total</t>
  </si>
  <si>
    <t xml:space="preserve">Nonautomation Presort </t>
  </si>
  <si>
    <t>Nonauto presort</t>
  </si>
  <si>
    <t>Automation Cards</t>
  </si>
  <si>
    <t>Automation Presort</t>
  </si>
  <si>
    <t>Business Parcels</t>
  </si>
  <si>
    <t>Single-Piece Letters &amp; Cards</t>
  </si>
  <si>
    <t>Presort Letters &amp; Cards</t>
  </si>
  <si>
    <t>First-Class Flats</t>
  </si>
  <si>
    <t>First-Class Parcels</t>
  </si>
  <si>
    <t>First-Class Mail Automation Flats</t>
  </si>
  <si>
    <t>Barcoding &amp; Presorting ($ / piece)</t>
  </si>
  <si>
    <t>Automation ADC Flats</t>
  </si>
  <si>
    <t>Automation Mixed ADC Flats</t>
  </si>
  <si>
    <t>Automation 3-digit Flats</t>
  </si>
  <si>
    <t>Automation 5-digit Flats</t>
  </si>
  <si>
    <t>First-Class Mail Presorted/Business Parcels</t>
  </si>
  <si>
    <t>Presort 3-digit Parcels</t>
  </si>
  <si>
    <t>Presort ADC Parcels</t>
  </si>
  <si>
    <t>Presort 5-digit Parcels</t>
  </si>
  <si>
    <t>First-Class Mail Nonautomation Letters &amp; Flats</t>
  </si>
  <si>
    <t>Nonautomation Presort Letters</t>
  </si>
  <si>
    <t>Automation Mixed AADC Letters</t>
  </si>
  <si>
    <t>Barcoding</t>
  </si>
  <si>
    <t>Single Piece Letters First Ounce Price</t>
  </si>
  <si>
    <t>Barcoding ($ / piece)[3]</t>
  </si>
  <si>
    <t>Type of Worksharing</t>
  </si>
  <si>
    <t>Benchmark</t>
  </si>
  <si>
    <t>Discount[1]</t>
  </si>
  <si>
    <t>Cost Differential[2]</t>
  </si>
  <si>
    <t>Passthrough</t>
  </si>
  <si>
    <t>First-Class Mail Automation Letters</t>
  </si>
  <si>
    <t>Automation AADC Letters</t>
  </si>
  <si>
    <t>Automation 3-digit Letters</t>
  </si>
  <si>
    <t>Automation 5-digit Letters</t>
  </si>
  <si>
    <t>[1] Discounts calculated from respective adjusted rates</t>
  </si>
  <si>
    <t>First-Class Mail Automation Cards</t>
  </si>
  <si>
    <t>Automation AADC Cards</t>
  </si>
  <si>
    <t>Automation Mixed AADC Cards</t>
  </si>
  <si>
    <t>Automation 3-digit Cards</t>
  </si>
  <si>
    <t>Automation 5-digit Cards</t>
  </si>
  <si>
    <t>First-Class Mail Nonautomation Cards</t>
  </si>
  <si>
    <t>Single Piece Cards Price</t>
  </si>
  <si>
    <t xml:space="preserve">Billing Determinants Data as filed in ACR FY07-04 </t>
  </si>
  <si>
    <t>Single-Piece Letters, Flats &amp; Prcls.</t>
  </si>
  <si>
    <r>
      <t>FCM International</t>
    </r>
    <r>
      <rPr>
        <b/>
        <vertAlign val="superscript"/>
        <sz val="10"/>
        <rFont val="Arial"/>
        <family val="2"/>
      </rPr>
      <t>1</t>
    </r>
  </si>
  <si>
    <t>First-Class Mail International</t>
  </si>
  <si>
    <t>New Rate</t>
  </si>
  <si>
    <t>Volume (000)</t>
  </si>
  <si>
    <t>Revenue (000) Current Rates</t>
  </si>
  <si>
    <t>Revenue (000)</t>
  </si>
  <si>
    <t>Revenue (000) New Rates</t>
  </si>
  <si>
    <r>
      <t>First-Class Flats</t>
    </r>
    <r>
      <rPr>
        <sz val="10"/>
        <rFont val="Arial"/>
        <family val="0"/>
      </rPr>
      <t xml:space="preserve"> - Revenue comparison for Flats.</t>
    </r>
  </si>
  <si>
    <r>
      <t>First-Class Parcels</t>
    </r>
    <r>
      <rPr>
        <sz val="10"/>
        <rFont val="Arial"/>
        <family val="0"/>
      </rPr>
      <t xml:space="preserve"> - Revenue comparison for Parcels.</t>
    </r>
  </si>
  <si>
    <r>
      <t>Summary</t>
    </r>
    <r>
      <rPr>
        <sz val="10"/>
        <rFont val="Arial"/>
        <family val="0"/>
      </rPr>
      <t xml:space="preserve"> - Verification overall revenue increase does not exceed authorized rate authority.</t>
    </r>
  </si>
  <si>
    <r>
      <t>Workshare Passthroughs L,F &amp; P</t>
    </r>
    <r>
      <rPr>
        <sz val="10"/>
        <rFont val="Arial"/>
        <family val="0"/>
      </rPr>
      <t xml:space="preserve"> - Workshare Passthrough percentages at new rates for letters, flats and parcels.</t>
    </r>
  </si>
  <si>
    <r>
      <t>Workshare Passthroughs Cards</t>
    </r>
    <r>
      <rPr>
        <sz val="10"/>
        <rFont val="Arial"/>
        <family val="0"/>
      </rPr>
      <t xml:space="preserve"> - Workshare Passthrough percentages at new rates for Cards.</t>
    </r>
  </si>
  <si>
    <t>SP Letters and Cards</t>
  </si>
  <si>
    <t>Workshare Passthroughs Letters, Flats &amp; Parcels</t>
  </si>
  <si>
    <t>Workshare Passthroughs Cards</t>
  </si>
  <si>
    <t>Summary</t>
  </si>
  <si>
    <t>Index</t>
  </si>
  <si>
    <t>FY08 BD</t>
  </si>
  <si>
    <t>New Prices</t>
  </si>
  <si>
    <r>
      <t>R2008-1 Prices</t>
    </r>
    <r>
      <rPr>
        <b/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</si>
  <si>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0"/>
      </rPr>
      <t xml:space="preserve"> Price List Notice 123 Effective May 12, 2008</t>
    </r>
  </si>
  <si>
    <t>ADJ. FY08-New Rates</t>
  </si>
  <si>
    <t>ADJ. FY 08-Current Rates</t>
  </si>
  <si>
    <t>Current Postage</t>
  </si>
  <si>
    <t>New Postage</t>
  </si>
  <si>
    <t>Rev./Piece</t>
  </si>
  <si>
    <t>Percent Change</t>
  </si>
  <si>
    <t>Additional Ozs. - Letters</t>
  </si>
  <si>
    <t>Additional Ozs. - Flats</t>
  </si>
  <si>
    <t>Additional Ozs. - Parcels</t>
  </si>
  <si>
    <t>Annual Adoption Rate</t>
  </si>
  <si>
    <t xml:space="preserve">Auto Flats volume adopting full-service Intelligent Mail barcode </t>
  </si>
  <si>
    <t>Auto Letters volume adopting full-service Intelligent Mail barcode</t>
  </si>
  <si>
    <t xml:space="preserve">Auto Cards volume adopting full-service Intelligent Mail barcode </t>
  </si>
  <si>
    <t>IMb Lekage</t>
  </si>
  <si>
    <t>Presort Letters</t>
  </si>
  <si>
    <t>Addl. Ounces - QBRM Letters</t>
  </si>
  <si>
    <r>
      <t>1</t>
    </r>
    <r>
      <rPr>
        <sz val="10"/>
        <rFont val="Arial"/>
        <family val="0"/>
      </rPr>
      <t xml:space="preserve"> Excel Spreadsheet: CAPCALC-FCMI-FY2009.xls, Tab: Cap Calculation</t>
    </r>
  </si>
  <si>
    <t>Single Piece Letters[1]</t>
  </si>
  <si>
    <t>Total Single Piece Letters and Cards</t>
  </si>
  <si>
    <t>Total Presort Letters and Cards</t>
  </si>
  <si>
    <t>Single Piece Cards</t>
  </si>
  <si>
    <t>Flats</t>
  </si>
  <si>
    <t>Parcels</t>
  </si>
  <si>
    <t>This is the total adjustment including absentee ballots.</t>
  </si>
  <si>
    <t>[1]</t>
  </si>
  <si>
    <t>1 Excel Spreadsheet: CAPCALC-FCMI-FY2009.xls, Tab: Cap Calculation</t>
  </si>
  <si>
    <r>
      <t xml:space="preserve">FY08 BD </t>
    </r>
    <r>
      <rPr>
        <sz val="10"/>
        <rFont val="Arial"/>
        <family val="2"/>
      </rPr>
      <t xml:space="preserve">- Billing Determinants Data as filed in ACR FY08-04 </t>
    </r>
  </si>
  <si>
    <r>
      <t>Adjustments</t>
    </r>
    <r>
      <rPr>
        <sz val="10"/>
        <rFont val="Arial"/>
        <family val="0"/>
      </rPr>
      <t xml:space="preserve"> - Adjustments to the Billing Determinants volume to match the RPW based no new mail classifications.</t>
    </r>
  </si>
  <si>
    <r>
      <t>ADJ. FY08-Current Rates</t>
    </r>
    <r>
      <rPr>
        <sz val="10"/>
        <rFont val="Arial"/>
        <family val="0"/>
      </rPr>
      <t xml:space="preserve"> - Current Rates and Reference Revenue.</t>
    </r>
  </si>
  <si>
    <r>
      <t>IMB Revenue Leakage Calculation</t>
    </r>
    <r>
      <rPr>
        <sz val="10"/>
        <rFont val="Arial"/>
        <family val="0"/>
      </rPr>
      <t xml:space="preserve"> - Calculation of revenue leakage due to IMB incentive. </t>
    </r>
  </si>
  <si>
    <r>
      <t>ADJ. FY08-New Rates</t>
    </r>
    <r>
      <rPr>
        <sz val="10"/>
        <rFont val="Arial"/>
        <family val="0"/>
      </rPr>
      <t xml:space="preserve"> - New Rates, New Reference Revenue and resultant revenue increase for all First Class Mail.</t>
    </r>
  </si>
  <si>
    <t>Total SP</t>
  </si>
  <si>
    <t>Total Presort</t>
  </si>
  <si>
    <t>Total First-Class</t>
  </si>
  <si>
    <r>
      <t>Old Classifications</t>
    </r>
    <r>
      <rPr>
        <sz val="10"/>
        <rFont val="Arial"/>
        <family val="0"/>
      </rPr>
      <t xml:space="preserve"> - Percent increase calculated by the old classifications</t>
    </r>
  </si>
  <si>
    <t xml:space="preserve">based on new mail classifications. Billing Determinants were prepared using the old classifications. These </t>
  </si>
  <si>
    <t>adjustments would also account for the Automation Carrier Route Letters volume, a rate catrgory that does</t>
  </si>
  <si>
    <t>distribution for the calculation of the cap.</t>
  </si>
  <si>
    <t xml:space="preserve">not currently exist. Therefore this volume will be added to 5-Digit Automation Letters to derive the volume </t>
  </si>
  <si>
    <t>IMB Revenue Leakage Calculation</t>
  </si>
  <si>
    <t xml:space="preserve">[2] Cost Differential from USPS-FY08-03 </t>
  </si>
  <si>
    <t>Docket No. R2009-2</t>
  </si>
  <si>
    <t>First-Class Mail Cap Compliance</t>
  </si>
  <si>
    <t>Revenue (000) Current Prices</t>
  </si>
  <si>
    <t>Revenue(000) Adjusted Prices</t>
  </si>
  <si>
    <t>Newly Generated Unused Authority</t>
  </si>
  <si>
    <t>Full Service Adoption Fraction</t>
  </si>
  <si>
    <t>Full Service Program Implementation Fraction</t>
  </si>
  <si>
    <r>
      <t>SP Letters &amp; Cards</t>
    </r>
    <r>
      <rPr>
        <sz val="10"/>
        <rFont val="Arial"/>
        <family val="0"/>
      </rPr>
      <t xml:space="preserve"> - Revenue comparison for Single Piece Letters &amp; Cards.</t>
    </r>
  </si>
  <si>
    <r>
      <t>Presort Letters &amp; Cards</t>
    </r>
    <r>
      <rPr>
        <sz val="10"/>
        <rFont val="Arial"/>
        <family val="0"/>
      </rPr>
      <t xml:space="preserve"> - Revenue comparison for Presorted Letters &amp; Cards.</t>
    </r>
  </si>
  <si>
    <t xml:space="preserve">The following minor volume adjustments are made to the Billing Determinants to match the RPW Report which is </t>
  </si>
  <si>
    <t>SP Letters not incl. QBRM</t>
  </si>
  <si>
    <t>Total QBRM</t>
  </si>
  <si>
    <t>SP Letters Rev./Piece</t>
  </si>
  <si>
    <t>SP Cards Total</t>
  </si>
  <si>
    <t>SP Cards Rev./Piece</t>
  </si>
  <si>
    <t>Total SP Rev./Piece</t>
  </si>
  <si>
    <t>Nonauto Presort Total</t>
  </si>
  <si>
    <t>Auto Letters Total</t>
  </si>
  <si>
    <t>Auto Cards Total</t>
  </si>
  <si>
    <t>Presort Letters &amp; Cards Total</t>
  </si>
  <si>
    <t>SP Flats Total</t>
  </si>
  <si>
    <t>Nonauto Presort Flats Total</t>
  </si>
  <si>
    <t>Auto Presort Flats Total</t>
  </si>
  <si>
    <t>Total SP Parcels</t>
  </si>
  <si>
    <t>Presort Parcels Total</t>
  </si>
  <si>
    <t>Parcels Total</t>
  </si>
  <si>
    <t>First-Class Mail Domestic Total</t>
  </si>
  <si>
    <t>First-Class Mail Total</t>
  </si>
  <si>
    <t>Available Price Change Authority</t>
  </si>
  <si>
    <t>Overall Price Adjustment Authority</t>
  </si>
  <si>
    <t>Unused Pricing Authority Available Following this Price Change</t>
  </si>
  <si>
    <t>First-Class Mail Price Change Authority</t>
  </si>
  <si>
    <t>IM FS Leakage</t>
  </si>
  <si>
    <t>IM FS Incentive</t>
  </si>
  <si>
    <t>USPS-R2009-2/1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</si>
</sst>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0.0%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0.000%"/>
    <numFmt numFmtId="172" formatCode="#,##0.00000000"/>
    <numFmt numFmtId="173" formatCode="_(* #,##0.000_);_(* \(#,##0.000\);_(* &quot;-&quot;??_);_(@_)"/>
    <numFmt numFmtId="174" formatCode="#,##0.000000000"/>
    <numFmt numFmtId="175" formatCode="0.000"/>
    <numFmt numFmtId="176" formatCode="&quot;$&quot;#,##0.000_);[Red]\(&quot;$&quot;#,##0.000\)"/>
    <numFmt numFmtId="177" formatCode="_(* #,##0.000_);_(* \(#,##0.000\);_(* &quot;-&quot;???_);_(@_)"/>
    <numFmt numFmtId="178" formatCode="0.0000%"/>
    <numFmt numFmtId="179" formatCode="_(* #,##0.0000_);_(* \(#,##0.0000\);_(* &quot;-&quot;??_);_(@_)"/>
    <numFmt numFmtId="180" formatCode="_(* #,##0.00000_);_(* \(#,##0.00000\);_(* &quot;-&quot;??_);_(@_)"/>
    <numFmt numFmtId="181" formatCode="_(&quot;$&quot;* #,##0.0000_);_(&quot;$&quot;* \(#,##0.0000\);_(&quot;$&quot;* &quot;-&quot;??_);_(@_)"/>
    <numFmt numFmtId="182" formatCode="_(&quot;$&quot;* #,##0.00000_);_(&quot;$&quot;* \(#,##0.00000\);_(&quot;$&quot;* &quot;-&quot;??_);_(@_)"/>
    <numFmt numFmtId="183" formatCode="_(&quot;$&quot;* #,##0.000000_);_(&quot;$&quot;* \(#,##0.000000\);_(&quot;$&quot;* &quot;-&quot;??_);_(@_)"/>
    <numFmt numFmtId="184" formatCode="_(&quot;$&quot;* #,##0.0000000_);_(&quot;$&quot;* \(#,##0.0000000\);_(&quot;$&quot;* &quot;-&quot;??_);_(@_)"/>
    <numFmt numFmtId="185" formatCode="_(&quot;$&quot;* #,##0.00000000_);_(&quot;$&quot;* \(#,##0.00000000\);_(&quot;$&quot;* &quot;-&quot;??_);_(@_)"/>
    <numFmt numFmtId="186" formatCode="_(* #,##0.000000_);_(* \(#,##0.000000\);_(* &quot;-&quot;??_);_(@_)"/>
    <numFmt numFmtId="187" formatCode="_(* #,##0.0_);_(* \(#,##0.0\);_(* &quot;-&quot;?_);_(@_)"/>
    <numFmt numFmtId="188" formatCode="_(* #,##0.00_);_(* \(#,##0.00\);_(* &quot;-&quot;?_);_(@_)"/>
    <numFmt numFmtId="189" formatCode="_(* #,##0.000_);_(* \(#,##0.000\);_(* &quot;-&quot;?_);_(@_)"/>
    <numFmt numFmtId="190" formatCode="_(* #,##0.0000_);_(* \(#,##0.0000\);_(* &quot;-&quot;?_);_(@_)"/>
    <numFmt numFmtId="191" formatCode="0.0"/>
    <numFmt numFmtId="192" formatCode="#,##0.000"/>
    <numFmt numFmtId="193" formatCode="#,##0.0000000000"/>
    <numFmt numFmtId="194" formatCode="#,##0.00000000_);\(#,##0.00000000\)"/>
    <numFmt numFmtId="195" formatCode="#,##0.000000000_);\(#,##0.000000000\)"/>
    <numFmt numFmtId="196" formatCode="0.000000%"/>
    <numFmt numFmtId="197" formatCode="#,##0.0_);\(#,##0.0\)"/>
    <numFmt numFmtId="198" formatCode="#,##0.000_);\(#,##0.000\)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&quot;$&quot;* #,##0.000000000_);_(&quot;$&quot;* \(#,##0.000000000\);_(&quot;$&quot;* &quot;-&quot;??_);_(@_)"/>
    <numFmt numFmtId="205" formatCode="&quot;$&quot;#,##0.000"/>
    <numFmt numFmtId="206" formatCode="&quot;$&quot;#,##0.000000_);[Red]\(&quot;$&quot;#,##0.000000\)"/>
    <numFmt numFmtId="207" formatCode="&quot;$&quot;#,##0.00"/>
    <numFmt numFmtId="208" formatCode="0.0000"/>
    <numFmt numFmtId="209" formatCode="0.00000"/>
    <numFmt numFmtId="210" formatCode="&quot;$&quot;#,##0.0000_);[Red]\(&quot;$&quot;#,##0.0000\)"/>
    <numFmt numFmtId="211" formatCode="&quot;$&quot;#,##0.00000_);[Red]\(&quot;$&quot;#,##0.00000\)"/>
    <numFmt numFmtId="212" formatCode="0.00000%"/>
    <numFmt numFmtId="213" formatCode="_(&quot;$&quot;* #,##0.0000000000_);_(&quot;$&quot;* \(#,##0.0000000000\);_(&quot;$&quot;* &quot;-&quot;??_);_(@_)"/>
    <numFmt numFmtId="214" formatCode="_(&quot;$&quot;* #,##0.00000000000_);_(&quot;$&quot;* \(#,##0.00000000000\);_(&quot;$&quot;* &quot;-&quot;??_);_(@_)"/>
    <numFmt numFmtId="215" formatCode="0.000000000000000000%"/>
    <numFmt numFmtId="216" formatCode="0.00000000000000000%"/>
    <numFmt numFmtId="217" formatCode="0.0000000000000000%"/>
    <numFmt numFmtId="218" formatCode="0.000000000000000%"/>
    <numFmt numFmtId="219" formatCode="0.00000000000000%"/>
    <numFmt numFmtId="220" formatCode="0.0000000000000%"/>
    <numFmt numFmtId="221" formatCode="0.000000000000%"/>
    <numFmt numFmtId="222" formatCode="0.00000000000%"/>
    <numFmt numFmtId="223" formatCode="0.0000000000%"/>
    <numFmt numFmtId="224" formatCode="0.000000000%"/>
    <numFmt numFmtId="225" formatCode="0.00000000%"/>
    <numFmt numFmtId="226" formatCode="0.0000000%"/>
  </numFmts>
  <fonts count="47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sz val="10"/>
      <name val="Courier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0"/>
    </font>
    <font>
      <vertAlign val="superscript"/>
      <sz val="10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64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left"/>
    </xf>
    <xf numFmtId="3" fontId="0" fillId="0" borderId="0" xfId="0" applyNumberFormat="1" applyAlignment="1">
      <alignment/>
    </xf>
    <xf numFmtId="164" fontId="1" fillId="0" borderId="0" xfId="57" applyFont="1" applyFill="1" applyBorder="1" applyAlignment="1">
      <alignment horizontal="left"/>
      <protection/>
    </xf>
    <xf numFmtId="164" fontId="4" fillId="0" borderId="0" xfId="57" applyFont="1" applyFill="1" applyBorder="1" applyAlignment="1">
      <alignment horizontal="left"/>
      <protection/>
    </xf>
    <xf numFmtId="164" fontId="0" fillId="0" borderId="0" xfId="57" applyFont="1" applyFill="1" applyBorder="1" applyAlignment="1">
      <alignment horizontal="left"/>
      <protection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0" fillId="0" borderId="0" xfId="42" applyNumberFormat="1" applyAlignment="1">
      <alignment/>
    </xf>
    <xf numFmtId="3" fontId="0" fillId="0" borderId="0" xfId="42" applyNumberFormat="1" applyAlignment="1">
      <alignment/>
    </xf>
    <xf numFmtId="168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10" fontId="0" fillId="0" borderId="0" xfId="6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Alignment="1">
      <alignment/>
    </xf>
    <xf numFmtId="166" fontId="0" fillId="0" borderId="0" xfId="0" applyNumberFormat="1" applyAlignment="1">
      <alignment/>
    </xf>
    <xf numFmtId="44" fontId="0" fillId="0" borderId="0" xfId="44" applyNumberFormat="1" applyAlignment="1">
      <alignment/>
    </xf>
    <xf numFmtId="171" fontId="0" fillId="0" borderId="0" xfId="60" applyNumberFormat="1" applyFont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166" fontId="0" fillId="0" borderId="0" xfId="44" applyNumberFormat="1" applyFont="1" applyAlignment="1">
      <alignment/>
    </xf>
    <xf numFmtId="173" fontId="0" fillId="0" borderId="0" xfId="0" applyNumberFormat="1" applyAlignment="1">
      <alignment/>
    </xf>
    <xf numFmtId="169" fontId="0" fillId="0" borderId="0" xfId="0" applyNumberFormat="1" applyAlignment="1">
      <alignment/>
    </xf>
    <xf numFmtId="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wrapText="1"/>
    </xf>
    <xf numFmtId="0" fontId="5" fillId="0" borderId="0" xfId="0" applyFont="1" applyAlignment="1">
      <alignment horizontal="center"/>
    </xf>
    <xf numFmtId="171" fontId="0" fillId="0" borderId="0" xfId="0" applyNumberForma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3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9" fillId="0" borderId="0" xfId="0" applyFont="1" applyAlignment="1">
      <alignment/>
    </xf>
    <xf numFmtId="44" fontId="8" fillId="0" borderId="0" xfId="44" applyNumberFormat="1" applyFont="1" applyAlignment="1">
      <alignment/>
    </xf>
    <xf numFmtId="169" fontId="8" fillId="0" borderId="0" xfId="44" applyNumberFormat="1" applyFont="1" applyAlignment="1">
      <alignment/>
    </xf>
    <xf numFmtId="3" fontId="0" fillId="0" borderId="0" xfId="42" applyNumberFormat="1" applyFont="1" applyAlignment="1">
      <alignment/>
    </xf>
    <xf numFmtId="178" fontId="0" fillId="0" borderId="0" xfId="60" applyNumberFormat="1" applyFont="1" applyAlignment="1">
      <alignment/>
    </xf>
    <xf numFmtId="178" fontId="0" fillId="0" borderId="0" xfId="0" applyNumberFormat="1" applyAlignment="1">
      <alignment/>
    </xf>
    <xf numFmtId="168" fontId="0" fillId="0" borderId="0" xfId="60" applyNumberFormat="1" applyFont="1" applyAlignment="1">
      <alignment/>
    </xf>
    <xf numFmtId="179" fontId="0" fillId="0" borderId="0" xfId="0" applyNumberFormat="1" applyAlignment="1">
      <alignment/>
    </xf>
    <xf numFmtId="19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5" fillId="0" borderId="14" xfId="0" applyFont="1" applyBorder="1" applyAlignment="1">
      <alignment/>
    </xf>
    <xf numFmtId="1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173" fontId="0" fillId="0" borderId="17" xfId="0" applyNumberFormat="1" applyBorder="1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12" fontId="0" fillId="0" borderId="0" xfId="60" applyNumberFormat="1" applyFont="1" applyAlignment="1">
      <alignment/>
    </xf>
    <xf numFmtId="212" fontId="0" fillId="0" borderId="0" xfId="0" applyNumberForma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wrapText="1"/>
    </xf>
    <xf numFmtId="171" fontId="0" fillId="0" borderId="15" xfId="0" applyNumberFormat="1" applyBorder="1" applyAlignment="1">
      <alignment/>
    </xf>
    <xf numFmtId="171" fontId="0" fillId="0" borderId="15" xfId="60" applyNumberFormat="1" applyFont="1" applyBorder="1" applyAlignment="1">
      <alignment/>
    </xf>
    <xf numFmtId="171" fontId="0" fillId="0" borderId="18" xfId="0" applyNumberFormat="1" applyBorder="1" applyAlignment="1">
      <alignment/>
    </xf>
    <xf numFmtId="171" fontId="0" fillId="0" borderId="18" xfId="60" applyNumberFormat="1" applyFont="1" applyBorder="1" applyAlignment="1">
      <alignment/>
    </xf>
    <xf numFmtId="0" fontId="1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Y951CB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7"/>
  <sheetViews>
    <sheetView tabSelected="1" zoomScalePageLayoutView="0" workbookViewId="0" topLeftCell="A4">
      <selection activeCell="C8" sqref="C8"/>
    </sheetView>
  </sheetViews>
  <sheetFormatPr defaultColWidth="9.140625" defaultRowHeight="12.75"/>
  <sheetData>
    <row r="4" spans="5:8" ht="20.25">
      <c r="E4" s="73" t="s">
        <v>182</v>
      </c>
      <c r="F4" s="73"/>
      <c r="G4" s="73"/>
      <c r="H4" s="73"/>
    </row>
    <row r="6" spans="3:10" ht="20.25">
      <c r="C6" s="79" t="s">
        <v>183</v>
      </c>
      <c r="D6" s="79"/>
      <c r="E6" s="79"/>
      <c r="F6" s="79"/>
      <c r="G6" s="79"/>
      <c r="H6" s="79"/>
      <c r="I6" s="79"/>
      <c r="J6" s="79"/>
    </row>
    <row r="7" spans="3:10" ht="20.25">
      <c r="C7" s="79" t="s">
        <v>216</v>
      </c>
      <c r="D7" s="79"/>
      <c r="E7" s="79"/>
      <c r="F7" s="79"/>
      <c r="G7" s="79"/>
      <c r="H7" s="79"/>
      <c r="I7" s="79"/>
      <c r="J7" s="79"/>
    </row>
  </sheetData>
  <sheetProtection/>
  <mergeCells count="2">
    <mergeCell ref="C6:J6"/>
    <mergeCell ref="C7:J7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">
      <selection activeCell="A15" sqref="A15"/>
    </sheetView>
  </sheetViews>
  <sheetFormatPr defaultColWidth="9.140625" defaultRowHeight="12.75"/>
  <cols>
    <col min="1" max="1" width="30.57421875" style="0" customWidth="1"/>
    <col min="2" max="2" width="11.421875" style="0" customWidth="1"/>
    <col min="3" max="3" width="7.421875" style="0" customWidth="1"/>
    <col min="4" max="4" width="14.28125" style="0" customWidth="1"/>
    <col min="5" max="5" width="9.28125" style="0" bestFit="1" customWidth="1"/>
    <col min="6" max="6" width="14.00390625" style="0" customWidth="1"/>
    <col min="7" max="7" width="9.28125" style="0" bestFit="1" customWidth="1"/>
  </cols>
  <sheetData>
    <row r="1" spans="1:7" ht="25.5">
      <c r="A1" s="35" t="s">
        <v>82</v>
      </c>
      <c r="B1" s="26" t="s">
        <v>71</v>
      </c>
      <c r="C1" s="26" t="s">
        <v>70</v>
      </c>
      <c r="D1" s="26" t="s">
        <v>124</v>
      </c>
      <c r="E1" s="26" t="s">
        <v>122</v>
      </c>
      <c r="F1" s="26" t="s">
        <v>126</v>
      </c>
      <c r="G1" s="74" t="s">
        <v>146</v>
      </c>
    </row>
    <row r="2" ht="12.75">
      <c r="A2" s="8" t="s">
        <v>76</v>
      </c>
    </row>
    <row r="3" spans="1:9" ht="12.75">
      <c r="A3" t="s">
        <v>67</v>
      </c>
      <c r="B3" s="17">
        <f>'ADJ. FY08-Current Rates'!B21</f>
        <v>1530008.3438111264</v>
      </c>
      <c r="C3" s="19">
        <f>'ADJ. FY08-Current Rates'!C21</f>
        <v>0.394</v>
      </c>
      <c r="D3" s="27">
        <f>B3*C3</f>
        <v>602823.2874615839</v>
      </c>
      <c r="E3" s="19">
        <f>'ADJ. FY08-New Rates'!C21</f>
        <v>0.414</v>
      </c>
      <c r="F3" s="27">
        <f>B3*E3</f>
        <v>633423.4543378063</v>
      </c>
      <c r="G3" s="45"/>
      <c r="H3" s="29"/>
      <c r="I3" s="29"/>
    </row>
    <row r="4" spans="1:11" ht="12.75">
      <c r="A4" t="s">
        <v>22</v>
      </c>
      <c r="B4" s="17">
        <f>'ADJ. FY08-Current Rates'!B23</f>
        <v>62706.70413448449</v>
      </c>
      <c r="C4" s="19">
        <f>'ADJ. FY08-Current Rates'!C23</f>
        <v>0.125</v>
      </c>
      <c r="D4" s="27">
        <f>B4*C4</f>
        <v>7838.338016810561</v>
      </c>
      <c r="E4" s="19">
        <f>'ADJ. FY08-New Rates'!C23</f>
        <v>0.125</v>
      </c>
      <c r="F4" s="27">
        <f>B4*E4</f>
        <v>7838.338016810561</v>
      </c>
      <c r="H4" s="29"/>
      <c r="I4" s="29"/>
      <c r="J4" s="29"/>
      <c r="K4" s="29"/>
    </row>
    <row r="5" spans="1:11" ht="12.75">
      <c r="A5" t="s">
        <v>72</v>
      </c>
      <c r="B5" s="17">
        <f>'ADJ. FY08-Current Rates'!B25</f>
        <v>22942.493</v>
      </c>
      <c r="C5" s="19">
        <f>'ADJ. FY08-Current Rates'!C25</f>
        <v>0.2</v>
      </c>
      <c r="D5" s="27">
        <f>B5*C5</f>
        <v>4588.4986</v>
      </c>
      <c r="E5" s="19">
        <f>'ADJ. FY08-New Rates'!C25</f>
        <v>0.2</v>
      </c>
      <c r="F5" s="27">
        <f>B5*E5</f>
        <v>4588.4986</v>
      </c>
      <c r="H5" s="29"/>
      <c r="I5" s="29"/>
      <c r="J5" s="29"/>
      <c r="K5" s="29"/>
    </row>
    <row r="6" spans="1:11" ht="12.75">
      <c r="A6" t="s">
        <v>198</v>
      </c>
      <c r="B6" s="17">
        <f>B3</f>
        <v>1530008.3438111264</v>
      </c>
      <c r="D6" s="21">
        <f>SUM(D3:D5)</f>
        <v>615250.1240783945</v>
      </c>
      <c r="F6" s="21">
        <f>SUM(F3:F5)</f>
        <v>645850.290954617</v>
      </c>
      <c r="H6" s="29"/>
      <c r="I6" s="29"/>
      <c r="J6" s="29"/>
      <c r="K6" s="29"/>
    </row>
    <row r="7" spans="1:11" ht="12.75">
      <c r="A7" t="s">
        <v>145</v>
      </c>
      <c r="B7" s="17"/>
      <c r="D7" s="29">
        <f>D6/$B$6</f>
        <v>0.4021220711423419</v>
      </c>
      <c r="F7" s="29">
        <f>F6/$B$6</f>
        <v>0.42212207114234185</v>
      </c>
      <c r="G7" s="23">
        <f>(F7/D7)-1</f>
        <v>0.0497361409265209</v>
      </c>
      <c r="H7" s="29"/>
      <c r="I7" s="29"/>
      <c r="J7" s="29"/>
      <c r="K7" s="29"/>
    </row>
    <row r="8" spans="2:11" ht="12.75">
      <c r="B8" s="17"/>
      <c r="H8" s="29"/>
      <c r="I8" s="29"/>
      <c r="J8" s="29"/>
      <c r="K8" s="29"/>
    </row>
    <row r="9" spans="1:9" ht="12.75">
      <c r="A9" s="8" t="s">
        <v>58</v>
      </c>
      <c r="B9" s="17"/>
      <c r="I9" s="29"/>
    </row>
    <row r="10" spans="1:10" ht="12.75">
      <c r="A10" t="s">
        <v>59</v>
      </c>
      <c r="B10" s="17">
        <f>'ADJ. FY08-Current Rates'!B36</f>
        <v>2980110.056</v>
      </c>
      <c r="C10" s="19">
        <f>'ADJ. FY08-Current Rates'!C36</f>
        <v>0.369</v>
      </c>
      <c r="D10" s="27">
        <f>B10*C10</f>
        <v>1099660.610664</v>
      </c>
      <c r="E10" s="19">
        <f>'ADJ. FY08-New Rates'!C36</f>
        <v>0.382</v>
      </c>
      <c r="F10" s="27">
        <f>B10*E10</f>
        <v>1138402.041392</v>
      </c>
      <c r="G10" s="29"/>
      <c r="J10" s="28"/>
    </row>
    <row r="11" spans="1:9" ht="12.75">
      <c r="A11" t="s">
        <v>60</v>
      </c>
      <c r="B11" s="17">
        <f>'ADJ. FY08-Current Rates'!B37</f>
        <v>2388754.9</v>
      </c>
      <c r="C11" s="19">
        <f>'ADJ. FY08-Current Rates'!C37</f>
        <v>0.351</v>
      </c>
      <c r="D11" s="27">
        <f>B11*C11</f>
        <v>838452.9698999999</v>
      </c>
      <c r="E11" s="19">
        <f>'ADJ. FY08-New Rates'!C37</f>
        <v>0.36</v>
      </c>
      <c r="F11" s="27">
        <f>B11*E11</f>
        <v>859951.764</v>
      </c>
      <c r="I11" s="29"/>
    </row>
    <row r="12" spans="1:8" ht="12.75">
      <c r="A12" t="s">
        <v>61</v>
      </c>
      <c r="B12" s="17">
        <f>'ADJ. FY08-Current Rates'!B38</f>
        <v>20157561.454000004</v>
      </c>
      <c r="C12" s="19">
        <f>'ADJ. FY08-Current Rates'!C38</f>
        <v>0.346</v>
      </c>
      <c r="D12" s="27">
        <f>B12*C12</f>
        <v>6974516.263084001</v>
      </c>
      <c r="E12" s="19">
        <f>'ADJ. FY08-New Rates'!C38</f>
        <v>0.35700000000000004</v>
      </c>
      <c r="F12" s="27">
        <f>B12*E12</f>
        <v>7196249.439078002</v>
      </c>
      <c r="G12" s="45"/>
      <c r="H12" s="45"/>
    </row>
    <row r="13" spans="1:8" ht="12.75">
      <c r="A13" t="s">
        <v>62</v>
      </c>
      <c r="B13" s="17">
        <f>'ADJ. FY08-Current Rates'!B39</f>
        <v>21323438.880188875</v>
      </c>
      <c r="C13" s="19">
        <f>'ADJ. FY08-Current Rates'!C39</f>
        <v>0.324</v>
      </c>
      <c r="D13" s="27">
        <f>B13*C13</f>
        <v>6908794.197181196</v>
      </c>
      <c r="E13" s="19">
        <f>'ADJ. FY08-New Rates'!C39</f>
        <v>0.335</v>
      </c>
      <c r="F13" s="27">
        <f>B13*E13</f>
        <v>7143352.024863274</v>
      </c>
      <c r="G13" s="46"/>
      <c r="H13" s="45"/>
    </row>
    <row r="14" spans="1:10" ht="12.75">
      <c r="A14" t="s">
        <v>22</v>
      </c>
      <c r="B14" s="17">
        <f>'ADJ. FY08-Current Rates'!B40</f>
        <v>1502210.589344363</v>
      </c>
      <c r="C14" s="19">
        <f>'ADJ. FY08-Current Rates'!C40</f>
        <v>0.125</v>
      </c>
      <c r="D14" s="27">
        <f>B14*C14</f>
        <v>187776.32366804537</v>
      </c>
      <c r="E14" s="19">
        <f>'ADJ. FY08-New Rates'!C40</f>
        <v>0.125</v>
      </c>
      <c r="F14" s="27">
        <f>B14*E14</f>
        <v>187776.32366804537</v>
      </c>
      <c r="I14" s="29"/>
      <c r="J14" s="29"/>
    </row>
    <row r="15" spans="1:10" ht="12.75">
      <c r="A15" t="s">
        <v>214</v>
      </c>
      <c r="B15" s="17"/>
      <c r="C15" s="19"/>
      <c r="D15" s="27"/>
      <c r="E15" s="19"/>
      <c r="F15" s="27">
        <f>'ADJ. FY08-New Rates'!D41</f>
        <v>33569.73039831611</v>
      </c>
      <c r="I15" s="29"/>
      <c r="J15" s="29"/>
    </row>
    <row r="16" spans="1:9" ht="12.75">
      <c r="A16" t="s">
        <v>199</v>
      </c>
      <c r="B16" s="17">
        <f>SUM(B10:B13)</f>
        <v>46849865.29018888</v>
      </c>
      <c r="D16" s="21">
        <f>SUM(D10:D14)</f>
        <v>16009200.364497242</v>
      </c>
      <c r="F16" s="21">
        <f>SUM(F10:F14)-F15</f>
        <v>16492161.862603007</v>
      </c>
      <c r="I16" s="29"/>
    </row>
    <row r="17" spans="1:10" ht="12.75">
      <c r="A17" t="s">
        <v>145</v>
      </c>
      <c r="B17" s="17"/>
      <c r="D17" s="29">
        <f>D16/$B$16</f>
        <v>0.3417128366396782</v>
      </c>
      <c r="F17" s="29">
        <f>F16/$B$16</f>
        <v>0.3520215428678454</v>
      </c>
      <c r="G17" s="23">
        <f>(F17/D17)-1</f>
        <v>0.03016774649012466</v>
      </c>
      <c r="J17" s="28"/>
    </row>
    <row r="18" spans="2:9" ht="12.75">
      <c r="B18" s="17"/>
      <c r="I18" s="29"/>
    </row>
    <row r="19" spans="1:2" ht="12.75">
      <c r="A19" s="8" t="s">
        <v>66</v>
      </c>
      <c r="B19" s="17"/>
    </row>
    <row r="20" spans="1:7" ht="12.75">
      <c r="A20" t="s">
        <v>77</v>
      </c>
      <c r="B20" s="17">
        <f>'ADJ. FY08-Current Rates'!B53</f>
        <v>332597.91</v>
      </c>
      <c r="C20" s="19">
        <f>'ADJ. FY08-Current Rates'!C53</f>
        <v>0.242</v>
      </c>
      <c r="D20" s="27">
        <f>B20*C20</f>
        <v>80488.69421999999</v>
      </c>
      <c r="E20" s="19">
        <f>'ADJ. FY08-New Rates'!C53</f>
        <v>0.245</v>
      </c>
      <c r="F20" s="27">
        <f>B20*E20</f>
        <v>81486.48795</v>
      </c>
      <c r="G20" s="18"/>
    </row>
    <row r="21" spans="2:11" ht="12.75">
      <c r="B21" s="17"/>
      <c r="C21" s="19"/>
      <c r="E21" s="19"/>
      <c r="J21" s="28"/>
      <c r="K21" s="45"/>
    </row>
    <row r="22" spans="1:5" ht="12.75">
      <c r="A22" t="s">
        <v>78</v>
      </c>
      <c r="B22" s="17"/>
      <c r="C22" s="19"/>
      <c r="E22" s="19"/>
    </row>
    <row r="23" spans="1:10" ht="12.75">
      <c r="A23" t="s">
        <v>34</v>
      </c>
      <c r="B23" s="17">
        <f>'ADJ. FY08-Current Rates'!B55</f>
        <v>278422.36100000003</v>
      </c>
      <c r="C23" s="19">
        <f>'ADJ. FY08-Current Rates'!C55</f>
        <v>0.223</v>
      </c>
      <c r="D23" s="27">
        <f>B23*C23</f>
        <v>62088.18650300001</v>
      </c>
      <c r="E23" s="19">
        <f>'ADJ. FY08-New Rates'!C55</f>
        <v>0.23</v>
      </c>
      <c r="F23" s="27">
        <f>B23*E23</f>
        <v>64037.143030000014</v>
      </c>
      <c r="G23" s="29"/>
      <c r="I23" s="28"/>
      <c r="J23" s="28"/>
    </row>
    <row r="24" spans="1:6" ht="12.75">
      <c r="A24" t="s">
        <v>35</v>
      </c>
      <c r="B24" s="17">
        <f>'ADJ. FY08-Current Rates'!B56</f>
        <v>199770.57200000001</v>
      </c>
      <c r="C24" s="19">
        <f>'ADJ. FY08-Current Rates'!C56</f>
        <v>0.213</v>
      </c>
      <c r="D24" s="27">
        <f>B24*C24</f>
        <v>42551.131836</v>
      </c>
      <c r="E24" s="19">
        <f>'ADJ. FY08-New Rates'!C56</f>
        <v>0.22</v>
      </c>
      <c r="F24" s="27">
        <f>B24*E24</f>
        <v>43949.52584</v>
      </c>
    </row>
    <row r="25" spans="1:6" ht="12.75">
      <c r="A25" s="11" t="s">
        <v>36</v>
      </c>
      <c r="B25" s="17">
        <f>'ADJ. FY08-Current Rates'!B57</f>
        <v>1326155.68</v>
      </c>
      <c r="C25" s="19">
        <f>'ADJ. FY08-Current Rates'!C57</f>
        <v>0.21</v>
      </c>
      <c r="D25" s="27">
        <f>B25*C25</f>
        <v>278492.69279999996</v>
      </c>
      <c r="E25" s="19">
        <f>'ADJ. FY08-New Rates'!C57</f>
        <v>0.218</v>
      </c>
      <c r="F25" s="27">
        <f>B25*E25</f>
        <v>289101.93824</v>
      </c>
    </row>
    <row r="26" spans="1:6" ht="12.75">
      <c r="A26" s="11" t="s">
        <v>37</v>
      </c>
      <c r="B26" s="17">
        <f>'ADJ. FY08-Current Rates'!B58</f>
        <v>1419050.781</v>
      </c>
      <c r="C26" s="19">
        <f>'ADJ. FY08-Current Rates'!C58</f>
        <v>0.199</v>
      </c>
      <c r="D26" s="27">
        <f>B26*C26</f>
        <v>282391.105419</v>
      </c>
      <c r="E26" s="19">
        <f>'ADJ. FY08-New Rates'!C58</f>
        <v>0.205</v>
      </c>
      <c r="F26" s="27">
        <f>B26*E26</f>
        <v>290905.41010499996</v>
      </c>
    </row>
    <row r="27" spans="1:6" ht="12.75">
      <c r="A27" t="s">
        <v>214</v>
      </c>
      <c r="B27" s="17"/>
      <c r="C27" s="19"/>
      <c r="D27" s="27"/>
      <c r="E27" s="19"/>
      <c r="F27" s="27">
        <f>'ADJ. FY08-New Rates'!D59</f>
        <v>1934.0396364000003</v>
      </c>
    </row>
    <row r="28" spans="1:6" ht="12.75">
      <c r="A28" t="s">
        <v>200</v>
      </c>
      <c r="B28" s="17">
        <f>SUM(B23:B26)</f>
        <v>3223399.394</v>
      </c>
      <c r="C28" s="19"/>
      <c r="D28" s="21">
        <f>SUM(D23:D26)</f>
        <v>665523.116558</v>
      </c>
      <c r="F28" s="21">
        <f>SUM(F23:F26)-F27</f>
        <v>686059.9775786</v>
      </c>
    </row>
    <row r="29" spans="1:7" ht="12.75">
      <c r="A29" t="s">
        <v>145</v>
      </c>
      <c r="B29" s="17"/>
      <c r="C29" s="19"/>
      <c r="D29" s="29">
        <f>(D28+D20)/($B$28+$B$20)</f>
        <v>0.20978975713475398</v>
      </c>
      <c r="F29" s="29">
        <f>(F28+F20)/($B$28+$B$20)</f>
        <v>0.21584562639156601</v>
      </c>
      <c r="G29" s="23">
        <f>(F29/D29)-1</f>
        <v>0.028866372407887253</v>
      </c>
    </row>
    <row r="30" ht="12.75">
      <c r="J30" s="28"/>
    </row>
    <row r="31" spans="1:6" ht="12.75">
      <c r="A31" t="s">
        <v>201</v>
      </c>
      <c r="B31" s="9">
        <f>B6+B16+B20+B28</f>
        <v>51935870.938</v>
      </c>
      <c r="D31" s="21">
        <f>D6+D16+D20+D28</f>
        <v>17370462.299353637</v>
      </c>
      <c r="F31" s="21">
        <f>F6+F16+F20+F28</f>
        <v>17905558.619086225</v>
      </c>
    </row>
    <row r="32" spans="1:7" ht="12.75">
      <c r="A32" t="s">
        <v>145</v>
      </c>
      <c r="D32" s="19">
        <f>D31/B31</f>
        <v>0.3344598248884696</v>
      </c>
      <c r="E32" s="29"/>
      <c r="F32" s="19">
        <f>F31/B31</f>
        <v>0.3447628449412453</v>
      </c>
      <c r="G32" s="23">
        <f>(F32/D32)-1</f>
        <v>0.030804955591337224</v>
      </c>
    </row>
    <row r="34" ht="12.75">
      <c r="F34" s="21"/>
    </row>
    <row r="36" ht="12.75">
      <c r="F36" s="21"/>
    </row>
  </sheetData>
  <sheetProtection/>
  <printOptions horizontalCentered="1" verticalCentered="1"/>
  <pageMargins left="0.75" right="0.5" top="1" bottom="1" header="0.5" footer="0.5"/>
  <pageSetup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4.140625" style="0" customWidth="1"/>
    <col min="4" max="4" width="14.7109375" style="0" customWidth="1"/>
    <col min="6" max="6" width="14.00390625" style="0" bestFit="1" customWidth="1"/>
  </cols>
  <sheetData>
    <row r="1" spans="1:13" ht="32.25" customHeight="1">
      <c r="A1" s="35" t="s">
        <v>83</v>
      </c>
      <c r="B1" s="26" t="s">
        <v>71</v>
      </c>
      <c r="C1" s="26" t="s">
        <v>70</v>
      </c>
      <c r="D1" s="26" t="s">
        <v>124</v>
      </c>
      <c r="E1" s="26" t="s">
        <v>122</v>
      </c>
      <c r="F1" s="26" t="s">
        <v>126</v>
      </c>
      <c r="G1" s="74" t="s">
        <v>146</v>
      </c>
      <c r="I1" s="26"/>
      <c r="J1" s="26"/>
      <c r="K1" s="26"/>
      <c r="L1" s="26"/>
      <c r="M1" s="26"/>
    </row>
    <row r="2" ht="12.75">
      <c r="A2" s="8" t="s">
        <v>68</v>
      </c>
    </row>
    <row r="3" spans="1:13" ht="12.75">
      <c r="A3" t="s">
        <v>74</v>
      </c>
      <c r="B3" s="4">
        <f>'ADJ. FY08-Current Rates'!B4</f>
        <v>2607156.654047958</v>
      </c>
      <c r="C3" s="25">
        <f>'ADJ. FY08-Current Rates'!C4</f>
        <v>0.83</v>
      </c>
      <c r="D3" s="21">
        <f>B3*C3</f>
        <v>2163940.0228598053</v>
      </c>
      <c r="E3" s="25">
        <f>'ADJ. FY08-New Rates'!C4</f>
        <v>0.88</v>
      </c>
      <c r="F3" s="21">
        <f>E3*B3</f>
        <v>2294297.855562203</v>
      </c>
      <c r="G3" s="18"/>
      <c r="I3" s="25"/>
      <c r="J3" s="29"/>
      <c r="K3" s="29"/>
      <c r="L3" s="29"/>
      <c r="M3" s="29"/>
    </row>
    <row r="4" spans="1:13" ht="12.75">
      <c r="A4" t="s">
        <v>22</v>
      </c>
      <c r="B4" s="4">
        <f>'ADJ. FY08-Current Rates'!B7</f>
        <v>7757512.946120274</v>
      </c>
      <c r="C4" s="25">
        <f>'ADJ. FY08-Current Rates'!C6</f>
        <v>0.17</v>
      </c>
      <c r="D4" s="21">
        <f>B4*C4</f>
        <v>1318777.2008404466</v>
      </c>
      <c r="E4" s="25">
        <f>'ADJ. FY08-New Rates'!C6</f>
        <v>0.17</v>
      </c>
      <c r="F4" s="21">
        <f>E4*B4</f>
        <v>1318777.2008404466</v>
      </c>
      <c r="I4" s="25"/>
      <c r="J4" s="29"/>
      <c r="K4" s="29"/>
      <c r="L4" s="29"/>
      <c r="M4" s="29"/>
    </row>
    <row r="5" spans="1:13" ht="12.75">
      <c r="A5" t="s">
        <v>202</v>
      </c>
      <c r="B5" s="4">
        <f>B3</f>
        <v>2607156.654047958</v>
      </c>
      <c r="D5" s="21">
        <f>SUM(D3:D4)</f>
        <v>3482717.223700252</v>
      </c>
      <c r="F5" s="21">
        <f>SUM(F3:F4)</f>
        <v>3613075.0564026497</v>
      </c>
      <c r="I5" s="25"/>
      <c r="J5" s="29"/>
      <c r="K5" s="29"/>
      <c r="L5" s="29"/>
      <c r="M5" s="29"/>
    </row>
    <row r="6" spans="1:13" ht="12.75">
      <c r="A6" t="s">
        <v>145</v>
      </c>
      <c r="B6" s="4"/>
      <c r="D6" s="29">
        <f>D5/$B$5</f>
        <v>1.3358296741750708</v>
      </c>
      <c r="F6" s="29">
        <f>F5/$B$5</f>
        <v>1.3858296741750709</v>
      </c>
      <c r="G6" s="23">
        <f>(F6/D6)-1</f>
        <v>0.037429921618470585</v>
      </c>
      <c r="I6" s="25"/>
      <c r="J6" s="29"/>
      <c r="K6" s="29"/>
      <c r="L6" s="29"/>
      <c r="M6" s="29"/>
    </row>
    <row r="7" spans="2:13" ht="12.75">
      <c r="B7" s="4"/>
      <c r="D7" s="21"/>
      <c r="F7" s="21"/>
      <c r="I7" s="25"/>
      <c r="J7" s="29"/>
      <c r="K7" s="29"/>
      <c r="L7" s="29"/>
      <c r="M7" s="29"/>
    </row>
    <row r="8" spans="1:13" ht="12.75">
      <c r="A8" s="8" t="s">
        <v>49</v>
      </c>
      <c r="I8" s="25"/>
      <c r="J8" s="29"/>
      <c r="K8" s="29"/>
      <c r="L8" s="29"/>
      <c r="M8" s="29"/>
    </row>
    <row r="9" spans="1:13" ht="12.75">
      <c r="A9" t="s">
        <v>74</v>
      </c>
      <c r="B9" s="4">
        <f>'ADJ. FY08-Current Rates'!B22</f>
        <v>109055.25418887351</v>
      </c>
      <c r="C9" s="29">
        <f>'ADJ. FY08-Current Rates'!C22</f>
        <v>0.727</v>
      </c>
      <c r="D9" s="21">
        <f>B9*C9</f>
        <v>79283.16979531104</v>
      </c>
      <c r="E9" s="29">
        <f>'ADJ. FY08-New Rates'!C22</f>
        <v>0.7569999999999999</v>
      </c>
      <c r="F9" s="21">
        <f>E9*B9</f>
        <v>82554.82742097724</v>
      </c>
      <c r="G9" s="18"/>
      <c r="I9" s="25"/>
      <c r="J9" s="29"/>
      <c r="K9" s="29"/>
      <c r="L9" s="29"/>
      <c r="M9" s="29"/>
    </row>
    <row r="10" spans="1:13" ht="12.75">
      <c r="A10" t="s">
        <v>22</v>
      </c>
      <c r="B10" s="4">
        <f>'ADJ. FY08-Current Rates'!B24</f>
        <v>197215.62035698554</v>
      </c>
      <c r="C10" s="29">
        <f>'ADJ. FY08-Current Rates'!C24</f>
        <v>0.17</v>
      </c>
      <c r="D10" s="21">
        <f>B10*C10</f>
        <v>33526.65546068754</v>
      </c>
      <c r="E10" s="29">
        <f>'ADJ. FY08-New Rates'!C24</f>
        <v>0.17</v>
      </c>
      <c r="F10" s="21">
        <f>E10*B10</f>
        <v>33526.65546068754</v>
      </c>
      <c r="I10" s="25"/>
      <c r="J10" s="29"/>
      <c r="K10" s="29"/>
      <c r="L10" s="29"/>
      <c r="M10" s="29"/>
    </row>
    <row r="11" spans="1:13" ht="12.75">
      <c r="A11" t="s">
        <v>203</v>
      </c>
      <c r="B11" s="4">
        <f>B9</f>
        <v>109055.25418887351</v>
      </c>
      <c r="D11" s="21">
        <f>SUM(D9:D10)</f>
        <v>112809.82525599858</v>
      </c>
      <c r="F11" s="21">
        <f>SUM(F9:F10)</f>
        <v>116081.48288166478</v>
      </c>
      <c r="I11" s="25"/>
      <c r="J11" s="29"/>
      <c r="K11" s="29"/>
      <c r="L11" s="29"/>
      <c r="M11" s="29"/>
    </row>
    <row r="12" spans="1:13" ht="12.75">
      <c r="A12" t="s">
        <v>145</v>
      </c>
      <c r="B12" s="4"/>
      <c r="D12" s="29">
        <f>D11/$B$11</f>
        <v>1.034428153829457</v>
      </c>
      <c r="F12" s="29">
        <f>F11/$B$11</f>
        <v>1.0644281538294569</v>
      </c>
      <c r="G12" s="23">
        <f>(F12/D12)-1</f>
        <v>0.029001530835118583</v>
      </c>
      <c r="I12" s="25"/>
      <c r="J12" s="29"/>
      <c r="K12" s="29"/>
      <c r="L12" s="29"/>
      <c r="M12" s="29"/>
    </row>
    <row r="13" spans="2:13" ht="12.75">
      <c r="B13" s="4"/>
      <c r="D13" s="21"/>
      <c r="F13" s="21"/>
      <c r="I13" s="25"/>
      <c r="J13" s="29"/>
      <c r="K13" s="29"/>
      <c r="L13" s="29"/>
      <c r="M13" s="29"/>
    </row>
    <row r="14" spans="1:13" ht="12.75">
      <c r="A14" s="8" t="s">
        <v>79</v>
      </c>
      <c r="B14" s="4"/>
      <c r="I14" s="25"/>
      <c r="J14" s="29"/>
      <c r="K14" s="29"/>
      <c r="L14" s="29"/>
      <c r="M14" s="29"/>
    </row>
    <row r="15" spans="1:13" ht="12.75">
      <c r="A15" t="s">
        <v>64</v>
      </c>
      <c r="B15" s="4">
        <f>'ADJ. FY08-Current Rates'!B44</f>
        <v>54022.907999999996</v>
      </c>
      <c r="C15" s="29">
        <f>'ADJ. FY08-Current Rates'!C44</f>
        <v>0.702</v>
      </c>
      <c r="D15" s="21">
        <f>B15*C15</f>
        <v>37924.08141599999</v>
      </c>
      <c r="E15" s="29">
        <f>'ADJ. FY08-New Rates'!C44</f>
        <v>0.725</v>
      </c>
      <c r="F15" s="21">
        <f>E15*B15</f>
        <v>39166.60829999999</v>
      </c>
      <c r="G15" s="18"/>
      <c r="I15" s="25"/>
      <c r="J15" s="29"/>
      <c r="K15" s="29"/>
      <c r="L15" s="29"/>
      <c r="M15" s="29"/>
    </row>
    <row r="16" spans="1:13" ht="12.75">
      <c r="A16" t="s">
        <v>65</v>
      </c>
      <c r="B16" s="4">
        <f>'ADJ. FY08-Current Rates'!B45</f>
        <v>98841.478</v>
      </c>
      <c r="C16" s="29">
        <f>'ADJ. FY08-Current Rates'!C45</f>
        <v>0.57</v>
      </c>
      <c r="D16" s="21">
        <f>B16*C16</f>
        <v>56339.642459999995</v>
      </c>
      <c r="E16" s="29">
        <f>'ADJ. FY08-New Rates'!C45</f>
        <v>0.603</v>
      </c>
      <c r="F16" s="21">
        <f>E16*B16</f>
        <v>59601.411234</v>
      </c>
      <c r="G16" s="18"/>
      <c r="I16" s="25"/>
      <c r="J16" s="29"/>
      <c r="K16" s="29"/>
      <c r="L16" s="29"/>
      <c r="M16" s="29"/>
    </row>
    <row r="17" spans="1:13" ht="12.75">
      <c r="A17" t="s">
        <v>61</v>
      </c>
      <c r="B17" s="4">
        <f>'ADJ. FY08-Current Rates'!B46</f>
        <v>281411.66699999996</v>
      </c>
      <c r="C17" s="29">
        <f>'ADJ. FY08-Current Rates'!C46</f>
        <v>0.479</v>
      </c>
      <c r="D17" s="21">
        <f>B17*C17</f>
        <v>134796.18849299997</v>
      </c>
      <c r="E17" s="29">
        <f>'ADJ. FY08-New Rates'!C46</f>
        <v>0.542</v>
      </c>
      <c r="F17" s="21">
        <f>E17*B17</f>
        <v>152525.12351399998</v>
      </c>
      <c r="G17" s="18"/>
      <c r="I17" s="25"/>
      <c r="J17" s="29"/>
      <c r="K17" s="29"/>
      <c r="L17" s="29"/>
      <c r="M17" s="29"/>
    </row>
    <row r="18" spans="1:13" ht="12.75">
      <c r="A18" t="s">
        <v>62</v>
      </c>
      <c r="B18" s="4">
        <f>'ADJ. FY08-Current Rates'!B47</f>
        <v>229252.29899999994</v>
      </c>
      <c r="C18" s="29">
        <f>'ADJ. FY08-Current Rates'!C47</f>
        <v>0.364</v>
      </c>
      <c r="D18" s="21">
        <f>B18*C18</f>
        <v>83447.83683599997</v>
      </c>
      <c r="E18" s="29">
        <f>'ADJ. FY08-New Rates'!C47</f>
        <v>0.38</v>
      </c>
      <c r="F18" s="21">
        <f>E18*B18</f>
        <v>87115.87361999998</v>
      </c>
      <c r="G18" s="18"/>
      <c r="I18" s="25"/>
      <c r="J18" s="29"/>
      <c r="K18" s="29"/>
      <c r="L18" s="29"/>
      <c r="M18" s="29"/>
    </row>
    <row r="19" spans="1:13" ht="12.75">
      <c r="A19" t="s">
        <v>22</v>
      </c>
      <c r="B19" s="4">
        <f>'ADJ. FY08-Current Rates'!B48</f>
        <v>1125677.1317290384</v>
      </c>
      <c r="C19" s="29">
        <f>'ADJ. FY08-Current Rates'!C48</f>
        <v>0.17</v>
      </c>
      <c r="D19" s="21">
        <f>B19*C19</f>
        <v>191365.11239393655</v>
      </c>
      <c r="E19" s="29">
        <f>'ADJ. FY08-New Rates'!C48</f>
        <v>0.17</v>
      </c>
      <c r="F19" s="21">
        <f>E19*B19</f>
        <v>191365.11239393655</v>
      </c>
      <c r="I19" s="25"/>
      <c r="J19" s="29"/>
      <c r="K19" s="29"/>
      <c r="L19" s="29"/>
      <c r="M19" s="29"/>
    </row>
    <row r="20" spans="1:13" ht="12.75">
      <c r="A20" t="s">
        <v>214</v>
      </c>
      <c r="B20" s="4"/>
      <c r="C20" s="29"/>
      <c r="D20" s="21"/>
      <c r="E20" s="29"/>
      <c r="F20" s="21">
        <f>'ADJ. FY08-New Rates'!D49</f>
        <v>387.3984762830769</v>
      </c>
      <c r="I20" s="25"/>
      <c r="J20" s="29"/>
      <c r="K20" s="29"/>
      <c r="L20" s="29"/>
      <c r="M20" s="29"/>
    </row>
    <row r="21" spans="1:6" ht="12.75">
      <c r="A21" t="s">
        <v>204</v>
      </c>
      <c r="B21" s="4">
        <f>SUM(B15:B18)</f>
        <v>663528.352</v>
      </c>
      <c r="D21" s="21">
        <f>SUM(D15:D19)</f>
        <v>503872.8615989365</v>
      </c>
      <c r="F21" s="21">
        <f>SUM(F15:F19)-F20</f>
        <v>529386.7305856535</v>
      </c>
    </row>
    <row r="22" spans="1:7" ht="12.75">
      <c r="A22" t="s">
        <v>145</v>
      </c>
      <c r="B22" s="4"/>
      <c r="D22" s="29">
        <f>D21/$B$21</f>
        <v>0.7593840716529571</v>
      </c>
      <c r="F22" s="29">
        <f>F21/$B$21</f>
        <v>0.7978358859722899</v>
      </c>
      <c r="G22" s="23">
        <f>(F22/D22)-1</f>
        <v>0.05063552918042458</v>
      </c>
    </row>
    <row r="23" spans="2:6" ht="12.75">
      <c r="B23" s="4"/>
      <c r="D23" s="21"/>
      <c r="F23" s="21"/>
    </row>
    <row r="24" ht="12.75">
      <c r="B24" s="4"/>
    </row>
    <row r="25" spans="1:9" ht="12.75">
      <c r="A25" t="s">
        <v>75</v>
      </c>
      <c r="B25" s="4">
        <f>B5+B11+B21</f>
        <v>3379740.2602368314</v>
      </c>
      <c r="D25" s="21">
        <f>D5+D11+D21</f>
        <v>4099399.9105551867</v>
      </c>
      <c r="F25" s="21">
        <f>F5+F11+F21</f>
        <v>4258543.269869968</v>
      </c>
      <c r="I25" s="29"/>
    </row>
    <row r="26" spans="1:9" ht="12.75">
      <c r="A26" t="s">
        <v>145</v>
      </c>
      <c r="B26" s="4"/>
      <c r="D26" s="19">
        <f>D25/B25</f>
        <v>1.2129334194065926</v>
      </c>
      <c r="F26" s="19">
        <f>F25/B25</f>
        <v>1.2600208720097195</v>
      </c>
      <c r="G26" s="23">
        <f>(F26/D26)-1</f>
        <v>0.03882113548010202</v>
      </c>
      <c r="I26" s="19"/>
    </row>
    <row r="27" spans="2:9" ht="12.75">
      <c r="B27" s="4"/>
      <c r="I27" s="19"/>
    </row>
    <row r="28" spans="2:9" ht="12.75">
      <c r="B28" s="4"/>
      <c r="I28" s="19"/>
    </row>
    <row r="29" spans="2:9" ht="12.75">
      <c r="B29" s="4"/>
      <c r="I29" s="19"/>
    </row>
    <row r="30" ht="12.75">
      <c r="I30" s="19"/>
    </row>
    <row r="31" ht="12.75">
      <c r="I31" s="19"/>
    </row>
    <row r="32" ht="12.75">
      <c r="I32" s="19"/>
    </row>
    <row r="33" ht="12.75">
      <c r="I33" s="19"/>
    </row>
    <row r="34" ht="12.75">
      <c r="I34" s="19"/>
    </row>
    <row r="35" ht="12.75">
      <c r="I35" s="19"/>
    </row>
    <row r="36" ht="12.75">
      <c r="I36" s="19"/>
    </row>
    <row r="37" ht="12.75">
      <c r="I37" s="19"/>
    </row>
  </sheetData>
  <sheetProtection/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1.00390625" style="0" customWidth="1"/>
    <col min="2" max="2" width="10.140625" style="0" bestFit="1" customWidth="1"/>
    <col min="4" max="4" width="13.8515625" style="0" customWidth="1"/>
    <col min="6" max="6" width="14.28125" style="0" customWidth="1"/>
  </cols>
  <sheetData>
    <row r="1" spans="1:7" ht="25.5">
      <c r="A1" s="35" t="s">
        <v>84</v>
      </c>
      <c r="B1" s="26" t="s">
        <v>71</v>
      </c>
      <c r="C1" s="26" t="s">
        <v>70</v>
      </c>
      <c r="D1" s="26" t="s">
        <v>124</v>
      </c>
      <c r="E1" s="26" t="s">
        <v>122</v>
      </c>
      <c r="F1" s="26" t="s">
        <v>126</v>
      </c>
      <c r="G1" s="74" t="s">
        <v>146</v>
      </c>
    </row>
    <row r="2" ht="12.75">
      <c r="A2" s="8" t="s">
        <v>68</v>
      </c>
    </row>
    <row r="3" spans="1:12" ht="12.75">
      <c r="A3" t="s">
        <v>74</v>
      </c>
      <c r="B3" s="4">
        <f>'ADJ. FY08-Current Rates'!B5</f>
        <v>595014.4639999999</v>
      </c>
      <c r="C3" s="25">
        <f>'ADJ. FY08-Current Rates'!C5</f>
        <v>1.17</v>
      </c>
      <c r="D3" s="21">
        <f>C3*B3</f>
        <v>696166.9228799999</v>
      </c>
      <c r="E3" s="25">
        <f>'ADJ. FY08-New Rates'!C5</f>
        <v>1.22</v>
      </c>
      <c r="F3" s="21">
        <f>E3*B3</f>
        <v>725917.6460799999</v>
      </c>
      <c r="I3" s="25"/>
      <c r="J3" s="29"/>
      <c r="K3" s="29"/>
      <c r="L3" s="29"/>
    </row>
    <row r="4" spans="1:12" ht="12.75">
      <c r="A4" t="s">
        <v>22</v>
      </c>
      <c r="B4" s="4">
        <f>'ADJ. FY08-Current Rates'!B8</f>
        <v>2679851.999162763</v>
      </c>
      <c r="C4" s="25">
        <f>'ADJ. FY08-Current Rates'!C6</f>
        <v>0.17</v>
      </c>
      <c r="D4" s="21">
        <f>C4*B4</f>
        <v>455574.8398576697</v>
      </c>
      <c r="E4" s="25">
        <f>'ADJ. FY08-New Rates'!C6</f>
        <v>0.17</v>
      </c>
      <c r="F4" s="21">
        <f>E4*B4</f>
        <v>455574.8398576697</v>
      </c>
      <c r="I4" s="25"/>
      <c r="J4" s="29"/>
      <c r="K4" s="29"/>
      <c r="L4" s="29"/>
    </row>
    <row r="5" spans="1:12" ht="12.75">
      <c r="A5" t="s">
        <v>205</v>
      </c>
      <c r="B5" s="4">
        <f>B3</f>
        <v>595014.4639999999</v>
      </c>
      <c r="D5" s="21">
        <f>SUM(D3:D4)</f>
        <v>1151741.7627376695</v>
      </c>
      <c r="F5" s="21">
        <f>SUM(F3:F4)</f>
        <v>1181492.4859376696</v>
      </c>
      <c r="I5" s="25"/>
      <c r="J5" s="29"/>
      <c r="K5" s="29"/>
      <c r="L5" s="29"/>
    </row>
    <row r="6" spans="1:12" ht="12.75">
      <c r="A6" t="s">
        <v>145</v>
      </c>
      <c r="B6" s="4"/>
      <c r="D6" s="19">
        <f>D5/$B$5</f>
        <v>1.9356533873060096</v>
      </c>
      <c r="F6" s="19">
        <f>F5/$B$5</f>
        <v>1.9856533873060098</v>
      </c>
      <c r="G6" s="23">
        <f>(F6/D6)-1</f>
        <v>0.025831070959242863</v>
      </c>
      <c r="I6" s="25"/>
      <c r="J6" s="29"/>
      <c r="K6" s="29"/>
      <c r="L6" s="29"/>
    </row>
    <row r="7" spans="2:12" ht="12.75">
      <c r="B7" s="4"/>
      <c r="D7" s="21"/>
      <c r="F7" s="21"/>
      <c r="I7" s="25"/>
      <c r="J7" s="29"/>
      <c r="K7" s="29"/>
      <c r="L7" s="29"/>
    </row>
    <row r="8" spans="1:12" ht="12.75">
      <c r="A8" s="8" t="s">
        <v>80</v>
      </c>
      <c r="I8" s="25"/>
      <c r="J8" s="29"/>
      <c r="K8" s="29"/>
      <c r="L8" s="29"/>
    </row>
    <row r="9" spans="1:12" ht="12.75">
      <c r="A9" t="s">
        <v>54</v>
      </c>
      <c r="B9" s="4">
        <f>'ADJ. FY08-Current Rates'!B29</f>
        <v>5176.87</v>
      </c>
      <c r="C9" s="29">
        <f>'ADJ. FY08-Current Rates'!C29</f>
        <v>0.918</v>
      </c>
      <c r="D9" s="21">
        <f>C9*B9</f>
        <v>4752.36666</v>
      </c>
      <c r="E9" s="29">
        <f>'ADJ. FY08-New Rates'!C29</f>
        <v>0.95</v>
      </c>
      <c r="F9" s="21">
        <f>E9*B9</f>
        <v>4918.0265</v>
      </c>
      <c r="G9" s="18"/>
      <c r="I9" s="25"/>
      <c r="J9" s="29"/>
      <c r="K9" s="29"/>
      <c r="L9" s="29"/>
    </row>
    <row r="10" spans="1:12" ht="12.75">
      <c r="A10" t="s">
        <v>55</v>
      </c>
      <c r="B10" s="4">
        <f>'ADJ. FY08-Current Rates'!B30</f>
        <v>3555.2289999999994</v>
      </c>
      <c r="C10" s="29">
        <f>'ADJ. FY08-Current Rates'!C30</f>
        <v>0.858</v>
      </c>
      <c r="D10" s="21">
        <f>C10*B10</f>
        <v>3050.3864819999994</v>
      </c>
      <c r="E10" s="29">
        <f>'ADJ. FY08-New Rates'!C30</f>
        <v>0.8640000000000001</v>
      </c>
      <c r="F10" s="21">
        <f>E10*B10</f>
        <v>3071.7178559999998</v>
      </c>
      <c r="G10" s="18"/>
      <c r="I10" s="25"/>
      <c r="J10" s="29"/>
      <c r="K10" s="29"/>
      <c r="L10" s="29"/>
    </row>
    <row r="11" spans="1:12" ht="12.75">
      <c r="A11" t="s">
        <v>56</v>
      </c>
      <c r="B11" s="4">
        <f>'ADJ. FY08-Current Rates'!B31</f>
        <v>1775.201</v>
      </c>
      <c r="C11" s="29">
        <f>'ADJ. FY08-Current Rates'!C31</f>
        <v>0.711</v>
      </c>
      <c r="D11" s="21">
        <f>C11*B11</f>
        <v>1262.167911</v>
      </c>
      <c r="E11" s="29">
        <f>'ADJ. FY08-New Rates'!C31</f>
        <v>0.732</v>
      </c>
      <c r="F11" s="21">
        <f>E11*B11</f>
        <v>1299.447132</v>
      </c>
      <c r="G11" s="18"/>
      <c r="I11" s="25"/>
      <c r="J11" s="29"/>
      <c r="K11" s="29"/>
      <c r="L11" s="29"/>
    </row>
    <row r="12" spans="1:12" ht="12.75">
      <c r="A12" t="s">
        <v>57</v>
      </c>
      <c r="B12" s="4">
        <f>'ADJ. FY08-Current Rates'!B32</f>
        <v>3041.268</v>
      </c>
      <c r="C12" s="29">
        <f>'ADJ. FY08-Current Rates'!C32</f>
        <v>0.05</v>
      </c>
      <c r="D12" s="21">
        <f>C12*B12</f>
        <v>152.0634</v>
      </c>
      <c r="E12" s="29">
        <f>'ADJ. FY08-New Rates'!C32</f>
        <v>0.05</v>
      </c>
      <c r="F12" s="21">
        <f>E12*B12</f>
        <v>152.0634</v>
      </c>
      <c r="I12" s="25"/>
      <c r="J12" s="29"/>
      <c r="K12" s="29"/>
      <c r="L12" s="29"/>
    </row>
    <row r="13" spans="1:12" ht="12.75">
      <c r="A13" t="s">
        <v>22</v>
      </c>
      <c r="B13" s="4">
        <f>'ADJ. FY08-Current Rates'!B33</f>
        <v>39802.30376732894</v>
      </c>
      <c r="C13" s="29">
        <f>'ADJ. FY08-Current Rates'!C33</f>
        <v>0.17</v>
      </c>
      <c r="D13" s="21">
        <f>C13*B13</f>
        <v>6766.39164044592</v>
      </c>
      <c r="E13" s="29">
        <f>'ADJ. FY08-New Rates'!C33</f>
        <v>0.17</v>
      </c>
      <c r="F13" s="21">
        <f>E13*B13</f>
        <v>6766.39164044592</v>
      </c>
      <c r="I13" s="25"/>
      <c r="J13" s="29"/>
      <c r="K13" s="29"/>
      <c r="L13" s="29"/>
    </row>
    <row r="14" spans="1:12" ht="12.75">
      <c r="A14" t="s">
        <v>206</v>
      </c>
      <c r="B14" s="4">
        <f>SUM(B9:B11)</f>
        <v>10507.3</v>
      </c>
      <c r="C14" s="25"/>
      <c r="D14" s="21">
        <f>SUM(D9:D13)</f>
        <v>15983.37609344592</v>
      </c>
      <c r="F14" s="21">
        <f>SUM(F9:F13)</f>
        <v>16207.64652844592</v>
      </c>
      <c r="I14" s="25"/>
      <c r="J14" s="29"/>
      <c r="K14" s="29"/>
      <c r="L14" s="29"/>
    </row>
    <row r="15" spans="1:12" ht="12.75">
      <c r="A15" t="s">
        <v>145</v>
      </c>
      <c r="B15" s="4"/>
      <c r="C15" s="25"/>
      <c r="D15" s="19">
        <f>D14/$B$14</f>
        <v>1.5211687201703503</v>
      </c>
      <c r="F15" s="19">
        <f>F14/$B$14</f>
        <v>1.5425129698824551</v>
      </c>
      <c r="G15" s="23">
        <f>(F15/D15)-1</f>
        <v>0.014031480814116648</v>
      </c>
      <c r="I15" s="25"/>
      <c r="J15" s="29"/>
      <c r="K15" s="29"/>
      <c r="L15" s="29"/>
    </row>
    <row r="16" spans="9:12" ht="12.75">
      <c r="I16" s="25"/>
      <c r="J16" s="29"/>
      <c r="K16" s="29"/>
      <c r="L16" s="29"/>
    </row>
    <row r="17" spans="1:12" ht="12.75">
      <c r="A17" t="s">
        <v>207</v>
      </c>
      <c r="B17" s="4">
        <f>B5+B14</f>
        <v>605521.764</v>
      </c>
      <c r="D17" s="21">
        <f>D5+D14</f>
        <v>1167725.1388311153</v>
      </c>
      <c r="F17" s="21">
        <f>F5+F14</f>
        <v>1197700.1324661155</v>
      </c>
      <c r="I17" s="25"/>
      <c r="J17" s="29"/>
      <c r="K17" s="29"/>
      <c r="L17" s="29"/>
    </row>
    <row r="18" spans="1:12" ht="12.75">
      <c r="A18" t="s">
        <v>145</v>
      </c>
      <c r="D18" s="19">
        <f>D17/B17</f>
        <v>1.9284610533521886</v>
      </c>
      <c r="F18" s="19">
        <f>F17/B17</f>
        <v>1.977963805221897</v>
      </c>
      <c r="G18" s="23">
        <f>(F18/D18)-1</f>
        <v>0.025669562672089752</v>
      </c>
      <c r="I18" s="25"/>
      <c r="J18" s="29"/>
      <c r="K18" s="29"/>
      <c r="L18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5">
      <selection activeCell="J3" sqref="J3:L32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26.7109375" style="0" customWidth="1"/>
    <col min="4" max="4" width="34.00390625" style="0" customWidth="1"/>
    <col min="5" max="5" width="4.28125" style="0" customWidth="1"/>
    <col min="6" max="6" width="11.140625" style="0" customWidth="1"/>
    <col min="7" max="7" width="17.421875" style="0" customWidth="1"/>
  </cols>
  <sheetData>
    <row r="1" ht="12.75">
      <c r="A1" s="8" t="s">
        <v>133</v>
      </c>
    </row>
    <row r="3" spans="2:10" ht="12.75">
      <c r="B3" t="s">
        <v>101</v>
      </c>
      <c r="D3" t="s">
        <v>102</v>
      </c>
      <c r="F3" s="31" t="s">
        <v>103</v>
      </c>
      <c r="G3" t="s">
        <v>104</v>
      </c>
      <c r="H3" t="s">
        <v>105</v>
      </c>
      <c r="J3" s="31"/>
    </row>
    <row r="5" ht="12.75">
      <c r="A5" t="s">
        <v>106</v>
      </c>
    </row>
    <row r="7" ht="12.75">
      <c r="B7" t="s">
        <v>86</v>
      </c>
    </row>
    <row r="8" spans="3:12" ht="12.75">
      <c r="C8" t="s">
        <v>107</v>
      </c>
      <c r="D8" t="s">
        <v>97</v>
      </c>
      <c r="F8" s="19">
        <f>'Presort Letters &amp; Cards'!E10-'Presort Letters &amp; Cards'!E11</f>
        <v>0.02200000000000002</v>
      </c>
      <c r="G8" s="19">
        <f>ROUND((12.85738-10.69767)/100,3)</f>
        <v>0.022</v>
      </c>
      <c r="H8" s="16">
        <f>+F8/G8</f>
        <v>1.0000000000000009</v>
      </c>
      <c r="J8" s="29"/>
      <c r="K8" s="29"/>
      <c r="L8" s="16"/>
    </row>
    <row r="9" spans="3:12" ht="12.75">
      <c r="C9" t="s">
        <v>108</v>
      </c>
      <c r="D9" t="s">
        <v>107</v>
      </c>
      <c r="F9" s="19">
        <f>'Presort Letters &amp; Cards'!E11-'Presort Letters &amp; Cards'!E12</f>
        <v>0.002999999999999947</v>
      </c>
      <c r="G9" s="19">
        <f>ROUND((10.69767-10.39602)/100,3)</f>
        <v>0.003</v>
      </c>
      <c r="H9" s="16">
        <f>+F9/G9</f>
        <v>0.9999999999999823</v>
      </c>
      <c r="J9" s="29"/>
      <c r="K9" s="29"/>
      <c r="L9" s="16"/>
    </row>
    <row r="10" spans="3:12" ht="12.75">
      <c r="C10" t="s">
        <v>109</v>
      </c>
      <c r="D10" t="s">
        <v>108</v>
      </c>
      <c r="F10" s="19">
        <f>'Presort Letters &amp; Cards'!E12-'Presort Letters &amp; Cards'!E13</f>
        <v>0.02200000000000002</v>
      </c>
      <c r="G10" s="19">
        <f>ROUND((10.39602-7.95966)/100,3)</f>
        <v>0.024</v>
      </c>
      <c r="H10" s="16">
        <f>+F10/G10</f>
        <v>0.9166666666666674</v>
      </c>
      <c r="J10" s="29"/>
      <c r="K10" s="29"/>
      <c r="L10" s="16"/>
    </row>
    <row r="11" spans="6:11" ht="12.75">
      <c r="F11" s="19"/>
      <c r="G11" s="19"/>
      <c r="J11" s="29"/>
      <c r="K11" s="29"/>
    </row>
    <row r="12" spans="1:11" ht="12.75">
      <c r="A12" t="s">
        <v>85</v>
      </c>
      <c r="F12" s="19"/>
      <c r="G12" s="19"/>
      <c r="J12" s="29"/>
      <c r="K12" s="29"/>
    </row>
    <row r="13" spans="6:11" ht="12.75">
      <c r="F13" s="19"/>
      <c r="G13" s="19"/>
      <c r="J13" s="29"/>
      <c r="K13" s="29"/>
    </row>
    <row r="14" spans="2:11" ht="12.75">
      <c r="B14" t="s">
        <v>86</v>
      </c>
      <c r="F14" s="19"/>
      <c r="G14" s="19"/>
      <c r="J14" s="29"/>
      <c r="K14" s="29"/>
    </row>
    <row r="15" spans="3:12" ht="12.75">
      <c r="C15" t="s">
        <v>87</v>
      </c>
      <c r="D15" t="s">
        <v>88</v>
      </c>
      <c r="F15" s="19">
        <f>'First-Class Flats'!E15-'First-Class Flats'!E16</f>
        <v>0.122</v>
      </c>
      <c r="G15" s="19">
        <f>ROUND((49.36715-40.98874)/100,3)</f>
        <v>0.084</v>
      </c>
      <c r="H15" s="16">
        <f>+F15/G15</f>
        <v>1.4523809523809523</v>
      </c>
      <c r="J15" s="29"/>
      <c r="K15" s="29"/>
      <c r="L15" s="16"/>
    </row>
    <row r="16" spans="3:12" ht="12.75">
      <c r="C16" t="s">
        <v>89</v>
      </c>
      <c r="D16" t="s">
        <v>87</v>
      </c>
      <c r="F16" s="19">
        <f>'First-Class Flats'!E16-'First-Class Flats'!E17</f>
        <v>0.06099999999999994</v>
      </c>
      <c r="G16" s="19">
        <f>ROUND((40.98874-34.92192)/100,3)</f>
        <v>0.061</v>
      </c>
      <c r="H16" s="16">
        <f>+F16/G16</f>
        <v>0.9999999999999991</v>
      </c>
      <c r="J16" s="29"/>
      <c r="K16" s="29"/>
      <c r="L16" s="16"/>
    </row>
    <row r="17" spans="3:12" ht="12.75">
      <c r="C17" t="s">
        <v>90</v>
      </c>
      <c r="D17" t="s">
        <v>89</v>
      </c>
      <c r="F17" s="19">
        <f>'First-Class Flats'!E17-'First-Class Flats'!E18</f>
        <v>0.16200000000000003</v>
      </c>
      <c r="G17" s="19">
        <f>ROUND((34.92192-18.70399)/100,3)</f>
        <v>0.162</v>
      </c>
      <c r="H17" s="16">
        <f>+F17/G17</f>
        <v>1.0000000000000002</v>
      </c>
      <c r="J17" s="29"/>
      <c r="K17" s="29"/>
      <c r="L17" s="16"/>
    </row>
    <row r="18" spans="6:12" ht="12.75">
      <c r="F18" s="19"/>
      <c r="G18" s="19"/>
      <c r="H18" s="30"/>
      <c r="J18" s="29"/>
      <c r="K18" s="29"/>
      <c r="L18" s="30"/>
    </row>
    <row r="19" spans="1:12" ht="12.75">
      <c r="A19" t="s">
        <v>91</v>
      </c>
      <c r="F19" s="19"/>
      <c r="G19" s="19"/>
      <c r="H19" s="30"/>
      <c r="J19" s="29"/>
      <c r="K19" s="29"/>
      <c r="L19" s="30"/>
    </row>
    <row r="20" spans="6:12" ht="12.75">
      <c r="F20" s="19"/>
      <c r="G20" s="19"/>
      <c r="H20" s="30"/>
      <c r="J20" s="29"/>
      <c r="K20" s="29"/>
      <c r="L20" s="30"/>
    </row>
    <row r="21" spans="2:12" ht="12.75">
      <c r="B21" t="s">
        <v>86</v>
      </c>
      <c r="F21" s="19"/>
      <c r="G21" s="19"/>
      <c r="H21" s="30"/>
      <c r="J21" s="29"/>
      <c r="K21" s="29"/>
      <c r="L21" s="30"/>
    </row>
    <row r="22" spans="3:12" ht="12.75">
      <c r="C22" t="s">
        <v>92</v>
      </c>
      <c r="D22" t="s">
        <v>93</v>
      </c>
      <c r="F22" s="19">
        <f>'First-Class Parcels'!E9-'First-Class Parcels'!E10</f>
        <v>0.08599999999999985</v>
      </c>
      <c r="G22" s="19">
        <f>ROUND((156.13339-108.08622)/100,3)</f>
        <v>0.48</v>
      </c>
      <c r="H22" s="16">
        <f>+F22/G22</f>
        <v>0.17916666666666636</v>
      </c>
      <c r="J22" s="29"/>
      <c r="K22" s="29"/>
      <c r="L22" s="16"/>
    </row>
    <row r="23" spans="3:12" ht="12.75">
      <c r="C23" t="s">
        <v>94</v>
      </c>
      <c r="D23" t="s">
        <v>92</v>
      </c>
      <c r="F23" s="19">
        <f>'First-Class Parcels'!E10-'First-Class Parcels'!E11</f>
        <v>0.13200000000000012</v>
      </c>
      <c r="G23" s="19">
        <f>ROUND((108.08622-86.01376)/100,3)</f>
        <v>0.221</v>
      </c>
      <c r="H23" s="16">
        <f>+F23/G23</f>
        <v>0.5972850678733037</v>
      </c>
      <c r="J23" s="29"/>
      <c r="K23" s="29"/>
      <c r="L23" s="16"/>
    </row>
    <row r="24" spans="6:12" ht="12.75">
      <c r="F24" s="19"/>
      <c r="G24" s="19"/>
      <c r="H24" s="30"/>
      <c r="J24" s="29"/>
      <c r="K24" s="29"/>
      <c r="L24" s="30"/>
    </row>
    <row r="25" spans="1:12" ht="12.75">
      <c r="A25" t="s">
        <v>95</v>
      </c>
      <c r="F25" s="19"/>
      <c r="G25" s="19"/>
      <c r="H25" s="30"/>
      <c r="J25" s="29"/>
      <c r="K25" s="29"/>
      <c r="L25" s="30"/>
    </row>
    <row r="26" spans="6:12" ht="12.75">
      <c r="F26" s="19"/>
      <c r="G26" s="19"/>
      <c r="H26" s="30"/>
      <c r="J26" s="29"/>
      <c r="K26" s="29"/>
      <c r="L26" s="30"/>
    </row>
    <row r="27" spans="2:11" ht="12.75">
      <c r="B27" t="s">
        <v>100</v>
      </c>
      <c r="F27" s="19"/>
      <c r="G27" s="19"/>
      <c r="J27" s="29"/>
      <c r="K27" s="29"/>
    </row>
    <row r="28" spans="3:12" ht="12.75">
      <c r="C28" t="s">
        <v>96</v>
      </c>
      <c r="D28" t="s">
        <v>97</v>
      </c>
      <c r="F28" s="19">
        <f>'Presort Letters &amp; Cards'!E3-'Presort Letters &amp; Cards'!E10</f>
        <v>0.03199999999999997</v>
      </c>
      <c r="G28" s="19">
        <f>ROUND((7.0291-5.33542)/100,3)</f>
        <v>0.017</v>
      </c>
      <c r="H28" s="16">
        <f>+F28/G28</f>
        <v>1.8823529411764688</v>
      </c>
      <c r="J28" s="29"/>
      <c r="K28" s="29"/>
      <c r="L28" s="16"/>
    </row>
    <row r="29" spans="6:12" ht="12.75">
      <c r="F29" s="19"/>
      <c r="G29" s="19"/>
      <c r="H29" s="16"/>
      <c r="J29" s="29"/>
      <c r="K29" s="29"/>
      <c r="L29" s="16"/>
    </row>
    <row r="30" spans="1:11" ht="12.75">
      <c r="A30" t="s">
        <v>7</v>
      </c>
      <c r="F30" s="19"/>
      <c r="G30" s="19"/>
      <c r="J30" s="29"/>
      <c r="K30" s="29"/>
    </row>
    <row r="31" spans="2:11" ht="12.75">
      <c r="B31" t="s">
        <v>98</v>
      </c>
      <c r="F31" s="19"/>
      <c r="G31" s="19"/>
      <c r="J31" s="29"/>
      <c r="K31" s="29"/>
    </row>
    <row r="32" spans="3:12" ht="12.75">
      <c r="C32" t="s">
        <v>69</v>
      </c>
      <c r="D32" t="s">
        <v>99</v>
      </c>
      <c r="F32" s="19">
        <f>'SP Letters &amp; Cards'!E3-'SP Letters &amp; Cards'!E10</f>
        <v>0.02300000000000002</v>
      </c>
      <c r="G32" s="19">
        <f>ROUND((4.35507-2.08775)/100,3)</f>
        <v>0.023</v>
      </c>
      <c r="H32" s="16">
        <f>+F32/G32</f>
        <v>1.0000000000000009</v>
      </c>
      <c r="J32" s="29"/>
      <c r="K32" s="29"/>
      <c r="L32" s="16"/>
    </row>
    <row r="35" ht="12.75">
      <c r="A35" t="s">
        <v>110</v>
      </c>
    </row>
    <row r="36" ht="12.75">
      <c r="A36" t="s">
        <v>181</v>
      </c>
    </row>
  </sheetData>
  <sheetProtection/>
  <printOptions/>
  <pageMargins left="0.75" right="0.5" top="1" bottom="0.5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2" sqref="I2:K18"/>
    </sheetView>
  </sheetViews>
  <sheetFormatPr defaultColWidth="9.140625" defaultRowHeight="12.75"/>
  <cols>
    <col min="1" max="1" width="5.421875" style="0" customWidth="1"/>
    <col min="2" max="2" width="4.8515625" style="0" customWidth="1"/>
    <col min="3" max="3" width="27.00390625" style="0" customWidth="1"/>
    <col min="4" max="4" width="27.421875" style="0" customWidth="1"/>
    <col min="5" max="5" width="3.8515625" style="0" customWidth="1"/>
    <col min="6" max="6" width="11.140625" style="0" customWidth="1"/>
    <col min="7" max="7" width="12.421875" style="0" customWidth="1"/>
    <col min="8" max="8" width="12.57421875" style="0" customWidth="1"/>
    <col min="11" max="11" width="9.7109375" style="0" bestFit="1" customWidth="1"/>
  </cols>
  <sheetData>
    <row r="1" ht="12.75">
      <c r="A1" s="8" t="s">
        <v>134</v>
      </c>
    </row>
    <row r="2" spans="2:9" ht="25.5">
      <c r="B2" t="s">
        <v>101</v>
      </c>
      <c r="D2" t="s">
        <v>102</v>
      </c>
      <c r="F2" s="32" t="s">
        <v>103</v>
      </c>
      <c r="G2" s="24" t="s">
        <v>104</v>
      </c>
      <c r="H2" s="24" t="s">
        <v>105</v>
      </c>
      <c r="I2" s="31"/>
    </row>
    <row r="4" ht="12.75">
      <c r="A4" t="s">
        <v>111</v>
      </c>
    </row>
    <row r="6" ht="12.75">
      <c r="B6" t="s">
        <v>86</v>
      </c>
    </row>
    <row r="7" spans="3:11" ht="12.75">
      <c r="C7" t="s">
        <v>112</v>
      </c>
      <c r="D7" t="s">
        <v>113</v>
      </c>
      <c r="F7" s="19">
        <f>'Presort Letters &amp; Cards'!E23-'Presort Letters &amp; Cards'!E24</f>
        <v>0.010000000000000009</v>
      </c>
      <c r="G7" s="19">
        <f>ROUND((8.34653-7.1561)/100,3)</f>
        <v>0.012</v>
      </c>
      <c r="H7" s="16">
        <f>+F7/G7</f>
        <v>0.833333333333334</v>
      </c>
      <c r="I7" s="29"/>
      <c r="J7" s="29"/>
      <c r="K7" s="16"/>
    </row>
    <row r="8" spans="3:12" ht="12.75">
      <c r="C8" t="s">
        <v>114</v>
      </c>
      <c r="D8" t="s">
        <v>112</v>
      </c>
      <c r="F8" s="19">
        <f>'Presort Letters &amp; Cards'!E24-'Presort Letters &amp; Cards'!E25</f>
        <v>0.0020000000000000018</v>
      </c>
      <c r="G8" s="19">
        <f>ROUND((7.1561-6.99547)/100,3)</f>
        <v>0.002</v>
      </c>
      <c r="H8" s="16">
        <f>+F8/G8</f>
        <v>1.0000000000000009</v>
      </c>
      <c r="I8" s="29"/>
      <c r="J8" s="29"/>
      <c r="K8" s="16"/>
      <c r="L8" s="47"/>
    </row>
    <row r="9" spans="3:12" ht="12.75">
      <c r="C9" t="s">
        <v>115</v>
      </c>
      <c r="D9" t="s">
        <v>114</v>
      </c>
      <c r="F9" s="19">
        <f>'Presort Letters &amp; Cards'!E25-'Presort Letters &amp; Cards'!E26</f>
        <v>0.013000000000000012</v>
      </c>
      <c r="G9" s="19">
        <f>ROUND((6.99547-5.68192)/100,3)</f>
        <v>0.013</v>
      </c>
      <c r="H9" s="16">
        <f>+F9/G9</f>
        <v>1.0000000000000009</v>
      </c>
      <c r="I9" s="29"/>
      <c r="J9" s="29"/>
      <c r="K9" s="16"/>
      <c r="L9" s="47"/>
    </row>
    <row r="10" spans="6:12" ht="12.75">
      <c r="F10" s="19"/>
      <c r="G10" s="19"/>
      <c r="I10" s="29"/>
      <c r="J10" s="29"/>
      <c r="L10" s="47"/>
    </row>
    <row r="11" spans="1:11" ht="12.75">
      <c r="A11" t="s">
        <v>116</v>
      </c>
      <c r="F11" s="19"/>
      <c r="G11" s="19"/>
      <c r="H11" s="30"/>
      <c r="I11" s="29"/>
      <c r="J11" s="29"/>
      <c r="K11" s="30"/>
    </row>
    <row r="12" spans="6:11" ht="12.75">
      <c r="F12" s="19"/>
      <c r="G12" s="19"/>
      <c r="H12" s="30"/>
      <c r="I12" s="29"/>
      <c r="J12" s="29"/>
      <c r="K12" s="30"/>
    </row>
    <row r="13" spans="2:10" ht="12.75">
      <c r="B13" t="s">
        <v>100</v>
      </c>
      <c r="F13" s="19"/>
      <c r="G13" s="19"/>
      <c r="I13" s="29"/>
      <c r="J13" s="29"/>
    </row>
    <row r="14" spans="3:11" ht="12.75">
      <c r="C14" t="s">
        <v>33</v>
      </c>
      <c r="D14" t="s">
        <v>113</v>
      </c>
      <c r="F14" s="19">
        <f>'Presort Letters &amp; Cards'!E20-'Presort Letters &amp; Cards'!E23</f>
        <v>0.014999999999999986</v>
      </c>
      <c r="G14" s="19">
        <f>ROUND((3.82439-2.99694)/100,3)</f>
        <v>0.008</v>
      </c>
      <c r="H14" s="16">
        <f>+F14/G14</f>
        <v>1.8749999999999982</v>
      </c>
      <c r="I14" s="29"/>
      <c r="J14" s="29"/>
      <c r="K14" s="16"/>
    </row>
    <row r="15" spans="6:10" ht="12.75">
      <c r="F15" s="19"/>
      <c r="G15" s="19"/>
      <c r="I15" s="29"/>
      <c r="J15" s="29"/>
    </row>
    <row r="16" spans="1:10" ht="12.75">
      <c r="A16" t="s">
        <v>7</v>
      </c>
      <c r="F16" s="19"/>
      <c r="G16" s="19"/>
      <c r="I16" s="29"/>
      <c r="J16" s="29"/>
    </row>
    <row r="17" spans="2:10" ht="12.75">
      <c r="B17" t="s">
        <v>98</v>
      </c>
      <c r="F17" s="19"/>
      <c r="G17" s="19"/>
      <c r="I17" s="29"/>
      <c r="J17" s="29"/>
    </row>
    <row r="18" spans="3:11" ht="12.75">
      <c r="C18" t="s">
        <v>69</v>
      </c>
      <c r="D18" t="s">
        <v>117</v>
      </c>
      <c r="F18" s="19">
        <f>'SP Letters &amp; Cards'!E16-'SP Letters &amp; Cards'!E19</f>
        <v>0.02300000000000002</v>
      </c>
      <c r="G18" s="19">
        <f>ROUND((4.35507-2.08775)/100,3)</f>
        <v>0.023</v>
      </c>
      <c r="H18" s="16">
        <f>+F18/G18</f>
        <v>1.0000000000000009</v>
      </c>
      <c r="I18" s="29"/>
      <c r="J18" s="29"/>
      <c r="K18" s="16"/>
    </row>
    <row r="20" ht="12.75">
      <c r="A20" t="s">
        <v>110</v>
      </c>
    </row>
    <row r="21" ht="12.75">
      <c r="A21" t="s">
        <v>181</v>
      </c>
    </row>
  </sheetData>
  <sheetProtection/>
  <printOptions/>
  <pageMargins left="0.75" right="0.5" top="1" bottom="0.5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7.140625" style="0" customWidth="1"/>
    <col min="2" max="2" width="10.140625" style="0" bestFit="1" customWidth="1"/>
    <col min="3" max="3" width="14.7109375" style="0" customWidth="1"/>
    <col min="4" max="4" width="15.00390625" style="0" bestFit="1" customWidth="1"/>
    <col min="5" max="5" width="9.28125" style="0" bestFit="1" customWidth="1"/>
    <col min="9" max="9" width="14.8515625" style="0" customWidth="1"/>
  </cols>
  <sheetData>
    <row r="1" spans="1:5" ht="38.25">
      <c r="A1" s="35" t="s">
        <v>135</v>
      </c>
      <c r="B1" s="74" t="s">
        <v>71</v>
      </c>
      <c r="C1" s="74" t="s">
        <v>184</v>
      </c>
      <c r="D1" s="74" t="s">
        <v>185</v>
      </c>
      <c r="E1" s="74" t="s">
        <v>146</v>
      </c>
    </row>
    <row r="2" spans="1:5" ht="12.75">
      <c r="A2" t="s">
        <v>81</v>
      </c>
      <c r="B2" s="4">
        <f>'SP Letters &amp; Cards'!B25</f>
        <v>35355569.76964008</v>
      </c>
      <c r="C2" s="27">
        <f>'SP Letters &amp; Cards'!D25</f>
        <v>14938933.53678262</v>
      </c>
      <c r="D2" s="27">
        <f>'SP Letters &amp; Cards'!F25</f>
        <v>15628496.859090267</v>
      </c>
      <c r="E2" s="23">
        <f>(D2/C2)-1</f>
        <v>0.04615880515230919</v>
      </c>
    </row>
    <row r="3" spans="1:5" ht="12.75">
      <c r="A3" t="s">
        <v>82</v>
      </c>
      <c r="B3" s="4">
        <f>'Presort Letters &amp; Cards'!B31</f>
        <v>51935870.938</v>
      </c>
      <c r="C3" s="27">
        <f>'Presort Letters &amp; Cards'!D31</f>
        <v>17370462.299353637</v>
      </c>
      <c r="D3" s="27">
        <f>'Presort Letters &amp; Cards'!F31</f>
        <v>17905558.619086225</v>
      </c>
      <c r="E3" s="23">
        <f>(D3/C3)-1</f>
        <v>0.030804955591337224</v>
      </c>
    </row>
    <row r="4" spans="1:5" ht="12.75">
      <c r="A4" t="s">
        <v>83</v>
      </c>
      <c r="B4" s="4">
        <f>'First-Class Flats'!B25</f>
        <v>3379740.2602368314</v>
      </c>
      <c r="C4" s="27">
        <f>'First-Class Flats'!D25</f>
        <v>4099399.9105551867</v>
      </c>
      <c r="D4" s="27">
        <f>'First-Class Flats'!F25</f>
        <v>4258543.269869968</v>
      </c>
      <c r="E4" s="23">
        <f>(D4/C4)-1</f>
        <v>0.03882113548010224</v>
      </c>
    </row>
    <row r="5" spans="1:5" ht="12.75">
      <c r="A5" t="s">
        <v>84</v>
      </c>
      <c r="B5" s="4">
        <f>'First-Class Parcels'!B17</f>
        <v>605521.764</v>
      </c>
      <c r="C5" s="27">
        <f>'First-Class Parcels'!D17</f>
        <v>1167725.1388311153</v>
      </c>
      <c r="D5" s="27">
        <f>'First-Class Parcels'!F17</f>
        <v>1197700.1324661155</v>
      </c>
      <c r="E5" s="23">
        <f>(D5/C5)-1</f>
        <v>0.025669562672089974</v>
      </c>
    </row>
    <row r="6" spans="1:4" ht="12.75">
      <c r="A6" t="s">
        <v>208</v>
      </c>
      <c r="B6" s="4">
        <f>SUM(B2:B5)</f>
        <v>91276702.73187691</v>
      </c>
      <c r="C6" s="21">
        <f>SUM(C2:C5)</f>
        <v>37576520.88552256</v>
      </c>
      <c r="D6" s="21">
        <f>SUM(D2:D5)</f>
        <v>38990298.88051257</v>
      </c>
    </row>
    <row r="7" spans="1:5" ht="12.75">
      <c r="A7" t="s">
        <v>145</v>
      </c>
      <c r="C7" s="28">
        <f>C6/B6</f>
        <v>0.41167701900782583</v>
      </c>
      <c r="D7" s="28">
        <f>D6/B6</f>
        <v>0.42716594392159</v>
      </c>
      <c r="E7" s="23">
        <f>(D7/C7)-1</f>
        <v>0.03762397267424289</v>
      </c>
    </row>
    <row r="8" spans="1:5" ht="12.75">
      <c r="A8" t="s">
        <v>121</v>
      </c>
      <c r="B8" s="4">
        <f>720063976/1000</f>
        <v>720063.976</v>
      </c>
      <c r="C8" s="27">
        <f>'ADJ. FY08-Current Rates'!D62</f>
        <v>861186.8210900275</v>
      </c>
      <c r="D8" s="27">
        <f>'ADJ. FY08-New Rates'!D62</f>
        <v>896804.2552653365</v>
      </c>
      <c r="E8" s="43"/>
    </row>
    <row r="9" spans="1:5" ht="12.75">
      <c r="A9" t="s">
        <v>145</v>
      </c>
      <c r="B9" s="4"/>
      <c r="C9" s="19">
        <f>C8/$B$8</f>
        <v>1.1959865370212985</v>
      </c>
      <c r="D9" s="19">
        <f>D8/$B$8</f>
        <v>1.2454508004235119</v>
      </c>
      <c r="E9" s="23">
        <f>(D9/C9)-1</f>
        <v>0.041358545327281115</v>
      </c>
    </row>
    <row r="10" spans="1:5" ht="12.75">
      <c r="A10" t="s">
        <v>209</v>
      </c>
      <c r="C10" s="21">
        <f>C6+C8</f>
        <v>38437707.70661259</v>
      </c>
      <c r="D10" s="21">
        <f>D6+D8</f>
        <v>39887103.135777906</v>
      </c>
      <c r="E10" s="71"/>
    </row>
    <row r="11" spans="1:9" ht="12.75">
      <c r="A11" t="s">
        <v>145</v>
      </c>
      <c r="C11" s="28">
        <f>C10/($B$6+$B$8)</f>
        <v>0.4178158546448295</v>
      </c>
      <c r="D11" s="28">
        <f>D10/($B$6+$B$8)</f>
        <v>0.4335707064839998</v>
      </c>
      <c r="E11" s="23">
        <f>(D11/C11)-1</f>
        <v>0.03770764480099231</v>
      </c>
      <c r="I11" s="23"/>
    </row>
    <row r="12" spans="1:9" ht="12.75">
      <c r="A12" t="s">
        <v>210</v>
      </c>
      <c r="E12" s="23">
        <v>0.038</v>
      </c>
      <c r="I12" s="23"/>
    </row>
    <row r="13" spans="1:9" ht="12.75">
      <c r="A13" t="s">
        <v>213</v>
      </c>
      <c r="E13" s="23">
        <v>0.00014</v>
      </c>
      <c r="I13" s="34"/>
    </row>
    <row r="14" spans="1:9" ht="12.75">
      <c r="A14" t="s">
        <v>211</v>
      </c>
      <c r="E14" s="34">
        <f>E12+E13</f>
        <v>0.03814</v>
      </c>
      <c r="I14" s="34"/>
    </row>
    <row r="15" spans="1:5" ht="12.75">
      <c r="A15" t="s">
        <v>186</v>
      </c>
      <c r="E15" s="34">
        <f>E12-E11</f>
        <v>0.0002923551990076864</v>
      </c>
    </row>
    <row r="16" spans="1:9" ht="12.75">
      <c r="A16" t="s">
        <v>212</v>
      </c>
      <c r="E16" s="23">
        <f>E14-E11</f>
        <v>0.00043235519900768765</v>
      </c>
      <c r="I16" s="72"/>
    </row>
    <row r="17" spans="2:5" ht="12.75">
      <c r="B17" s="4"/>
      <c r="C17" s="21"/>
      <c r="D17" s="21"/>
      <c r="E17" s="44"/>
    </row>
    <row r="18" spans="2:5" ht="12.75">
      <c r="B18" s="4"/>
      <c r="C18" s="21"/>
      <c r="D18" s="21"/>
      <c r="E18" s="44"/>
    </row>
    <row r="19" spans="2:5" ht="12.75">
      <c r="B19" s="4"/>
      <c r="C19" s="21"/>
      <c r="D19" s="21"/>
      <c r="E19" s="44"/>
    </row>
    <row r="20" spans="2:5" ht="12.75">
      <c r="B20" s="4"/>
      <c r="C20" s="21"/>
      <c r="D20" s="21"/>
      <c r="E20" s="44"/>
    </row>
    <row r="21" spans="2:4" ht="12.75">
      <c r="B21" s="4"/>
      <c r="C21" s="21"/>
      <c r="D21" s="21"/>
    </row>
    <row r="22" spans="3:5" ht="12.75">
      <c r="C22" s="28"/>
      <c r="D22" s="28"/>
      <c r="E22" s="34"/>
    </row>
    <row r="23" spans="2:5" ht="12.75">
      <c r="B23" s="4"/>
      <c r="C23" s="21"/>
      <c r="D23" s="21"/>
      <c r="E23" s="44"/>
    </row>
    <row r="24" spans="2:5" ht="12.75">
      <c r="B24" s="4"/>
      <c r="C24" s="29"/>
      <c r="D24" s="29"/>
      <c r="E24" s="34"/>
    </row>
    <row r="25" spans="3:5" ht="12.75">
      <c r="C25" s="21"/>
      <c r="D25" s="21"/>
      <c r="E25" s="44"/>
    </row>
    <row r="26" spans="3:5" ht="12.75">
      <c r="C26" s="28"/>
      <c r="D26" s="28"/>
      <c r="E26" s="34"/>
    </row>
    <row r="27" ht="12.75">
      <c r="E27" s="34"/>
    </row>
    <row r="28" ht="12.75">
      <c r="E28" s="44"/>
    </row>
    <row r="29" ht="12.75">
      <c r="E29" s="3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8" t="s">
        <v>136</v>
      </c>
    </row>
    <row r="8" spans="1:2" ht="12.75">
      <c r="A8" s="8" t="s">
        <v>167</v>
      </c>
      <c r="B8" t="s">
        <v>118</v>
      </c>
    </row>
    <row r="9" ht="12.75">
      <c r="A9" s="8"/>
    </row>
    <row r="10" ht="12.75">
      <c r="A10" s="8" t="s">
        <v>168</v>
      </c>
    </row>
    <row r="12" ht="12.75">
      <c r="A12" s="8" t="s">
        <v>170</v>
      </c>
    </row>
    <row r="14" ht="12.75">
      <c r="A14" s="8" t="s">
        <v>169</v>
      </c>
    </row>
    <row r="16" ht="12.75">
      <c r="A16" s="8" t="s">
        <v>171</v>
      </c>
    </row>
    <row r="18" ht="12.75">
      <c r="A18" s="8" t="s">
        <v>175</v>
      </c>
    </row>
    <row r="20" ht="12.75">
      <c r="A20" s="8" t="s">
        <v>189</v>
      </c>
    </row>
    <row r="22" ht="12.75">
      <c r="A22" s="8" t="s">
        <v>190</v>
      </c>
    </row>
    <row r="24" ht="12.75">
      <c r="A24" s="8" t="s">
        <v>127</v>
      </c>
    </row>
    <row r="26" ht="12.75">
      <c r="A26" s="8" t="s">
        <v>128</v>
      </c>
    </row>
    <row r="28" ht="12.75">
      <c r="A28" s="8" t="s">
        <v>130</v>
      </c>
    </row>
    <row r="30" ht="12.75">
      <c r="A30" s="8" t="s">
        <v>131</v>
      </c>
    </row>
    <row r="32" ht="12.75">
      <c r="A32" s="8" t="s">
        <v>129</v>
      </c>
    </row>
  </sheetData>
  <sheetProtection/>
  <printOptions horizontalCentered="1" verticalCentered="1"/>
  <pageMargins left="0.29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.421875" style="0" customWidth="1"/>
    <col min="2" max="2" width="2.8515625" style="0" customWidth="1"/>
    <col min="3" max="3" width="23.7109375" style="0" customWidth="1"/>
    <col min="4" max="4" width="12.00390625" style="0" customWidth="1"/>
    <col min="5" max="5" width="2.00390625" style="0" customWidth="1"/>
    <col min="6" max="6" width="34.2812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2.75">
      <c r="A1" s="8" t="s">
        <v>137</v>
      </c>
    </row>
    <row r="2" spans="1:8" ht="12.75">
      <c r="A2" s="8" t="s">
        <v>9</v>
      </c>
      <c r="E2" s="1" t="s">
        <v>14</v>
      </c>
      <c r="H2" s="4"/>
    </row>
    <row r="3" spans="1:7" ht="12.75">
      <c r="A3" s="1" t="s">
        <v>0</v>
      </c>
      <c r="E3" s="5" t="s">
        <v>1</v>
      </c>
      <c r="F3" s="6"/>
      <c r="G3" s="2"/>
    </row>
    <row r="4" spans="2:9" ht="12.75">
      <c r="B4" s="1" t="s">
        <v>1</v>
      </c>
      <c r="C4" s="2"/>
      <c r="E4" s="6"/>
      <c r="F4" s="2" t="s">
        <v>10</v>
      </c>
      <c r="G4" s="37">
        <v>50923.031</v>
      </c>
      <c r="I4" s="9"/>
    </row>
    <row r="5" spans="2:9" ht="12.75">
      <c r="B5" s="2"/>
      <c r="C5" s="2" t="s">
        <v>2</v>
      </c>
      <c r="D5" s="37">
        <v>33226980.069048196</v>
      </c>
      <c r="E5" s="2"/>
      <c r="F5" s="3" t="s">
        <v>11</v>
      </c>
      <c r="G5" s="37">
        <v>1671627.1322782785</v>
      </c>
      <c r="I5" s="9"/>
    </row>
    <row r="6" spans="2:9" ht="12.75">
      <c r="B6" s="2"/>
      <c r="C6" s="2" t="s">
        <v>3</v>
      </c>
      <c r="D6" s="37">
        <v>2607251.1885103947</v>
      </c>
      <c r="E6" s="2"/>
      <c r="F6" s="2" t="s">
        <v>12</v>
      </c>
      <c r="G6" s="37">
        <v>91052.334</v>
      </c>
      <c r="I6" s="9"/>
    </row>
    <row r="7" spans="2:9" ht="12.75">
      <c r="B7" s="2"/>
      <c r="C7" s="2" t="s">
        <v>4</v>
      </c>
      <c r="D7" s="37">
        <v>595015.7076502058</v>
      </c>
      <c r="E7" s="2"/>
      <c r="F7" s="7" t="s">
        <v>13</v>
      </c>
      <c r="G7" s="37">
        <v>32310.108977018368</v>
      </c>
      <c r="H7" s="11"/>
      <c r="I7" s="9"/>
    </row>
    <row r="8" spans="2:9" ht="12.75">
      <c r="B8" s="2"/>
      <c r="C8" t="s">
        <v>147</v>
      </c>
      <c r="D8" s="37">
        <v>1766649.0210307208</v>
      </c>
      <c r="I8" s="4"/>
    </row>
    <row r="9" spans="3:9" ht="12.75">
      <c r="C9" t="s">
        <v>148</v>
      </c>
      <c r="D9" s="37">
        <v>7757512.946120274</v>
      </c>
      <c r="E9" s="10" t="s">
        <v>30</v>
      </c>
      <c r="F9" s="10"/>
      <c r="G9" s="9"/>
      <c r="I9" s="4"/>
    </row>
    <row r="10" spans="3:9" ht="12.75">
      <c r="C10" t="s">
        <v>149</v>
      </c>
      <c r="D10" s="37">
        <v>2679851.999162763</v>
      </c>
      <c r="E10" s="10" t="s">
        <v>1</v>
      </c>
      <c r="F10" s="8"/>
      <c r="G10" s="9"/>
      <c r="I10" s="4"/>
    </row>
    <row r="11" spans="2:9" ht="12.75">
      <c r="B11" s="2"/>
      <c r="C11" s="3" t="s">
        <v>6</v>
      </c>
      <c r="D11" s="37">
        <v>294352.753</v>
      </c>
      <c r="E11" s="9" t="s">
        <v>25</v>
      </c>
      <c r="F11" s="9"/>
      <c r="G11" s="9">
        <f>SUM(G12:G15)</f>
        <v>663528.352</v>
      </c>
      <c r="H11" s="9"/>
      <c r="I11" s="9"/>
    </row>
    <row r="12" spans="5:10" ht="12.75">
      <c r="E12" s="9"/>
      <c r="F12" s="9" t="s">
        <v>31</v>
      </c>
      <c r="G12" s="38">
        <v>54022.907999999996</v>
      </c>
      <c r="H12" s="9"/>
      <c r="I12" s="9"/>
      <c r="J12" s="9"/>
    </row>
    <row r="13" spans="1:10" ht="12.75">
      <c r="A13" s="1" t="s">
        <v>7</v>
      </c>
      <c r="B13" s="2"/>
      <c r="C13" s="2"/>
      <c r="E13" s="9"/>
      <c r="F13" s="9" t="s">
        <v>32</v>
      </c>
      <c r="G13" s="38">
        <v>98841.478</v>
      </c>
      <c r="H13" s="9"/>
      <c r="I13" s="9"/>
      <c r="J13" s="9"/>
    </row>
    <row r="14" spans="1:10" ht="12.75">
      <c r="A14" s="2"/>
      <c r="B14" s="1" t="s">
        <v>1</v>
      </c>
      <c r="C14" s="2"/>
      <c r="E14" s="9"/>
      <c r="F14" s="9" t="s">
        <v>28</v>
      </c>
      <c r="G14" s="38">
        <v>281411.66699999996</v>
      </c>
      <c r="H14" s="9"/>
      <c r="I14" s="9"/>
      <c r="J14" s="9"/>
    </row>
    <row r="15" spans="1:10" ht="12.75">
      <c r="A15" s="2"/>
      <c r="B15" s="2"/>
      <c r="C15" s="2" t="s">
        <v>8</v>
      </c>
      <c r="D15" s="37">
        <v>285080.24100000004</v>
      </c>
      <c r="E15" s="9"/>
      <c r="F15" s="9" t="s">
        <v>29</v>
      </c>
      <c r="G15" s="38">
        <v>229252.29899999994</v>
      </c>
      <c r="H15" s="9"/>
      <c r="I15" s="9"/>
      <c r="J15" s="9"/>
    </row>
    <row r="16" spans="1:9" ht="12.75">
      <c r="A16" s="2"/>
      <c r="B16" s="2"/>
      <c r="C16" s="2" t="s">
        <v>5</v>
      </c>
      <c r="D16" s="37">
        <v>5378.962855325868</v>
      </c>
      <c r="E16" s="9" t="s">
        <v>22</v>
      </c>
      <c r="F16" s="9"/>
      <c r="H16" s="9"/>
      <c r="I16" s="9"/>
    </row>
    <row r="17" spans="5:10" ht="12.75">
      <c r="E17" s="9"/>
      <c r="F17" s="9" t="s">
        <v>31</v>
      </c>
      <c r="G17" s="38">
        <v>86973.4773255774</v>
      </c>
      <c r="H17" s="9"/>
      <c r="I17" s="9"/>
      <c r="J17" s="9"/>
    </row>
    <row r="18" spans="1:10" ht="12.75">
      <c r="A18" s="8" t="s">
        <v>15</v>
      </c>
      <c r="E18" s="9"/>
      <c r="F18" s="9" t="s">
        <v>32</v>
      </c>
      <c r="G18" s="38">
        <v>157819.69734529924</v>
      </c>
      <c r="H18" s="9"/>
      <c r="I18" s="9"/>
      <c r="J18" s="9"/>
    </row>
    <row r="19" spans="2:10" ht="12.75">
      <c r="B19" s="8" t="s">
        <v>1</v>
      </c>
      <c r="D19" s="4"/>
      <c r="E19" s="9"/>
      <c r="F19" s="9" t="s">
        <v>28</v>
      </c>
      <c r="G19" s="38">
        <v>436215.8311146194</v>
      </c>
      <c r="H19" s="9"/>
      <c r="I19" s="9"/>
      <c r="J19" s="9"/>
    </row>
    <row r="20" spans="3:10" ht="12.75">
      <c r="C20" t="s">
        <v>2</v>
      </c>
      <c r="D20" s="37">
        <v>1530008.3438111264</v>
      </c>
      <c r="E20" s="9"/>
      <c r="F20" s="9" t="s">
        <v>29</v>
      </c>
      <c r="G20" s="38">
        <v>444668.1259435424</v>
      </c>
      <c r="H20" s="9"/>
      <c r="I20" s="9"/>
      <c r="J20" s="9"/>
    </row>
    <row r="21" spans="3:9" ht="12.75">
      <c r="C21" t="s">
        <v>3</v>
      </c>
      <c r="D21" s="37">
        <v>109055.25418887351</v>
      </c>
      <c r="E21" s="12" t="s">
        <v>33</v>
      </c>
      <c r="I21" s="4"/>
    </row>
    <row r="22" spans="3:9" ht="12.75">
      <c r="C22" t="s">
        <v>16</v>
      </c>
      <c r="D22" s="37">
        <v>62706.70413448449</v>
      </c>
      <c r="E22" s="8" t="s">
        <v>1</v>
      </c>
      <c r="F22" s="11"/>
      <c r="G22" s="4"/>
      <c r="I22" s="4"/>
    </row>
    <row r="23" spans="3:9" ht="12.75">
      <c r="C23" t="s">
        <v>17</v>
      </c>
      <c r="D23" s="37">
        <v>197215.62035698554</v>
      </c>
      <c r="F23" s="11" t="s">
        <v>33</v>
      </c>
      <c r="G23" s="37">
        <v>332597.91</v>
      </c>
      <c r="I23" s="4"/>
    </row>
    <row r="24" spans="3:9" ht="12.75">
      <c r="C24" t="s">
        <v>6</v>
      </c>
      <c r="D24" s="37">
        <v>22942.493</v>
      </c>
      <c r="E24" s="8" t="s">
        <v>38</v>
      </c>
      <c r="I24" s="4"/>
    </row>
    <row r="25" spans="1:8" ht="12.75">
      <c r="A25" s="8" t="s">
        <v>18</v>
      </c>
      <c r="B25" s="8"/>
      <c r="E25" s="13" t="s">
        <v>1</v>
      </c>
      <c r="G25" s="4"/>
      <c r="H25" s="4"/>
    </row>
    <row r="26" spans="1:8" ht="12.75">
      <c r="A26" s="8"/>
      <c r="B26" s="8" t="s">
        <v>1</v>
      </c>
      <c r="F26" t="s">
        <v>34</v>
      </c>
      <c r="G26" s="37">
        <v>278422.36100000003</v>
      </c>
      <c r="H26" s="4"/>
    </row>
    <row r="27" spans="3:9" ht="12.75">
      <c r="C27" t="s">
        <v>19</v>
      </c>
      <c r="D27" s="37">
        <v>5176.87</v>
      </c>
      <c r="F27" t="s">
        <v>35</v>
      </c>
      <c r="G27" s="37">
        <v>199770.57200000001</v>
      </c>
      <c r="H27" s="4"/>
      <c r="I27" s="4"/>
    </row>
    <row r="28" spans="3:9" ht="12.75">
      <c r="C28" t="s">
        <v>20</v>
      </c>
      <c r="D28" s="37">
        <v>3555.2289999999994</v>
      </c>
      <c r="F28" s="11" t="s">
        <v>36</v>
      </c>
      <c r="G28" s="37">
        <v>1326155.68</v>
      </c>
      <c r="H28" s="4"/>
      <c r="I28" s="4"/>
    </row>
    <row r="29" spans="3:9" ht="12.75">
      <c r="C29" t="s">
        <v>21</v>
      </c>
      <c r="D29" s="37">
        <v>1775.201</v>
      </c>
      <c r="F29" s="11" t="s">
        <v>37</v>
      </c>
      <c r="G29" s="37">
        <v>1419050.781</v>
      </c>
      <c r="H29" s="4"/>
      <c r="I29" s="4"/>
    </row>
    <row r="30" spans="3:9" ht="12.75">
      <c r="C30" t="s">
        <v>22</v>
      </c>
      <c r="D30" s="37">
        <v>39802.30376732894</v>
      </c>
      <c r="E30" s="8" t="s">
        <v>40</v>
      </c>
      <c r="I30" s="4"/>
    </row>
    <row r="31" spans="3:9" ht="12.75">
      <c r="C31" t="s">
        <v>23</v>
      </c>
      <c r="D31" s="37">
        <v>3041.268</v>
      </c>
      <c r="E31" s="13" t="s">
        <v>1</v>
      </c>
      <c r="I31" s="4"/>
    </row>
    <row r="32" spans="1:9" ht="12.75">
      <c r="A32" s="8" t="s">
        <v>24</v>
      </c>
      <c r="B32" s="8"/>
      <c r="F32" t="s">
        <v>39</v>
      </c>
      <c r="G32" s="4">
        <v>3675.39</v>
      </c>
      <c r="H32" s="9"/>
      <c r="I32" s="4"/>
    </row>
    <row r="33" spans="1:9" ht="12.75">
      <c r="A33" s="8"/>
      <c r="B33" s="8" t="s">
        <v>1</v>
      </c>
      <c r="I33" s="4"/>
    </row>
    <row r="34" spans="3:8" ht="12.75">
      <c r="C34" t="s">
        <v>25</v>
      </c>
      <c r="D34" s="9">
        <f>SUM(D35:D38)</f>
        <v>46849718.472</v>
      </c>
      <c r="H34" s="4"/>
    </row>
    <row r="35" spans="3:8" ht="12.75">
      <c r="C35" t="s">
        <v>26</v>
      </c>
      <c r="D35" s="38">
        <v>2980110.056</v>
      </c>
      <c r="G35" s="4"/>
      <c r="H35" s="4"/>
    </row>
    <row r="36" spans="3:8" ht="12.75">
      <c r="C36" t="s">
        <v>27</v>
      </c>
      <c r="D36" s="38">
        <v>2388754.9</v>
      </c>
      <c r="G36" s="4"/>
      <c r="H36" s="4"/>
    </row>
    <row r="37" spans="3:7" ht="12.75">
      <c r="C37" t="s">
        <v>28</v>
      </c>
      <c r="D37" s="38">
        <v>20157561.454000004</v>
      </c>
      <c r="G37" s="4"/>
    </row>
    <row r="38" spans="3:8" ht="12.75">
      <c r="C38" t="s">
        <v>29</v>
      </c>
      <c r="D38" s="38">
        <v>21323292.062</v>
      </c>
      <c r="G38" s="4"/>
      <c r="H38" s="4"/>
    </row>
    <row r="39" spans="3:8" ht="12.75">
      <c r="C39" t="s">
        <v>22</v>
      </c>
      <c r="H39" s="4"/>
    </row>
    <row r="40" spans="3:8" ht="12.75">
      <c r="C40" t="s">
        <v>26</v>
      </c>
      <c r="D40" s="38">
        <v>234782.84693790786</v>
      </c>
      <c r="G40" s="4"/>
      <c r="H40" s="4"/>
    </row>
    <row r="41" spans="3:8" ht="12.75">
      <c r="C41" t="s">
        <v>27</v>
      </c>
      <c r="D41" s="38">
        <v>138161.09993038562</v>
      </c>
      <c r="G41" s="4"/>
      <c r="H41" s="4"/>
    </row>
    <row r="42" spans="3:7" ht="12.75">
      <c r="C42" t="s">
        <v>28</v>
      </c>
      <c r="D42" s="38">
        <v>710891.3587553856</v>
      </c>
      <c r="G42" s="4"/>
    </row>
    <row r="43" spans="3:7" ht="12.75">
      <c r="C43" t="s">
        <v>29</v>
      </c>
      <c r="D43" s="38">
        <v>418375.283720684</v>
      </c>
      <c r="G43" s="4"/>
    </row>
    <row r="44" ht="12.75">
      <c r="D44" s="9"/>
    </row>
    <row r="45" ht="12.75">
      <c r="D45" s="9"/>
    </row>
    <row r="46" ht="12.75">
      <c r="D46" s="9"/>
    </row>
    <row r="47" spans="1:3" ht="12.75">
      <c r="A47" s="10"/>
      <c r="B47" s="10"/>
      <c r="C47" s="9"/>
    </row>
    <row r="48" spans="1:3" ht="12.75">
      <c r="A48" s="10"/>
      <c r="B48" s="10"/>
      <c r="C48" s="9"/>
    </row>
    <row r="49" spans="1:4" ht="12.75">
      <c r="A49" s="9"/>
      <c r="B49" s="9"/>
      <c r="C49" s="9"/>
      <c r="D49" s="4"/>
    </row>
    <row r="50" spans="1:4" ht="12.75">
      <c r="A50" s="9"/>
      <c r="B50" s="9"/>
      <c r="C50" s="9"/>
      <c r="D50" s="4"/>
    </row>
    <row r="51" spans="1:4" ht="12.75">
      <c r="A51" s="9"/>
      <c r="B51" s="9"/>
      <c r="C51" s="9"/>
      <c r="D51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31.7109375" style="0" customWidth="1"/>
  </cols>
  <sheetData>
    <row r="1" ht="12.75">
      <c r="A1" t="s">
        <v>191</v>
      </c>
    </row>
    <row r="2" ht="12.75">
      <c r="A2" t="s">
        <v>176</v>
      </c>
    </row>
    <row r="3" ht="12.75">
      <c r="A3" t="s">
        <v>177</v>
      </c>
    </row>
    <row r="4" ht="12.75">
      <c r="A4" t="s">
        <v>179</v>
      </c>
    </row>
    <row r="5" ht="12.75">
      <c r="A5" t="s">
        <v>178</v>
      </c>
    </row>
    <row r="7" spans="2:3" ht="12.75">
      <c r="B7" t="s">
        <v>158</v>
      </c>
      <c r="C7" s="9">
        <v>3633.617923900485</v>
      </c>
    </row>
    <row r="8" spans="2:3" ht="12.75">
      <c r="B8" t="s">
        <v>161</v>
      </c>
      <c r="C8" s="9">
        <v>52.963739508530125</v>
      </c>
    </row>
    <row r="9" spans="2:3" ht="12.75">
      <c r="B9" t="s">
        <v>159</v>
      </c>
      <c r="C9" s="9">
        <v>3686.5816634073853</v>
      </c>
    </row>
    <row r="10" spans="2:3" ht="12.75">
      <c r="B10" t="s">
        <v>155</v>
      </c>
      <c r="C10" s="9">
        <v>-146.81818887591362</v>
      </c>
    </row>
    <row r="11" spans="2:3" ht="12.75">
      <c r="B11" t="s">
        <v>66</v>
      </c>
      <c r="C11" s="9">
        <v>0</v>
      </c>
    </row>
    <row r="12" spans="2:3" ht="12.75">
      <c r="B12" t="s">
        <v>160</v>
      </c>
      <c r="C12" s="9">
        <v>-146.81818887591362</v>
      </c>
    </row>
    <row r="13" spans="2:3" ht="12.75">
      <c r="B13" t="s">
        <v>162</v>
      </c>
      <c r="C13" s="9">
        <v>94.53446243656799</v>
      </c>
    </row>
    <row r="14" spans="2:3" ht="12.75">
      <c r="B14" t="s">
        <v>163</v>
      </c>
      <c r="C14" s="9">
        <v>1.24365020589903</v>
      </c>
    </row>
    <row r="15" ht="12.75">
      <c r="C15" s="9">
        <f>C9+C12+C13+C14</f>
        <v>3635.5415871739388</v>
      </c>
    </row>
    <row r="17" spans="1:5" ht="12.75">
      <c r="A17" t="s">
        <v>165</v>
      </c>
      <c r="B17" t="s">
        <v>164</v>
      </c>
      <c r="E17" s="4">
        <f>1283435/1000</f>
        <v>1283.435</v>
      </c>
    </row>
  </sheetData>
  <sheetProtection/>
  <printOptions horizontalCentered="1" verticalCentered="1"/>
  <pageMargins left="0.2" right="0.32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1">
      <selection activeCell="F30" sqref="F30"/>
    </sheetView>
  </sheetViews>
  <sheetFormatPr defaultColWidth="9.140625" defaultRowHeight="12.75"/>
  <cols>
    <col min="1" max="1" width="2.57421875" style="0" customWidth="1"/>
    <col min="2" max="2" width="30.57421875" style="0" customWidth="1"/>
    <col min="3" max="3" width="11.28125" style="0" bestFit="1" customWidth="1"/>
    <col min="4" max="4" width="15.140625" style="0" customWidth="1"/>
  </cols>
  <sheetData>
    <row r="1" spans="1:7" ht="20.25">
      <c r="A1" s="69" t="s">
        <v>180</v>
      </c>
      <c r="B1" s="70"/>
      <c r="C1" s="70"/>
      <c r="D1" s="70"/>
      <c r="E1" s="70"/>
      <c r="F1" s="70"/>
      <c r="G1" s="70"/>
    </row>
    <row r="2" spans="1:7" ht="51">
      <c r="A2" t="s">
        <v>187</v>
      </c>
      <c r="C2" s="30">
        <v>0.54</v>
      </c>
      <c r="D2" s="24" t="s">
        <v>188</v>
      </c>
      <c r="E2" s="30">
        <f>C2*(23/52)</f>
        <v>0.23884615384615385</v>
      </c>
      <c r="F2" s="24" t="s">
        <v>215</v>
      </c>
      <c r="G2">
        <v>0.003</v>
      </c>
    </row>
    <row r="3" ht="12.75">
      <c r="A3" t="s">
        <v>58</v>
      </c>
    </row>
    <row r="4" spans="2:3" ht="12.75">
      <c r="B4" t="s">
        <v>59</v>
      </c>
      <c r="C4" s="9">
        <f>'ADJ. FY08-Current Rates'!B36</f>
        <v>2980110.056</v>
      </c>
    </row>
    <row r="5" spans="2:3" ht="12.75">
      <c r="B5" t="s">
        <v>60</v>
      </c>
      <c r="C5" s="9">
        <f>'ADJ. FY08-Current Rates'!B37</f>
        <v>2388754.9</v>
      </c>
    </row>
    <row r="6" spans="2:3" ht="12.75">
      <c r="B6" t="s">
        <v>61</v>
      </c>
      <c r="C6" s="9">
        <f>'ADJ. FY08-Current Rates'!B38</f>
        <v>20157561.454000004</v>
      </c>
    </row>
    <row r="7" spans="2:3" ht="12.75">
      <c r="B7" t="s">
        <v>62</v>
      </c>
      <c r="C7" s="9">
        <f>'ADJ. FY08-Current Rates'!B39</f>
        <v>21323438.880188875</v>
      </c>
    </row>
    <row r="8" spans="1:3" ht="12.75">
      <c r="A8" t="s">
        <v>152</v>
      </c>
      <c r="C8" s="9"/>
    </row>
    <row r="10" spans="2:4" ht="12.75">
      <c r="B10" t="s">
        <v>59</v>
      </c>
      <c r="C10" s="9">
        <f>C4*$E$2</f>
        <v>711787.8249138461</v>
      </c>
      <c r="D10" s="21">
        <f>$G$2*C10</f>
        <v>2135.3634747415385</v>
      </c>
    </row>
    <row r="11" spans="2:4" ht="12.75">
      <c r="B11" t="s">
        <v>60</v>
      </c>
      <c r="C11" s="9">
        <f>C5*$E$2</f>
        <v>570544.9203461538</v>
      </c>
      <c r="D11" s="21">
        <f>$G$2*C11</f>
        <v>1711.6347610384614</v>
      </c>
    </row>
    <row r="12" spans="2:4" ht="12.75">
      <c r="B12" t="s">
        <v>61</v>
      </c>
      <c r="C12" s="9">
        <f>C6*$E$2</f>
        <v>4814556.024205386</v>
      </c>
      <c r="D12" s="21">
        <f>$G$2*C12</f>
        <v>14443.668072616158</v>
      </c>
    </row>
    <row r="13" spans="2:4" ht="12.75">
      <c r="B13" t="s">
        <v>62</v>
      </c>
      <c r="C13" s="9">
        <f>C7*$E$2</f>
        <v>5093021.363306651</v>
      </c>
      <c r="D13" s="21">
        <f>$G$2*C13</f>
        <v>15279.064089919953</v>
      </c>
    </row>
    <row r="14" ht="12.75">
      <c r="D14" s="21">
        <f>SUM(D10:D13)</f>
        <v>33569.73039831611</v>
      </c>
    </row>
    <row r="16" spans="1:7" ht="51">
      <c r="A16" t="s">
        <v>150</v>
      </c>
      <c r="C16" s="30">
        <v>0.44</v>
      </c>
      <c r="D16" s="24" t="str">
        <f>D2</f>
        <v>Full Service Program Implementation Fraction</v>
      </c>
      <c r="E16" s="30">
        <f>C16*(23/52)</f>
        <v>0.1946153846153846</v>
      </c>
      <c r="F16" s="24" t="s">
        <v>215</v>
      </c>
      <c r="G16">
        <v>0.003</v>
      </c>
    </row>
    <row r="17" ht="12.75">
      <c r="A17" t="s">
        <v>63</v>
      </c>
    </row>
    <row r="18" spans="2:3" ht="12.75">
      <c r="B18" t="s">
        <v>64</v>
      </c>
      <c r="C18" s="9">
        <f>'ADJ. FY08-Current Rates'!B44</f>
        <v>54022.907999999996</v>
      </c>
    </row>
    <row r="19" spans="2:3" ht="12.75">
      <c r="B19" t="s">
        <v>65</v>
      </c>
      <c r="C19" s="9">
        <f>'ADJ. FY08-Current Rates'!B45</f>
        <v>98841.478</v>
      </c>
    </row>
    <row r="20" spans="2:3" ht="12.75">
      <c r="B20" t="s">
        <v>61</v>
      </c>
      <c r="C20" s="9">
        <f>'ADJ. FY08-Current Rates'!B46</f>
        <v>281411.66699999996</v>
      </c>
    </row>
    <row r="21" spans="2:3" ht="12.75">
      <c r="B21" t="s">
        <v>62</v>
      </c>
      <c r="C21" s="9">
        <f>'ADJ. FY08-Current Rates'!B47</f>
        <v>229252.29899999994</v>
      </c>
    </row>
    <row r="22" spans="1:3" ht="12.75">
      <c r="A22" t="s">
        <v>151</v>
      </c>
      <c r="C22" s="9"/>
    </row>
    <row r="24" spans="2:4" ht="12.75">
      <c r="B24" t="s">
        <v>64</v>
      </c>
      <c r="C24" s="9">
        <f>C18*$E$16</f>
        <v>10513.689018461537</v>
      </c>
      <c r="D24" s="21">
        <f>$G$16*C24</f>
        <v>31.541067055384612</v>
      </c>
    </row>
    <row r="25" spans="2:4" ht="12.75">
      <c r="B25" t="s">
        <v>65</v>
      </c>
      <c r="C25" s="9">
        <f>C19*$E$16</f>
        <v>19236.07225692308</v>
      </c>
      <c r="D25" s="21">
        <f>$G$16*C25</f>
        <v>57.70821677076923</v>
      </c>
    </row>
    <row r="26" spans="2:4" ht="12.75">
      <c r="B26" t="s">
        <v>61</v>
      </c>
      <c r="C26" s="9">
        <f>C20*$E$16</f>
        <v>54767.03980846153</v>
      </c>
      <c r="D26" s="21">
        <f>$G$16*C26</f>
        <v>164.3011194253846</v>
      </c>
    </row>
    <row r="27" spans="2:4" ht="12.75">
      <c r="B27" t="s">
        <v>62</v>
      </c>
      <c r="C27" s="9">
        <f>C21*$E$16</f>
        <v>44616.02434384614</v>
      </c>
      <c r="D27" s="21">
        <f>$G$16*C27</f>
        <v>133.84807303153843</v>
      </c>
    </row>
    <row r="28" ht="12.75">
      <c r="D28" s="21">
        <f>SUM(D24:D27)</f>
        <v>387.3984762830769</v>
      </c>
    </row>
    <row r="30" spans="1:7" ht="51">
      <c r="A30" t="s">
        <v>150</v>
      </c>
      <c r="C30" s="30">
        <v>0.4</v>
      </c>
      <c r="D30" s="24" t="str">
        <f>D16</f>
        <v>Full Service Program Implementation Fraction</v>
      </c>
      <c r="E30" s="30">
        <f>C30/2</f>
        <v>0.2</v>
      </c>
      <c r="F30" s="24" t="s">
        <v>215</v>
      </c>
      <c r="G30">
        <v>0.003</v>
      </c>
    </row>
    <row r="31" ht="12.75">
      <c r="A31" t="s">
        <v>78</v>
      </c>
    </row>
    <row r="32" spans="2:3" ht="12.75">
      <c r="B32" t="s">
        <v>34</v>
      </c>
      <c r="C32" s="9">
        <f>'ADJ. FY08-Current Rates'!B55</f>
        <v>278422.36100000003</v>
      </c>
    </row>
    <row r="33" spans="2:3" ht="12.75">
      <c r="B33" t="s">
        <v>35</v>
      </c>
      <c r="C33" s="9">
        <f>'ADJ. FY08-Current Rates'!B56</f>
        <v>199770.57200000001</v>
      </c>
    </row>
    <row r="34" spans="2:3" ht="12.75">
      <c r="B34" s="11" t="s">
        <v>36</v>
      </c>
      <c r="C34" s="9">
        <f>'ADJ. FY08-Current Rates'!B57</f>
        <v>1326155.68</v>
      </c>
    </row>
    <row r="35" spans="2:3" ht="12.75">
      <c r="B35" s="11" t="s">
        <v>37</v>
      </c>
      <c r="C35" s="9">
        <f>'ADJ. FY08-Current Rates'!B58</f>
        <v>1419050.781</v>
      </c>
    </row>
    <row r="36" spans="1:3" ht="12.75">
      <c r="A36" t="s">
        <v>153</v>
      </c>
      <c r="C36" s="9"/>
    </row>
    <row r="38" spans="2:4" ht="12.75">
      <c r="B38" t="s">
        <v>34</v>
      </c>
      <c r="C38" s="9">
        <f>C32*$E$30</f>
        <v>55684.47220000001</v>
      </c>
      <c r="D38" s="21">
        <f>$G$30*C38</f>
        <v>167.05341660000005</v>
      </c>
    </row>
    <row r="39" spans="2:4" ht="12.75">
      <c r="B39" t="s">
        <v>35</v>
      </c>
      <c r="C39" s="9">
        <f>C33*$E$30</f>
        <v>39954.114400000006</v>
      </c>
      <c r="D39" s="21">
        <f>$G$30*C39</f>
        <v>119.86234320000003</v>
      </c>
    </row>
    <row r="40" spans="2:4" ht="12.75">
      <c r="B40" s="11" t="s">
        <v>36</v>
      </c>
      <c r="C40" s="9">
        <f>C34*$E$30</f>
        <v>265231.136</v>
      </c>
      <c r="D40" s="21">
        <f>$G$30*C40</f>
        <v>795.693408</v>
      </c>
    </row>
    <row r="41" spans="2:4" ht="12.75">
      <c r="B41" s="11" t="s">
        <v>37</v>
      </c>
      <c r="C41" s="9">
        <f>C35*$E$30</f>
        <v>283810.1562</v>
      </c>
      <c r="D41" s="21">
        <f>$G$30*C41</f>
        <v>851.4304686000002</v>
      </c>
    </row>
    <row r="42" ht="12.75">
      <c r="D42" s="21">
        <f>SUM(D38:D41)</f>
        <v>1934.0396364000003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45">
      <selection activeCell="D62" sqref="D62"/>
    </sheetView>
  </sheetViews>
  <sheetFormatPr defaultColWidth="9.140625" defaultRowHeight="12.75"/>
  <cols>
    <col min="1" max="1" width="31.140625" style="0" customWidth="1"/>
    <col min="2" max="2" width="13.421875" style="0" customWidth="1"/>
    <col min="3" max="3" width="13.8515625" style="0" customWidth="1"/>
    <col min="4" max="4" width="15.00390625" style="0" bestFit="1" customWidth="1"/>
    <col min="5" max="5" width="12.8515625" style="0" customWidth="1"/>
    <col min="7" max="7" width="63.421875" style="0" bestFit="1" customWidth="1"/>
    <col min="8" max="8" width="12.00390625" style="0" bestFit="1" customWidth="1"/>
    <col min="9" max="9" width="14.00390625" style="0" bestFit="1" customWidth="1"/>
    <col min="10" max="10" width="12.7109375" style="0" bestFit="1" customWidth="1"/>
    <col min="11" max="11" width="8.57421875" style="0" customWidth="1"/>
  </cols>
  <sheetData>
    <row r="1" ht="12.75">
      <c r="A1" s="8" t="s">
        <v>142</v>
      </c>
    </row>
    <row r="2" spans="1:5" ht="14.25">
      <c r="A2" s="8" t="s">
        <v>119</v>
      </c>
      <c r="B2" s="33" t="s">
        <v>123</v>
      </c>
      <c r="C2" s="33" t="s">
        <v>139</v>
      </c>
      <c r="D2" s="33" t="s">
        <v>125</v>
      </c>
      <c r="E2" s="21"/>
    </row>
    <row r="3" spans="1:5" ht="12.75">
      <c r="A3" t="s">
        <v>41</v>
      </c>
      <c r="B3" s="4">
        <f>'FY08 BD'!D5-(Adjustments!C7-Adjustments!E17)</f>
        <v>33224629.886124294</v>
      </c>
      <c r="C3" s="40">
        <v>0.42</v>
      </c>
      <c r="D3" s="21">
        <f aca="true" t="shared" si="0" ref="D3:D11">C3*B3</f>
        <v>13954344.552172203</v>
      </c>
      <c r="E3" s="21"/>
    </row>
    <row r="4" spans="1:6" ht="12.75">
      <c r="A4" t="s">
        <v>42</v>
      </c>
      <c r="B4" s="4">
        <f>'FY08 BD'!D6-Adjustments!C13</f>
        <v>2607156.654047958</v>
      </c>
      <c r="C4" s="40">
        <v>0.83</v>
      </c>
      <c r="D4" s="21">
        <f t="shared" si="0"/>
        <v>2163940.0228598053</v>
      </c>
      <c r="E4" s="21"/>
      <c r="F4" s="25"/>
    </row>
    <row r="5" spans="1:6" ht="12.75">
      <c r="A5" t="s">
        <v>43</v>
      </c>
      <c r="B5" s="4">
        <f>'FY08 BD'!D7-Adjustments!C14</f>
        <v>595014.4639999999</v>
      </c>
      <c r="C5" s="40">
        <v>1.17</v>
      </c>
      <c r="D5" s="21">
        <f t="shared" si="0"/>
        <v>696166.9228799999</v>
      </c>
      <c r="E5" s="21"/>
      <c r="F5" s="25"/>
    </row>
    <row r="6" spans="1:5" ht="12.75">
      <c r="A6" t="s">
        <v>147</v>
      </c>
      <c r="B6" s="4">
        <f>'FY08 BD'!D8</f>
        <v>1766649.0210307208</v>
      </c>
      <c r="C6" s="40">
        <v>0.17</v>
      </c>
      <c r="D6" s="21">
        <f t="shared" si="0"/>
        <v>300330.3335752226</v>
      </c>
      <c r="E6" s="21"/>
    </row>
    <row r="7" spans="1:5" ht="12.75">
      <c r="A7" t="s">
        <v>148</v>
      </c>
      <c r="B7" s="4">
        <f>'FY08 BD'!D9</f>
        <v>7757512.946120274</v>
      </c>
      <c r="C7" s="40">
        <v>0.17</v>
      </c>
      <c r="D7" s="21">
        <f t="shared" si="0"/>
        <v>1318777.2008404466</v>
      </c>
      <c r="E7" s="21"/>
    </row>
    <row r="8" spans="1:5" ht="12.75">
      <c r="A8" t="s">
        <v>149</v>
      </c>
      <c r="B8" s="4">
        <f>'FY08 BD'!D10</f>
        <v>2679851.999162763</v>
      </c>
      <c r="C8" s="40">
        <v>0.17</v>
      </c>
      <c r="D8" s="21">
        <f t="shared" si="0"/>
        <v>455574.8398576697</v>
      </c>
      <c r="E8" s="21"/>
    </row>
    <row r="9" spans="1:4" ht="12.75">
      <c r="A9" t="s">
        <v>44</v>
      </c>
      <c r="B9" s="4">
        <f>'FY08 BD'!D11</f>
        <v>294352.753</v>
      </c>
      <c r="C9" s="40">
        <v>0.2</v>
      </c>
      <c r="D9" s="21">
        <f t="shared" si="0"/>
        <v>58870.55060000001</v>
      </c>
    </row>
    <row r="10" spans="1:4" ht="12.75">
      <c r="A10" t="s">
        <v>7</v>
      </c>
      <c r="B10" s="4">
        <f>'FY08 BD'!D15</f>
        <v>285080.24100000004</v>
      </c>
      <c r="C10" s="41">
        <v>0.397</v>
      </c>
      <c r="D10" s="21">
        <f t="shared" si="0"/>
        <v>113176.85567700001</v>
      </c>
    </row>
    <row r="11" spans="1:4" ht="12.75">
      <c r="A11" t="s">
        <v>156</v>
      </c>
      <c r="B11" s="4">
        <f>'FY08 BD'!D16</f>
        <v>5378.962855325868</v>
      </c>
      <c r="C11" s="41">
        <f>C6</f>
        <v>0.17</v>
      </c>
      <c r="D11" s="21">
        <f t="shared" si="0"/>
        <v>914.4236854053977</v>
      </c>
    </row>
    <row r="12" spans="3:5" ht="12.75">
      <c r="C12" s="19"/>
      <c r="E12" s="21"/>
    </row>
    <row r="13" spans="1:5" ht="12.75">
      <c r="A13" s="8" t="s">
        <v>45</v>
      </c>
      <c r="C13" s="19"/>
      <c r="E13" s="21"/>
    </row>
    <row r="14" spans="1:5" ht="12.75">
      <c r="A14" t="s">
        <v>46</v>
      </c>
      <c r="B14" s="4">
        <f>'FY08 BD'!G4-Adjustments!C8</f>
        <v>50870.06726049147</v>
      </c>
      <c r="C14" s="40">
        <v>0.27</v>
      </c>
      <c r="D14" s="21">
        <f>C14*B14</f>
        <v>13734.918160332698</v>
      </c>
      <c r="E14" s="21"/>
    </row>
    <row r="15" spans="1:5" ht="12.75">
      <c r="A15" t="s">
        <v>47</v>
      </c>
      <c r="B15" s="4">
        <f>'FY08 BD'!G5</f>
        <v>1671627.1322782785</v>
      </c>
      <c r="C15" s="40">
        <v>0.27</v>
      </c>
      <c r="D15" s="21">
        <f>C15*B15</f>
        <v>451339.3257151352</v>
      </c>
      <c r="E15" s="21"/>
    </row>
    <row r="16" spans="1:4" ht="12.75">
      <c r="A16" t="s">
        <v>48</v>
      </c>
      <c r="B16" s="4">
        <f>'FY08 BD'!G6</f>
        <v>91052.334</v>
      </c>
      <c r="C16" s="40">
        <f>C3</f>
        <v>0.42</v>
      </c>
      <c r="D16" s="21">
        <f>C16*B16</f>
        <v>38241.980279999996</v>
      </c>
    </row>
    <row r="17" spans="1:4" ht="12.75">
      <c r="A17" t="s">
        <v>7</v>
      </c>
      <c r="B17" s="4">
        <f>'FY08 BD'!G7</f>
        <v>32310.108977018368</v>
      </c>
      <c r="C17" s="41">
        <v>0.247</v>
      </c>
      <c r="D17" s="21">
        <f>C17*B17</f>
        <v>7980.596917323537</v>
      </c>
    </row>
    <row r="18" spans="1:4" ht="12.75">
      <c r="A18" t="s">
        <v>75</v>
      </c>
      <c r="B18" s="4">
        <f>SUM(B3:B5,B10,B14:B17)</f>
        <v>38557740.88768803</v>
      </c>
      <c r="C18" s="19"/>
      <c r="D18" s="21">
        <f>SUM(D3:D11,D14:D17)</f>
        <v>19573392.52322055</v>
      </c>
    </row>
    <row r="19" spans="7:9" ht="12.75">
      <c r="G19" s="17"/>
      <c r="H19" s="17"/>
      <c r="I19" s="17"/>
    </row>
    <row r="20" spans="1:3" ht="12.75">
      <c r="A20" s="8" t="s">
        <v>49</v>
      </c>
      <c r="C20" s="19"/>
    </row>
    <row r="21" spans="1:4" ht="12.75">
      <c r="A21" t="s">
        <v>50</v>
      </c>
      <c r="B21" s="14">
        <f>'FY08 BD'!D20</f>
        <v>1530008.3438111264</v>
      </c>
      <c r="C21" s="41">
        <v>0.394</v>
      </c>
      <c r="D21" s="21">
        <f>C21*B21</f>
        <v>602823.2874615839</v>
      </c>
    </row>
    <row r="22" spans="1:4" ht="12.75">
      <c r="A22" t="s">
        <v>42</v>
      </c>
      <c r="B22" s="14">
        <f>'FY08 BD'!D21</f>
        <v>109055.25418887351</v>
      </c>
      <c r="C22" s="41">
        <v>0.727</v>
      </c>
      <c r="D22" s="21">
        <f>C22*B22</f>
        <v>79283.16979531104</v>
      </c>
    </row>
    <row r="23" spans="1:4" ht="12.75">
      <c r="A23" t="s">
        <v>51</v>
      </c>
      <c r="B23" s="14">
        <f>'FY08 BD'!D22</f>
        <v>62706.70413448449</v>
      </c>
      <c r="C23" s="41">
        <v>0.125</v>
      </c>
      <c r="D23" s="21">
        <f>C23*B23</f>
        <v>7838.338016810561</v>
      </c>
    </row>
    <row r="24" spans="1:4" ht="12.75">
      <c r="A24" t="s">
        <v>52</v>
      </c>
      <c r="B24" s="14">
        <f>'FY08 BD'!D23</f>
        <v>197215.62035698554</v>
      </c>
      <c r="C24" s="41">
        <v>0.17</v>
      </c>
      <c r="D24" s="21">
        <f>C24*B24</f>
        <v>33526.65546068754</v>
      </c>
    </row>
    <row r="25" spans="1:4" ht="12.75">
      <c r="A25" t="s">
        <v>44</v>
      </c>
      <c r="B25" s="14">
        <f>'FY08 BD'!D24</f>
        <v>22942.493</v>
      </c>
      <c r="C25" s="41">
        <v>0.2</v>
      </c>
      <c r="D25" s="21">
        <f>C25*B25</f>
        <v>4588.4986</v>
      </c>
    </row>
    <row r="26" spans="2:4" ht="12.75">
      <c r="B26" s="14">
        <f>SUM(B21:B22)</f>
        <v>1639063.598</v>
      </c>
      <c r="C26" s="19"/>
      <c r="D26" s="21">
        <f>SUM(D21:D25)</f>
        <v>728059.9493343931</v>
      </c>
    </row>
    <row r="27" spans="2:3" ht="12.75">
      <c r="B27" s="14"/>
      <c r="C27" s="19"/>
    </row>
    <row r="28" spans="1:3" ht="12.75">
      <c r="A28" s="8" t="s">
        <v>53</v>
      </c>
      <c r="B28" s="14"/>
      <c r="C28" s="19"/>
    </row>
    <row r="29" spans="1:4" ht="12.75">
      <c r="A29" t="s">
        <v>54</v>
      </c>
      <c r="B29" s="14">
        <f>'FY08 BD'!D27</f>
        <v>5176.87</v>
      </c>
      <c r="C29" s="41">
        <v>0.918</v>
      </c>
      <c r="D29" s="21">
        <f>C29*B29</f>
        <v>4752.36666</v>
      </c>
    </row>
    <row r="30" spans="1:4" ht="12.75">
      <c r="A30" t="s">
        <v>55</v>
      </c>
      <c r="B30" s="14">
        <f>'FY08 BD'!D28</f>
        <v>3555.2289999999994</v>
      </c>
      <c r="C30" s="41">
        <v>0.858</v>
      </c>
      <c r="D30" s="21">
        <f>C30*B30</f>
        <v>3050.3864819999994</v>
      </c>
    </row>
    <row r="31" spans="1:4" ht="12.75">
      <c r="A31" t="s">
        <v>56</v>
      </c>
      <c r="B31" s="14">
        <f>'FY08 BD'!D29</f>
        <v>1775.201</v>
      </c>
      <c r="C31" s="41">
        <v>0.711</v>
      </c>
      <c r="D31" s="21">
        <f>C31*B31</f>
        <v>1262.167911</v>
      </c>
    </row>
    <row r="32" spans="1:4" ht="12.75">
      <c r="A32" t="s">
        <v>57</v>
      </c>
      <c r="B32" s="14">
        <f>'FY08 BD'!D31</f>
        <v>3041.268</v>
      </c>
      <c r="C32" s="41">
        <v>0.05</v>
      </c>
      <c r="D32" s="21">
        <f>C32*B32</f>
        <v>152.0634</v>
      </c>
    </row>
    <row r="33" spans="1:4" ht="12.75">
      <c r="A33" t="s">
        <v>22</v>
      </c>
      <c r="B33" s="14">
        <f>'FY08 BD'!D30</f>
        <v>39802.30376732894</v>
      </c>
      <c r="C33" s="41">
        <v>0.17</v>
      </c>
      <c r="D33" s="21">
        <f>C33*B33</f>
        <v>6766.39164044592</v>
      </c>
    </row>
    <row r="34" spans="2:4" ht="12.75">
      <c r="B34" s="14">
        <f>SUM(B29:B31)</f>
        <v>10507.3</v>
      </c>
      <c r="C34" s="19"/>
      <c r="D34" s="21">
        <f>SUM(D29:D33)</f>
        <v>15983.37609344592</v>
      </c>
    </row>
    <row r="35" spans="1:3" ht="12.75">
      <c r="A35" s="8" t="s">
        <v>58</v>
      </c>
      <c r="B35" s="14"/>
      <c r="C35" s="19"/>
    </row>
    <row r="36" spans="1:4" ht="12.75">
      <c r="A36" t="s">
        <v>59</v>
      </c>
      <c r="B36" s="14">
        <f>'FY08 BD'!D35</f>
        <v>2980110.056</v>
      </c>
      <c r="C36" s="41">
        <v>0.369</v>
      </c>
      <c r="D36" s="21">
        <f>C36*B36</f>
        <v>1099660.610664</v>
      </c>
    </row>
    <row r="37" spans="1:4" ht="12.75">
      <c r="A37" t="s">
        <v>60</v>
      </c>
      <c r="B37" s="14">
        <f>'FY08 BD'!D36</f>
        <v>2388754.9</v>
      </c>
      <c r="C37" s="41">
        <v>0.351</v>
      </c>
      <c r="D37" s="21">
        <f>C37*B37</f>
        <v>838452.9698999999</v>
      </c>
    </row>
    <row r="38" spans="1:4" ht="12.75">
      <c r="A38" t="s">
        <v>61</v>
      </c>
      <c r="B38" s="14">
        <f>'FY08 BD'!D37</f>
        <v>20157561.454000004</v>
      </c>
      <c r="C38" s="41">
        <v>0.346</v>
      </c>
      <c r="D38" s="21">
        <f>C38*B38</f>
        <v>6974516.263084001</v>
      </c>
    </row>
    <row r="39" spans="1:5" ht="12.75">
      <c r="A39" t="s">
        <v>62</v>
      </c>
      <c r="B39" s="14">
        <f>'FY08 BD'!D38-Adjustments!C10</f>
        <v>21323438.880188875</v>
      </c>
      <c r="C39" s="41">
        <v>0.324</v>
      </c>
      <c r="D39" s="21">
        <f>C39*B39</f>
        <v>6908794.197181196</v>
      </c>
      <c r="E39" s="9"/>
    </row>
    <row r="40" spans="1:4" ht="12.75">
      <c r="A40" t="s">
        <v>22</v>
      </c>
      <c r="B40" s="14">
        <f>SUM('FY08 BD'!D40:D43)</f>
        <v>1502210.589344363</v>
      </c>
      <c r="C40" s="41">
        <v>0.125</v>
      </c>
      <c r="D40" s="21">
        <f>C40*B40</f>
        <v>187776.32366804537</v>
      </c>
    </row>
    <row r="41" spans="2:3" ht="12.75">
      <c r="B41" s="14"/>
      <c r="C41" s="19"/>
    </row>
    <row r="42" spans="2:4" ht="12.75">
      <c r="B42" s="14">
        <f>SUM(B36:B39)</f>
        <v>46849865.29018888</v>
      </c>
      <c r="C42" s="19"/>
      <c r="D42" s="21">
        <f>SUM(D36:D40)</f>
        <v>16009200.364497242</v>
      </c>
    </row>
    <row r="43" spans="1:3" ht="12.75">
      <c r="A43" s="8" t="s">
        <v>63</v>
      </c>
      <c r="B43" s="14"/>
      <c r="C43" s="19"/>
    </row>
    <row r="44" spans="1:4" ht="12.75">
      <c r="A44" t="s">
        <v>64</v>
      </c>
      <c r="B44" s="14">
        <f>'FY08 BD'!G12</f>
        <v>54022.907999999996</v>
      </c>
      <c r="C44" s="41">
        <v>0.702</v>
      </c>
      <c r="D44" s="21">
        <f>C44*B44</f>
        <v>37924.08141599999</v>
      </c>
    </row>
    <row r="45" spans="1:4" ht="12.75">
      <c r="A45" t="s">
        <v>65</v>
      </c>
      <c r="B45" s="14">
        <f>'FY08 BD'!G13</f>
        <v>98841.478</v>
      </c>
      <c r="C45" s="41">
        <v>0.57</v>
      </c>
      <c r="D45" s="21">
        <f>C45*B45</f>
        <v>56339.642459999995</v>
      </c>
    </row>
    <row r="46" spans="1:4" ht="12.75">
      <c r="A46" t="s">
        <v>61</v>
      </c>
      <c r="B46" s="14">
        <f>'FY08 BD'!G14</f>
        <v>281411.66699999996</v>
      </c>
      <c r="C46" s="41">
        <v>0.479</v>
      </c>
      <c r="D46" s="21">
        <f>C46*B46</f>
        <v>134796.18849299997</v>
      </c>
    </row>
    <row r="47" spans="1:4" ht="12.75">
      <c r="A47" t="s">
        <v>62</v>
      </c>
      <c r="B47" s="14">
        <f>'FY08 BD'!G15</f>
        <v>229252.29899999994</v>
      </c>
      <c r="C47" s="41">
        <v>0.364</v>
      </c>
      <c r="D47" s="21">
        <f>C47*B47</f>
        <v>83447.83683599997</v>
      </c>
    </row>
    <row r="48" spans="1:4" ht="12.75">
      <c r="A48" t="s">
        <v>22</v>
      </c>
      <c r="B48" s="14">
        <f>SUM('FY08 BD'!G17:G20)</f>
        <v>1125677.1317290384</v>
      </c>
      <c r="C48" s="41">
        <v>0.17</v>
      </c>
      <c r="D48" s="21">
        <f>C48*B48</f>
        <v>191365.11239393655</v>
      </c>
    </row>
    <row r="49" spans="2:3" ht="12.75">
      <c r="B49" s="14"/>
      <c r="C49" s="19"/>
    </row>
    <row r="50" spans="2:4" ht="12.75">
      <c r="B50" s="9">
        <f>SUM(B44:B47)</f>
        <v>663528.352</v>
      </c>
      <c r="C50" s="19"/>
      <c r="D50" s="21">
        <f>SUM(D44:D48)</f>
        <v>503872.8615989365</v>
      </c>
    </row>
    <row r="51" spans="2:4" ht="12.75">
      <c r="B51" s="14">
        <f>SUM(B21:B22,B29:B31,B36:B39,B44:B47)</f>
        <v>49162964.540188886</v>
      </c>
      <c r="C51" s="19"/>
      <c r="D51" s="21">
        <f>D26+D34+D42+D50</f>
        <v>17257116.551524017</v>
      </c>
    </row>
    <row r="52" spans="1:3" ht="12.75">
      <c r="A52" s="8" t="s">
        <v>66</v>
      </c>
      <c r="B52" s="14"/>
      <c r="C52" s="19"/>
    </row>
    <row r="53" spans="1:4" ht="12.75">
      <c r="A53" s="11" t="s">
        <v>33</v>
      </c>
      <c r="B53" s="42">
        <f>'FY08 BD'!G23</f>
        <v>332597.91</v>
      </c>
      <c r="C53" s="41">
        <v>0.242</v>
      </c>
      <c r="D53" s="21">
        <f>C53*B53</f>
        <v>80488.69421999999</v>
      </c>
    </row>
    <row r="54" spans="2:3" ht="12.75">
      <c r="B54" s="14"/>
      <c r="C54" s="19"/>
    </row>
    <row r="55" spans="1:4" ht="12.75">
      <c r="A55" t="s">
        <v>34</v>
      </c>
      <c r="B55" s="15">
        <f>'FY08 BD'!G26</f>
        <v>278422.36100000003</v>
      </c>
      <c r="C55" s="41">
        <v>0.223</v>
      </c>
      <c r="D55" s="21">
        <f>C55*B55</f>
        <v>62088.18650300001</v>
      </c>
    </row>
    <row r="56" spans="1:4" ht="12.75">
      <c r="A56" t="s">
        <v>35</v>
      </c>
      <c r="B56" s="15">
        <f>'FY08 BD'!G27</f>
        <v>199770.57200000001</v>
      </c>
      <c r="C56" s="41">
        <v>0.213</v>
      </c>
      <c r="D56" s="21">
        <f>C56*B56</f>
        <v>42551.131836</v>
      </c>
    </row>
    <row r="57" spans="1:4" ht="12.75">
      <c r="A57" s="11" t="s">
        <v>36</v>
      </c>
      <c r="B57" s="15">
        <f>'FY08 BD'!G28</f>
        <v>1326155.68</v>
      </c>
      <c r="C57" s="41">
        <v>0.21</v>
      </c>
      <c r="D57" s="21">
        <f>C57*B57</f>
        <v>278492.69279999996</v>
      </c>
    </row>
    <row r="58" spans="1:4" ht="12.75">
      <c r="A58" s="11" t="s">
        <v>37</v>
      </c>
      <c r="B58" s="15">
        <f>'FY08 BD'!G29</f>
        <v>1419050.781</v>
      </c>
      <c r="C58" s="41">
        <v>0.199</v>
      </c>
      <c r="D58" s="21">
        <f>C58*B58</f>
        <v>282391.105419</v>
      </c>
    </row>
    <row r="60" spans="2:6" ht="12.75">
      <c r="B60" s="4">
        <f>SUM(B53,B55:B58)</f>
        <v>3555997.304</v>
      </c>
      <c r="D60" s="21">
        <f>SUM(D53,D55:D58)</f>
        <v>746011.8107779999</v>
      </c>
      <c r="F60" s="21"/>
    </row>
    <row r="61" ht="12.75">
      <c r="D61" s="21">
        <f>D18+D51+D60</f>
        <v>37576520.88552257</v>
      </c>
    </row>
    <row r="62" spans="1:4" ht="14.25">
      <c r="A62" s="8" t="s">
        <v>120</v>
      </c>
      <c r="B62" s="4"/>
      <c r="D62" s="21">
        <v>861186.8210900275</v>
      </c>
    </row>
    <row r="63" ht="12.75">
      <c r="D63" s="21">
        <f>SUM(D61:D62)</f>
        <v>38437707.706612594</v>
      </c>
    </row>
    <row r="64" ht="14.25">
      <c r="A64" s="39" t="s">
        <v>157</v>
      </c>
    </row>
    <row r="65" ht="14.25">
      <c r="A65" s="39" t="s">
        <v>140</v>
      </c>
    </row>
  </sheetData>
  <sheetProtection/>
  <printOptions/>
  <pageMargins left="0.17" right="0.75" top="0.17" bottom="0.17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37">
      <selection activeCell="D62" sqref="D62"/>
    </sheetView>
  </sheetViews>
  <sheetFormatPr defaultColWidth="9.140625" defaultRowHeight="12.75"/>
  <cols>
    <col min="1" max="1" width="31.140625" style="0" customWidth="1"/>
    <col min="2" max="2" width="13.421875" style="0" customWidth="1"/>
    <col min="3" max="3" width="13.140625" style="0" customWidth="1"/>
    <col min="4" max="4" width="15.00390625" style="0" bestFit="1" customWidth="1"/>
    <col min="5" max="5" width="12.8515625" style="0" customWidth="1"/>
  </cols>
  <sheetData>
    <row r="1" ht="12.75">
      <c r="A1" s="8" t="s">
        <v>141</v>
      </c>
    </row>
    <row r="2" spans="1:4" ht="12.75">
      <c r="A2" s="8" t="s">
        <v>119</v>
      </c>
      <c r="B2" s="33" t="s">
        <v>123</v>
      </c>
      <c r="C2" s="33" t="s">
        <v>138</v>
      </c>
      <c r="D2" s="33" t="s">
        <v>125</v>
      </c>
    </row>
    <row r="3" spans="1:5" ht="12.75">
      <c r="A3" t="s">
        <v>41</v>
      </c>
      <c r="B3" s="4">
        <f>'ADJ. FY08-Current Rates'!B3</f>
        <v>33224629.886124294</v>
      </c>
      <c r="C3" s="22">
        <v>0.44</v>
      </c>
      <c r="D3" s="21">
        <f aca="true" t="shared" si="0" ref="D3:D11">C3*B3</f>
        <v>14618837.14989469</v>
      </c>
      <c r="E3" s="21"/>
    </row>
    <row r="4" spans="1:5" ht="12.75">
      <c r="A4" t="s">
        <v>42</v>
      </c>
      <c r="B4" s="4">
        <f>'ADJ. FY08-Current Rates'!B4</f>
        <v>2607156.654047958</v>
      </c>
      <c r="C4" s="22">
        <v>0.88</v>
      </c>
      <c r="D4" s="21">
        <f t="shared" si="0"/>
        <v>2294297.855562203</v>
      </c>
      <c r="E4" s="21"/>
    </row>
    <row r="5" spans="1:5" ht="12.75">
      <c r="A5" t="s">
        <v>43</v>
      </c>
      <c r="B5" s="4">
        <f>'ADJ. FY08-Current Rates'!B5</f>
        <v>595014.4639999999</v>
      </c>
      <c r="C5" s="22">
        <v>1.22</v>
      </c>
      <c r="D5" s="21">
        <f t="shared" si="0"/>
        <v>725917.6460799999</v>
      </c>
      <c r="E5" s="25"/>
    </row>
    <row r="6" spans="1:5" ht="12.75">
      <c r="A6" t="s">
        <v>147</v>
      </c>
      <c r="B6" s="4">
        <f>'ADJ. FY08-Current Rates'!B6</f>
        <v>1766649.0210307208</v>
      </c>
      <c r="C6" s="22">
        <v>0.17</v>
      </c>
      <c r="D6" s="21">
        <f t="shared" si="0"/>
        <v>300330.3335752226</v>
      </c>
      <c r="E6" s="21"/>
    </row>
    <row r="7" spans="1:5" ht="12.75">
      <c r="A7" t="s">
        <v>148</v>
      </c>
      <c r="B7" s="4">
        <f>'ADJ. FY08-Current Rates'!B7</f>
        <v>7757512.946120274</v>
      </c>
      <c r="C7" s="22">
        <v>0.17</v>
      </c>
      <c r="D7" s="21">
        <f t="shared" si="0"/>
        <v>1318777.2008404466</v>
      </c>
      <c r="E7" s="21"/>
    </row>
    <row r="8" spans="1:5" ht="12.75">
      <c r="A8" t="s">
        <v>149</v>
      </c>
      <c r="B8" s="4">
        <f>'ADJ. FY08-Current Rates'!B8</f>
        <v>2679851.999162763</v>
      </c>
      <c r="C8" s="22">
        <v>0.17</v>
      </c>
      <c r="D8" s="21">
        <f t="shared" si="0"/>
        <v>455574.8398576697</v>
      </c>
      <c r="E8" s="21"/>
    </row>
    <row r="9" spans="1:5" ht="12.75">
      <c r="A9" t="s">
        <v>44</v>
      </c>
      <c r="B9" s="4">
        <f>'ADJ. FY08-Current Rates'!B9</f>
        <v>294352.753</v>
      </c>
      <c r="C9" s="22">
        <v>0.2</v>
      </c>
      <c r="D9" s="21">
        <f t="shared" si="0"/>
        <v>58870.55060000001</v>
      </c>
      <c r="E9" s="21"/>
    </row>
    <row r="10" spans="1:5" ht="12.75">
      <c r="A10" t="s">
        <v>7</v>
      </c>
      <c r="B10" s="4">
        <f>'ADJ. FY08-Current Rates'!B10</f>
        <v>285080.24100000004</v>
      </c>
      <c r="C10" s="20">
        <v>0.417</v>
      </c>
      <c r="D10" s="21">
        <f t="shared" si="0"/>
        <v>118878.46049700001</v>
      </c>
      <c r="E10" s="21"/>
    </row>
    <row r="11" spans="1:5" ht="12.75">
      <c r="A11" t="s">
        <v>156</v>
      </c>
      <c r="B11" s="4">
        <f>'ADJ. FY08-Current Rates'!B11</f>
        <v>5378.962855325868</v>
      </c>
      <c r="C11" s="22">
        <v>0.17</v>
      </c>
      <c r="D11" s="21">
        <f t="shared" si="0"/>
        <v>914.4236854053977</v>
      </c>
      <c r="E11" s="21"/>
    </row>
    <row r="12" ht="12.75">
      <c r="C12" s="20"/>
    </row>
    <row r="13" spans="1:3" ht="12.75">
      <c r="A13" s="8" t="s">
        <v>45</v>
      </c>
      <c r="C13" s="20"/>
    </row>
    <row r="14" spans="1:5" ht="12.75">
      <c r="A14" t="s">
        <v>46</v>
      </c>
      <c r="B14" s="4">
        <f>'ADJ. FY08-Current Rates'!B14</f>
        <v>50870.06726049147</v>
      </c>
      <c r="C14" s="22">
        <v>0.28</v>
      </c>
      <c r="D14" s="21">
        <f>C14*B14</f>
        <v>14243.618832937615</v>
      </c>
      <c r="E14" s="21"/>
    </row>
    <row r="15" spans="1:5" ht="12.75">
      <c r="A15" t="s">
        <v>47</v>
      </c>
      <c r="B15" s="4">
        <f>'ADJ. FY08-Current Rates'!B15</f>
        <v>1671627.1322782785</v>
      </c>
      <c r="C15" s="22">
        <v>0.28</v>
      </c>
      <c r="D15" s="21">
        <f>C15*B15</f>
        <v>468055.597037918</v>
      </c>
      <c r="E15" s="21"/>
    </row>
    <row r="16" spans="1:5" ht="12.75">
      <c r="A16" t="s">
        <v>48</v>
      </c>
      <c r="B16" s="4">
        <f>'ADJ. FY08-Current Rates'!B16</f>
        <v>91052.334</v>
      </c>
      <c r="C16" s="22">
        <v>0.44</v>
      </c>
      <c r="D16" s="21">
        <f>C16*B16</f>
        <v>40063.02696</v>
      </c>
      <c r="E16" s="21"/>
    </row>
    <row r="17" spans="1:5" ht="12.75">
      <c r="A17" t="s">
        <v>7</v>
      </c>
      <c r="B17" s="4">
        <f>'ADJ. FY08-Current Rates'!B17</f>
        <v>32310.108977018368</v>
      </c>
      <c r="C17" s="20">
        <v>0.257</v>
      </c>
      <c r="D17" s="21">
        <f>C17*B17</f>
        <v>8303.69800709372</v>
      </c>
      <c r="E17" s="21"/>
    </row>
    <row r="18" spans="2:4" ht="12.75">
      <c r="B18" s="4">
        <f>SUM(B3:B5,B10,B14:B17)</f>
        <v>38557740.88768803</v>
      </c>
      <c r="C18" s="20"/>
      <c r="D18" s="21">
        <f>SUM(D3:D11,D14:D17)</f>
        <v>20423064.40143059</v>
      </c>
    </row>
    <row r="19" ht="12.75">
      <c r="E19" s="18"/>
    </row>
    <row r="20" spans="1:3" ht="12.75">
      <c r="A20" s="8" t="s">
        <v>49</v>
      </c>
      <c r="C20" s="20"/>
    </row>
    <row r="21" spans="1:4" ht="12.75">
      <c r="A21" t="s">
        <v>50</v>
      </c>
      <c r="B21" s="14">
        <f>'ADJ. FY08-Current Rates'!B21</f>
        <v>1530008.3438111264</v>
      </c>
      <c r="C21" s="20">
        <v>0.414</v>
      </c>
      <c r="D21" s="21">
        <f>C21*B21</f>
        <v>633423.4543378063</v>
      </c>
    </row>
    <row r="22" spans="1:4" ht="12.75">
      <c r="A22" t="s">
        <v>42</v>
      </c>
      <c r="B22" s="14">
        <f>'ADJ. FY08-Current Rates'!B22</f>
        <v>109055.25418887351</v>
      </c>
      <c r="C22" s="20">
        <v>0.7569999999999999</v>
      </c>
      <c r="D22" s="21">
        <f>C22*B22</f>
        <v>82554.82742097724</v>
      </c>
    </row>
    <row r="23" spans="1:4" ht="12.75">
      <c r="A23" t="s">
        <v>51</v>
      </c>
      <c r="B23" s="14">
        <f>'ADJ. FY08-Current Rates'!B23</f>
        <v>62706.70413448449</v>
      </c>
      <c r="C23" s="20">
        <v>0.125</v>
      </c>
      <c r="D23" s="21">
        <f>C23*B23</f>
        <v>7838.338016810561</v>
      </c>
    </row>
    <row r="24" spans="1:4" ht="12.75">
      <c r="A24" t="s">
        <v>52</v>
      </c>
      <c r="B24" s="14">
        <f>'ADJ. FY08-Current Rates'!B24</f>
        <v>197215.62035698554</v>
      </c>
      <c r="C24" s="20">
        <v>0.17</v>
      </c>
      <c r="D24" s="21">
        <f>C24*B24</f>
        <v>33526.65546068754</v>
      </c>
    </row>
    <row r="25" spans="1:4" ht="12.75">
      <c r="A25" t="s">
        <v>44</v>
      </c>
      <c r="B25" s="14">
        <f>'ADJ. FY08-Current Rates'!B25</f>
        <v>22942.493</v>
      </c>
      <c r="C25" s="20">
        <v>0.2</v>
      </c>
      <c r="D25" s="21">
        <f>C25*B25</f>
        <v>4588.4986</v>
      </c>
    </row>
    <row r="26" spans="2:5" ht="12.75">
      <c r="B26" s="14">
        <f>SUM(B21:B22)</f>
        <v>1639063.598</v>
      </c>
      <c r="C26" s="20"/>
      <c r="D26" s="21">
        <f>SUM(D21:D25)</f>
        <v>761931.7738362818</v>
      </c>
      <c r="E26" s="18"/>
    </row>
    <row r="27" spans="2:3" ht="12.75">
      <c r="B27" s="14"/>
      <c r="C27" s="20"/>
    </row>
    <row r="28" spans="1:3" ht="12.75">
      <c r="A28" s="8" t="s">
        <v>53</v>
      </c>
      <c r="B28" s="14"/>
      <c r="C28" s="20"/>
    </row>
    <row r="29" spans="1:4" ht="12.75">
      <c r="A29" t="s">
        <v>54</v>
      </c>
      <c r="B29" s="14">
        <f>'ADJ. FY08-Current Rates'!B29</f>
        <v>5176.87</v>
      </c>
      <c r="C29" s="20">
        <v>0.95</v>
      </c>
      <c r="D29" s="21">
        <f>C29*B29</f>
        <v>4918.0265</v>
      </c>
    </row>
    <row r="30" spans="1:4" ht="12.75">
      <c r="A30" t="s">
        <v>55</v>
      </c>
      <c r="B30" s="14">
        <f>'ADJ. FY08-Current Rates'!B30</f>
        <v>3555.2289999999994</v>
      </c>
      <c r="C30" s="20">
        <v>0.8640000000000001</v>
      </c>
      <c r="D30" s="21">
        <f>C30*B30</f>
        <v>3071.7178559999998</v>
      </c>
    </row>
    <row r="31" spans="1:4" ht="12.75">
      <c r="A31" t="s">
        <v>56</v>
      </c>
      <c r="B31" s="14">
        <f>'ADJ. FY08-Current Rates'!B31</f>
        <v>1775.201</v>
      </c>
      <c r="C31" s="20">
        <v>0.732</v>
      </c>
      <c r="D31" s="21">
        <f>C31*B31</f>
        <v>1299.447132</v>
      </c>
    </row>
    <row r="32" spans="1:4" ht="12.75">
      <c r="A32" t="s">
        <v>57</v>
      </c>
      <c r="B32" s="14">
        <f>'ADJ. FY08-Current Rates'!B32</f>
        <v>3041.268</v>
      </c>
      <c r="C32" s="20">
        <v>0.05</v>
      </c>
      <c r="D32" s="21">
        <f>C32*B32</f>
        <v>152.0634</v>
      </c>
    </row>
    <row r="33" spans="1:4" ht="12.75">
      <c r="A33" t="s">
        <v>22</v>
      </c>
      <c r="B33" s="14">
        <f>'ADJ. FY08-Current Rates'!B33</f>
        <v>39802.30376732894</v>
      </c>
      <c r="C33" s="20">
        <v>0.17</v>
      </c>
      <c r="D33" s="21">
        <f>C33*B33</f>
        <v>6766.39164044592</v>
      </c>
    </row>
    <row r="34" spans="2:5" ht="12.75">
      <c r="B34" s="14">
        <f>SUM(B29:B31)</f>
        <v>10507.3</v>
      </c>
      <c r="C34" s="20"/>
      <c r="D34" s="21">
        <f>SUM(D29:D33)</f>
        <v>16207.64652844592</v>
      </c>
      <c r="E34" s="18"/>
    </row>
    <row r="35" spans="1:3" ht="12.75">
      <c r="A35" s="8" t="s">
        <v>58</v>
      </c>
      <c r="B35" s="14"/>
      <c r="C35" s="20"/>
    </row>
    <row r="36" spans="1:4" ht="12.75">
      <c r="A36" t="s">
        <v>59</v>
      </c>
      <c r="B36" s="14">
        <f>'ADJ. FY08-Current Rates'!B36</f>
        <v>2980110.056</v>
      </c>
      <c r="C36" s="20">
        <v>0.382</v>
      </c>
      <c r="D36" s="21">
        <f>C36*B36</f>
        <v>1138402.041392</v>
      </c>
    </row>
    <row r="37" spans="1:4" ht="12.75">
      <c r="A37" t="s">
        <v>60</v>
      </c>
      <c r="B37" s="14">
        <f>'ADJ. FY08-Current Rates'!B37</f>
        <v>2388754.9</v>
      </c>
      <c r="C37" s="20">
        <v>0.36</v>
      </c>
      <c r="D37" s="21">
        <f>C37*B37</f>
        <v>859951.764</v>
      </c>
    </row>
    <row r="38" spans="1:4" ht="12.75">
      <c r="A38" t="s">
        <v>61</v>
      </c>
      <c r="B38" s="14">
        <f>'ADJ. FY08-Current Rates'!B38</f>
        <v>20157561.454000004</v>
      </c>
      <c r="C38" s="20">
        <v>0.35700000000000004</v>
      </c>
      <c r="D38" s="21">
        <f>C38*B38</f>
        <v>7196249.439078002</v>
      </c>
    </row>
    <row r="39" spans="1:4" ht="12.75">
      <c r="A39" t="s">
        <v>62</v>
      </c>
      <c r="B39" s="14">
        <f>'ADJ. FY08-Current Rates'!B39</f>
        <v>21323438.880188875</v>
      </c>
      <c r="C39" s="20">
        <v>0.335</v>
      </c>
      <c r="D39" s="21">
        <f>C39*B39</f>
        <v>7143352.024863274</v>
      </c>
    </row>
    <row r="40" spans="1:4" ht="12.75">
      <c r="A40" t="s">
        <v>22</v>
      </c>
      <c r="B40" s="14">
        <f>SUM('FY08 BD'!D40:D43)+'FY08 BD'!D50</f>
        <v>1502210.589344363</v>
      </c>
      <c r="C40" s="20">
        <v>0.125</v>
      </c>
      <c r="D40" s="21">
        <f>C40*B40</f>
        <v>187776.32366804537</v>
      </c>
    </row>
    <row r="41" spans="1:4" ht="12.75">
      <c r="A41" t="s">
        <v>154</v>
      </c>
      <c r="B41" s="14"/>
      <c r="C41" s="20"/>
      <c r="D41" s="21">
        <f>'IM FS Incentive'!D14</f>
        <v>33569.73039831611</v>
      </c>
    </row>
    <row r="42" spans="2:5" ht="12.75">
      <c r="B42" s="14">
        <f>SUM(B36:B39)</f>
        <v>46849865.29018888</v>
      </c>
      <c r="C42" s="20"/>
      <c r="D42" s="21">
        <f>SUM(D36:D40)-D41</f>
        <v>16492161.862603007</v>
      </c>
      <c r="E42" s="18"/>
    </row>
    <row r="43" spans="1:3" ht="12.75">
      <c r="A43" s="8" t="s">
        <v>63</v>
      </c>
      <c r="B43" s="14"/>
      <c r="C43" s="20"/>
    </row>
    <row r="44" spans="1:4" ht="12.75">
      <c r="A44" t="s">
        <v>64</v>
      </c>
      <c r="B44" s="14">
        <f>'ADJ. FY08-Current Rates'!B44</f>
        <v>54022.907999999996</v>
      </c>
      <c r="C44" s="20">
        <v>0.725</v>
      </c>
      <c r="D44" s="21">
        <f>C44*B44</f>
        <v>39166.60829999999</v>
      </c>
    </row>
    <row r="45" spans="1:4" ht="12.75">
      <c r="A45" t="s">
        <v>65</v>
      </c>
      <c r="B45" s="14">
        <f>'ADJ. FY08-Current Rates'!B45</f>
        <v>98841.478</v>
      </c>
      <c r="C45" s="20">
        <v>0.603</v>
      </c>
      <c r="D45" s="21">
        <f>C45*B45</f>
        <v>59601.411234</v>
      </c>
    </row>
    <row r="46" spans="1:4" ht="12.75">
      <c r="A46" t="s">
        <v>61</v>
      </c>
      <c r="B46" s="14">
        <f>'ADJ. FY08-Current Rates'!B46</f>
        <v>281411.66699999996</v>
      </c>
      <c r="C46" s="20">
        <v>0.542</v>
      </c>
      <c r="D46" s="21">
        <f>C46*B46</f>
        <v>152525.12351399998</v>
      </c>
    </row>
    <row r="47" spans="1:4" ht="12.75">
      <c r="A47" t="s">
        <v>62</v>
      </c>
      <c r="B47" s="14">
        <f>'ADJ. FY08-Current Rates'!B47</f>
        <v>229252.29899999994</v>
      </c>
      <c r="C47" s="20">
        <v>0.38</v>
      </c>
      <c r="D47" s="21">
        <f>C47*B47</f>
        <v>87115.87361999998</v>
      </c>
    </row>
    <row r="48" spans="1:4" ht="12.75">
      <c r="A48" t="s">
        <v>22</v>
      </c>
      <c r="B48" s="14">
        <f>'ADJ. FY08-Current Rates'!B48</f>
        <v>1125677.1317290384</v>
      </c>
      <c r="C48" s="20">
        <v>0.17</v>
      </c>
      <c r="D48" s="21">
        <f>C48*B48</f>
        <v>191365.11239393655</v>
      </c>
    </row>
    <row r="49" spans="1:4" ht="12.75">
      <c r="A49" t="s">
        <v>154</v>
      </c>
      <c r="B49" s="14"/>
      <c r="C49" s="20"/>
      <c r="D49" s="21">
        <f>'IM FS Incentive'!D28</f>
        <v>387.3984762830769</v>
      </c>
    </row>
    <row r="50" spans="2:5" ht="12.75">
      <c r="B50" s="9">
        <f>SUM(B44:B47)</f>
        <v>663528.352</v>
      </c>
      <c r="C50" s="20"/>
      <c r="D50" s="21">
        <f>SUM(D44:D48)-D49</f>
        <v>529386.7305856535</v>
      </c>
      <c r="E50" s="18"/>
    </row>
    <row r="51" spans="2:5" ht="12.75">
      <c r="B51" s="14">
        <f>SUM(B21:B22,B29:B31,B36:B39,B44:B47)</f>
        <v>49162964.540188886</v>
      </c>
      <c r="C51" s="20"/>
      <c r="D51" s="21">
        <f>D26+D34+D42+D50</f>
        <v>17799688.01355339</v>
      </c>
      <c r="E51" s="18"/>
    </row>
    <row r="52" spans="1:3" ht="12.75">
      <c r="A52" s="8" t="s">
        <v>66</v>
      </c>
      <c r="B52" s="14"/>
      <c r="C52" s="20"/>
    </row>
    <row r="53" spans="1:4" ht="12.75">
      <c r="A53" s="11" t="s">
        <v>33</v>
      </c>
      <c r="B53" s="15">
        <f>'ADJ. FY08-Current Rates'!B53</f>
        <v>332597.91</v>
      </c>
      <c r="C53" s="20">
        <v>0.245</v>
      </c>
      <c r="D53" s="21">
        <f>C53*B53</f>
        <v>81486.48795</v>
      </c>
    </row>
    <row r="54" spans="2:3" ht="12.75">
      <c r="B54" s="14"/>
      <c r="C54" s="20"/>
    </row>
    <row r="55" spans="1:4" ht="12.75">
      <c r="A55" t="s">
        <v>34</v>
      </c>
      <c r="B55" s="15">
        <f>'ADJ. FY08-Current Rates'!B55</f>
        <v>278422.36100000003</v>
      </c>
      <c r="C55" s="20">
        <v>0.23</v>
      </c>
      <c r="D55" s="21">
        <f>C55*B55</f>
        <v>64037.143030000014</v>
      </c>
    </row>
    <row r="56" spans="1:4" ht="12.75">
      <c r="A56" t="s">
        <v>35</v>
      </c>
      <c r="B56" s="15">
        <f>'ADJ. FY08-Current Rates'!B56</f>
        <v>199770.57200000001</v>
      </c>
      <c r="C56" s="20">
        <v>0.22</v>
      </c>
      <c r="D56" s="21">
        <f>C56*B56</f>
        <v>43949.52584</v>
      </c>
    </row>
    <row r="57" spans="1:4" ht="12.75">
      <c r="A57" s="11" t="s">
        <v>36</v>
      </c>
      <c r="B57" s="15">
        <f>'ADJ. FY08-Current Rates'!B57</f>
        <v>1326155.68</v>
      </c>
      <c r="C57" s="20">
        <v>0.218</v>
      </c>
      <c r="D57" s="21">
        <f>C57*B57</f>
        <v>289101.93824</v>
      </c>
    </row>
    <row r="58" spans="1:4" ht="12.75">
      <c r="A58" s="11" t="s">
        <v>37</v>
      </c>
      <c r="B58" s="15">
        <f>'ADJ. FY08-Current Rates'!B58</f>
        <v>1419050.781</v>
      </c>
      <c r="C58" s="20">
        <v>0.205</v>
      </c>
      <c r="D58" s="21">
        <f>C58*B58</f>
        <v>290905.41010499996</v>
      </c>
    </row>
    <row r="59" spans="1:4" ht="12.75">
      <c r="A59" t="s">
        <v>154</v>
      </c>
      <c r="D59" s="21">
        <f>'IM FS Incentive'!D42</f>
        <v>1934.0396364000003</v>
      </c>
    </row>
    <row r="60" spans="2:5" ht="12.75">
      <c r="B60" s="4">
        <f>SUM(B53,B55:B58)</f>
        <v>3555997.304</v>
      </c>
      <c r="D60" s="21">
        <f>SUM(D53,D55:D58)-D59</f>
        <v>767546.4655286</v>
      </c>
      <c r="E60" s="18"/>
    </row>
    <row r="61" spans="4:5" ht="12.75">
      <c r="D61" s="21">
        <f>D18+D51+D60</f>
        <v>38990298.88051257</v>
      </c>
      <c r="E61" s="23">
        <f>(D61/'ADJ. FY08-Current Rates'!D61)-1</f>
        <v>0.03762397267424267</v>
      </c>
    </row>
    <row r="62" spans="1:4" ht="14.25">
      <c r="A62" s="8" t="s">
        <v>120</v>
      </c>
      <c r="D62" s="21">
        <v>896804.2552653365</v>
      </c>
    </row>
    <row r="63" spans="4:5" ht="12.75">
      <c r="D63" s="21">
        <f>SUM(D61:D62)</f>
        <v>39887103.135777906</v>
      </c>
      <c r="E63" s="23">
        <f>(D63/'ADJ. FY08-Current Rates'!D63)-1</f>
        <v>0.03770764480099231</v>
      </c>
    </row>
    <row r="64" ht="12.75">
      <c r="A64" t="s">
        <v>166</v>
      </c>
    </row>
  </sheetData>
  <sheetProtection/>
  <printOptions/>
  <pageMargins left="0.17" right="0.75" top="0.17" bottom="0.17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5">
      <selection activeCell="E35" sqref="E35"/>
    </sheetView>
  </sheetViews>
  <sheetFormatPr defaultColWidth="9.140625" defaultRowHeight="12.75"/>
  <cols>
    <col min="1" max="1" width="15.8515625" style="0" customWidth="1"/>
    <col min="2" max="2" width="10.140625" style="0" bestFit="1" customWidth="1"/>
    <col min="3" max="3" width="15.00390625" style="0" bestFit="1" customWidth="1"/>
    <col min="4" max="4" width="12.421875" style="0" customWidth="1"/>
    <col min="10" max="10" width="16.00390625" style="0" customWidth="1"/>
  </cols>
  <sheetData>
    <row r="1" spans="1:5" ht="13.5" thickTop="1">
      <c r="A1" s="55" t="s">
        <v>0</v>
      </c>
      <c r="B1" s="56"/>
      <c r="C1" s="56"/>
      <c r="D1" s="56"/>
      <c r="E1" s="57"/>
    </row>
    <row r="2" spans="1:5" ht="12.75">
      <c r="A2" s="58"/>
      <c r="B2" s="49"/>
      <c r="C2" s="49"/>
      <c r="D2" s="49"/>
      <c r="E2" s="59"/>
    </row>
    <row r="3" spans="1:5" ht="25.5">
      <c r="A3" s="58"/>
      <c r="B3" s="49" t="s">
        <v>71</v>
      </c>
      <c r="C3" s="49" t="s">
        <v>143</v>
      </c>
      <c r="D3" s="49" t="s">
        <v>144</v>
      </c>
      <c r="E3" s="60" t="s">
        <v>146</v>
      </c>
    </row>
    <row r="4" spans="1:5" ht="12.75">
      <c r="A4" s="58"/>
      <c r="B4" s="50">
        <f>SUM('ADJ. FY08-Current Rates'!B3:B5,'ADJ. FY08-Current Rates'!B10)</f>
        <v>36711881.24517225</v>
      </c>
      <c r="C4" s="51">
        <f>SUM('ADJ. FY08-Current Rates'!D3:D11)</f>
        <v>19062095.702147756</v>
      </c>
      <c r="D4" s="51">
        <f>SUM('ADJ. FY08-New Rates'!D3:D11)</f>
        <v>19892398.46059264</v>
      </c>
      <c r="E4" s="59"/>
    </row>
    <row r="5" spans="1:5" ht="12.75">
      <c r="A5" s="58" t="s">
        <v>145</v>
      </c>
      <c r="B5" s="49"/>
      <c r="C5" s="52">
        <f>C4/$B$4</f>
        <v>0.519235055671643</v>
      </c>
      <c r="D5" s="52">
        <f>D4/$B$4</f>
        <v>0.5418517871025355</v>
      </c>
      <c r="E5" s="62">
        <f>(D5/C5)-1</f>
        <v>0.04355778983689218</v>
      </c>
    </row>
    <row r="6" spans="1:10" ht="12.75">
      <c r="A6" s="58"/>
      <c r="B6" s="49"/>
      <c r="C6" s="49"/>
      <c r="D6" s="49"/>
      <c r="E6" s="59"/>
      <c r="J6" s="4"/>
    </row>
    <row r="7" spans="1:10" ht="12.75">
      <c r="A7" s="58"/>
      <c r="B7" s="49"/>
      <c r="C7" s="49"/>
      <c r="D7" s="49"/>
      <c r="E7" s="59"/>
      <c r="J7" s="4"/>
    </row>
    <row r="8" spans="1:10" ht="12.75">
      <c r="A8" s="61" t="s">
        <v>14</v>
      </c>
      <c r="B8" s="49"/>
      <c r="C8" s="49"/>
      <c r="D8" s="49"/>
      <c r="E8" s="59"/>
      <c r="J8" s="4"/>
    </row>
    <row r="9" spans="1:10" ht="12.75">
      <c r="A9" s="58"/>
      <c r="B9" s="49"/>
      <c r="C9" s="49"/>
      <c r="D9" s="49"/>
      <c r="E9" s="59"/>
      <c r="J9" s="4"/>
    </row>
    <row r="10" spans="1:10" ht="25.5">
      <c r="A10" s="58"/>
      <c r="B10" s="49" t="s">
        <v>71</v>
      </c>
      <c r="C10" s="49" t="s">
        <v>143</v>
      </c>
      <c r="D10" s="49" t="s">
        <v>144</v>
      </c>
      <c r="E10" s="60" t="s">
        <v>146</v>
      </c>
      <c r="J10" s="4"/>
    </row>
    <row r="11" spans="1:10" ht="12.75">
      <c r="A11" s="58"/>
      <c r="B11" s="50">
        <f>SUM('ADJ. FY08-Current Rates'!B14:B17)</f>
        <v>1845859.6425157883</v>
      </c>
      <c r="C11" s="51">
        <f>SUM('ADJ. FY08-Current Rates'!D14:D17)</f>
        <v>511296.82107279147</v>
      </c>
      <c r="D11" s="51">
        <f>SUM('ADJ. FY08-New Rates'!D14:D17)</f>
        <v>530665.9408379493</v>
      </c>
      <c r="E11" s="59"/>
      <c r="J11" s="4"/>
    </row>
    <row r="12" spans="1:10" ht="12.75">
      <c r="A12" s="58" t="s">
        <v>145</v>
      </c>
      <c r="B12" s="49"/>
      <c r="C12" s="52">
        <f>C11/$B$11</f>
        <v>0.2769965870080602</v>
      </c>
      <c r="D12" s="52">
        <f>D11/$B$11</f>
        <v>0.28748986575961194</v>
      </c>
      <c r="E12" s="75">
        <f>(D12/C12)-1</f>
        <v>0.037882339507838036</v>
      </c>
      <c r="J12" s="4"/>
    </row>
    <row r="13" spans="1:10" ht="12.75">
      <c r="A13" s="58"/>
      <c r="B13" s="49"/>
      <c r="C13" s="49"/>
      <c r="D13" s="49"/>
      <c r="E13" s="59"/>
      <c r="J13" s="4"/>
    </row>
    <row r="14" spans="1:10" ht="12.75">
      <c r="A14" s="61" t="s">
        <v>172</v>
      </c>
      <c r="B14" s="50">
        <f>B4+B11</f>
        <v>38557740.88768803</v>
      </c>
      <c r="C14" s="51">
        <f>C4+C11</f>
        <v>19573392.523220547</v>
      </c>
      <c r="D14" s="51">
        <f>D4+D11</f>
        <v>20423064.40143059</v>
      </c>
      <c r="E14" s="59"/>
      <c r="J14" s="4"/>
    </row>
    <row r="15" spans="1:10" ht="12.75">
      <c r="A15" s="58" t="s">
        <v>145</v>
      </c>
      <c r="B15" s="50"/>
      <c r="C15" s="53">
        <f>C14/$B$14</f>
        <v>0.5076384682451812</v>
      </c>
      <c r="D15" s="53">
        <f>D14/$B$14</f>
        <v>0.5296748183696605</v>
      </c>
      <c r="E15" s="76">
        <f>D15/C15-1</f>
        <v>0.04340953553156668</v>
      </c>
      <c r="J15" s="4"/>
    </row>
    <row r="16" spans="1:10" ht="13.5" thickBot="1">
      <c r="A16" s="63"/>
      <c r="B16" s="64"/>
      <c r="C16" s="64"/>
      <c r="D16" s="64"/>
      <c r="E16" s="65"/>
      <c r="J16" s="4"/>
    </row>
    <row r="17" spans="1:10" ht="14.25" thickBot="1" thickTop="1">
      <c r="A17" s="54"/>
      <c r="B17" s="54"/>
      <c r="C17" s="54"/>
      <c r="D17" s="54"/>
      <c r="E17" s="54"/>
      <c r="J17" s="4"/>
    </row>
    <row r="18" spans="1:5" ht="13.5" thickTop="1">
      <c r="A18" s="55" t="s">
        <v>155</v>
      </c>
      <c r="B18" s="56"/>
      <c r="C18" s="56"/>
      <c r="D18" s="56"/>
      <c r="E18" s="57"/>
    </row>
    <row r="19" spans="1:10" ht="12.75">
      <c r="A19" s="58"/>
      <c r="B19" s="49"/>
      <c r="C19" s="49"/>
      <c r="D19" s="49"/>
      <c r="E19" s="59"/>
      <c r="J19" s="4"/>
    </row>
    <row r="20" spans="1:5" ht="25.5">
      <c r="A20" s="58"/>
      <c r="B20" s="49" t="s">
        <v>71</v>
      </c>
      <c r="C20" s="49" t="s">
        <v>143</v>
      </c>
      <c r="D20" s="49" t="s">
        <v>144</v>
      </c>
      <c r="E20" s="60" t="s">
        <v>146</v>
      </c>
    </row>
    <row r="21" spans="1:5" ht="12.75">
      <c r="A21" s="58"/>
      <c r="B21" s="50">
        <f>'ADJ. FY08-Current Rates'!B26+'ADJ. FY08-Current Rates'!B34+'ADJ. FY08-Current Rates'!B42+'ADJ. FY08-Current Rates'!B50</f>
        <v>49162964.54018888</v>
      </c>
      <c r="C21" s="51">
        <f>'ADJ. FY08-Current Rates'!D26+'ADJ. FY08-Current Rates'!D34+'ADJ. FY08-Current Rates'!D42+'ADJ. FY08-Current Rates'!D50</f>
        <v>17257116.551524017</v>
      </c>
      <c r="D21" s="51">
        <f>'ADJ. FY08-New Rates'!D26+'ADJ. FY08-New Rates'!D34+'ADJ. FY08-New Rates'!D42+'ADJ. FY08-New Rates'!D50</f>
        <v>17799688.01355339</v>
      </c>
      <c r="E21" s="59"/>
    </row>
    <row r="22" spans="1:10" ht="12.75">
      <c r="A22" s="58" t="s">
        <v>145</v>
      </c>
      <c r="B22" s="49"/>
      <c r="C22" s="52">
        <f>C21/$B$21</f>
        <v>0.3510186318690561</v>
      </c>
      <c r="D22" s="52">
        <f>D21/$B$21</f>
        <v>0.36205481463598094</v>
      </c>
      <c r="E22" s="75">
        <f>(D22/C22)-1</f>
        <v>0.031440447215468126</v>
      </c>
      <c r="J22" s="4"/>
    </row>
    <row r="23" spans="1:5" ht="12.75">
      <c r="A23" s="58"/>
      <c r="B23" s="49"/>
      <c r="C23" s="49"/>
      <c r="D23" s="49"/>
      <c r="E23" s="59"/>
    </row>
    <row r="24" spans="1:5" ht="12.75">
      <c r="A24" s="58"/>
      <c r="B24" s="49"/>
      <c r="C24" s="49"/>
      <c r="D24" s="49"/>
      <c r="E24" s="59"/>
    </row>
    <row r="25" spans="1:5" ht="12.75">
      <c r="A25" s="61" t="s">
        <v>66</v>
      </c>
      <c r="B25" s="49"/>
      <c r="C25" s="49"/>
      <c r="D25" s="49"/>
      <c r="E25" s="59"/>
    </row>
    <row r="26" spans="1:5" ht="12.75">
      <c r="A26" s="58"/>
      <c r="B26" s="49"/>
      <c r="C26" s="49"/>
      <c r="D26" s="49"/>
      <c r="E26" s="59"/>
    </row>
    <row r="27" spans="1:5" ht="25.5">
      <c r="A27" s="58"/>
      <c r="B27" s="49" t="s">
        <v>71</v>
      </c>
      <c r="C27" s="49" t="s">
        <v>143</v>
      </c>
      <c r="D27" s="49" t="s">
        <v>144</v>
      </c>
      <c r="E27" s="60" t="s">
        <v>146</v>
      </c>
    </row>
    <row r="28" spans="1:5" ht="12.75">
      <c r="A28" s="58"/>
      <c r="B28" s="50">
        <f>'ADJ. FY08-Current Rates'!B53+SUM('ADJ. FY08-Current Rates'!B55:B58)</f>
        <v>3555997.304</v>
      </c>
      <c r="C28" s="51">
        <f>'ADJ. FY08-Current Rates'!D53+SUM('ADJ. FY08-Current Rates'!D55:D58)</f>
        <v>746011.8107779999</v>
      </c>
      <c r="D28" s="51">
        <f>'ADJ. FY08-New Rates'!D53+SUM('ADJ. FY08-New Rates'!D55:D58)-'ADJ. FY08-New Rates'!D59</f>
        <v>767546.4655286</v>
      </c>
      <c r="E28" s="59"/>
    </row>
    <row r="29" spans="1:5" ht="12.75">
      <c r="A29" s="58" t="s">
        <v>145</v>
      </c>
      <c r="B29" s="49"/>
      <c r="C29" s="52">
        <f>C28/$B$28</f>
        <v>0.20978975713475398</v>
      </c>
      <c r="D29" s="52">
        <f>D28/$B$28</f>
        <v>0.21584562639156601</v>
      </c>
      <c r="E29" s="75">
        <f>(D29/C29)-1</f>
        <v>0.028866372407887253</v>
      </c>
    </row>
    <row r="30" spans="1:5" ht="12.75">
      <c r="A30" s="58"/>
      <c r="B30" s="49"/>
      <c r="C30" s="49"/>
      <c r="D30" s="49"/>
      <c r="E30" s="59"/>
    </row>
    <row r="31" spans="1:5" ht="12.75">
      <c r="A31" s="61" t="s">
        <v>173</v>
      </c>
      <c r="B31" s="50">
        <f>B21+B28</f>
        <v>52718961.84418888</v>
      </c>
      <c r="C31" s="51">
        <f>C21+C28</f>
        <v>18003128.362302016</v>
      </c>
      <c r="D31" s="51">
        <f>D21+D28</f>
        <v>18567234.47908199</v>
      </c>
      <c r="E31" s="59"/>
    </row>
    <row r="32" spans="1:5" ht="13.5" thickBot="1">
      <c r="A32" s="63" t="s">
        <v>145</v>
      </c>
      <c r="B32" s="64"/>
      <c r="C32" s="68">
        <f>C31/$B$31</f>
        <v>0.34149246746380063</v>
      </c>
      <c r="D32" s="68">
        <f>D31/$B$31</f>
        <v>0.35219271832320087</v>
      </c>
      <c r="E32" s="77">
        <f>D32/C32-1</f>
        <v>0.031333782964142465</v>
      </c>
    </row>
    <row r="33" ht="14.25" thickBot="1" thickTop="1"/>
    <row r="34" spans="1:5" ht="13.5" thickTop="1">
      <c r="A34" s="55" t="s">
        <v>174</v>
      </c>
      <c r="B34" s="66">
        <f>B31+B14</f>
        <v>91276702.73187691</v>
      </c>
      <c r="C34" s="67">
        <f>C31+C14</f>
        <v>37576520.88552256</v>
      </c>
      <c r="D34" s="67">
        <f>D14+D31</f>
        <v>38990298.88051258</v>
      </c>
      <c r="E34" s="57"/>
    </row>
    <row r="35" spans="1:5" ht="13.5" thickBot="1">
      <c r="A35" s="63" t="s">
        <v>145</v>
      </c>
      <c r="B35" s="64"/>
      <c r="C35" s="68">
        <f>C34/$B$34</f>
        <v>0.41167701900782583</v>
      </c>
      <c r="D35" s="68">
        <f>D34/$B$34</f>
        <v>0.4271659439215901</v>
      </c>
      <c r="E35" s="78">
        <f>D35/C35-1</f>
        <v>0.03762397267424289</v>
      </c>
    </row>
    <row r="36" ht="13.5" thickTop="1"/>
  </sheetData>
  <sheetProtection/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26.421875" style="0" customWidth="1"/>
    <col min="2" max="2" width="10.140625" style="0" bestFit="1" customWidth="1"/>
    <col min="4" max="4" width="14.00390625" style="0" customWidth="1"/>
    <col min="6" max="6" width="15.57421875" style="0" customWidth="1"/>
  </cols>
  <sheetData>
    <row r="1" spans="1:7" ht="30.75" customHeight="1">
      <c r="A1" s="36" t="s">
        <v>132</v>
      </c>
      <c r="B1" s="26" t="s">
        <v>123</v>
      </c>
      <c r="C1" s="26" t="s">
        <v>70</v>
      </c>
      <c r="D1" s="26" t="s">
        <v>124</v>
      </c>
      <c r="E1" s="26" t="s">
        <v>122</v>
      </c>
      <c r="F1" s="26" t="s">
        <v>126</v>
      </c>
      <c r="G1" s="74" t="s">
        <v>146</v>
      </c>
    </row>
    <row r="2" ht="12.75">
      <c r="A2" s="8" t="s">
        <v>68</v>
      </c>
    </row>
    <row r="3" spans="1:11" ht="12.75">
      <c r="A3" t="s">
        <v>67</v>
      </c>
      <c r="B3" s="4">
        <f>'ADJ. FY08-Current Rates'!B3</f>
        <v>33224629.886124294</v>
      </c>
      <c r="C3" s="25">
        <f>'ADJ. FY08-Current Rates'!C3</f>
        <v>0.42</v>
      </c>
      <c r="D3" s="27">
        <f>B3*C3</f>
        <v>13954344.552172203</v>
      </c>
      <c r="E3" s="25">
        <f>'ADJ. FY08-New Rates'!C3</f>
        <v>0.44</v>
      </c>
      <c r="F3" s="27">
        <f>E3*B3</f>
        <v>14618837.14989469</v>
      </c>
      <c r="I3" s="25"/>
      <c r="J3" s="25"/>
      <c r="K3" s="19"/>
    </row>
    <row r="4" spans="1:11" ht="12.75">
      <c r="A4" t="s">
        <v>22</v>
      </c>
      <c r="B4" s="4">
        <f>'ADJ. FY08-Current Rates'!B6</f>
        <v>1766649.0210307208</v>
      </c>
      <c r="C4" s="25">
        <f>'ADJ. FY08-Current Rates'!C6</f>
        <v>0.17</v>
      </c>
      <c r="D4" s="27">
        <f>B4*C4</f>
        <v>300330.3335752226</v>
      </c>
      <c r="E4" s="25">
        <f>'ADJ. FY08-New Rates'!C6</f>
        <v>0.17</v>
      </c>
      <c r="F4" s="27">
        <f>E4*B4</f>
        <v>300330.3335752226</v>
      </c>
      <c r="I4" s="25"/>
      <c r="J4" s="25"/>
      <c r="K4" s="29"/>
    </row>
    <row r="5" spans="1:10" ht="13.5" customHeight="1">
      <c r="A5" t="s">
        <v>72</v>
      </c>
      <c r="B5" s="4">
        <f>'ADJ. FY08-Current Rates'!B9</f>
        <v>294352.753</v>
      </c>
      <c r="C5" s="25">
        <f>'ADJ. FY08-Current Rates'!C9</f>
        <v>0.2</v>
      </c>
      <c r="D5" s="27">
        <f>B5*C5</f>
        <v>58870.55060000001</v>
      </c>
      <c r="E5" s="25">
        <f>'ADJ. FY08-New Rates'!C9</f>
        <v>0.2</v>
      </c>
      <c r="F5" s="27">
        <f>E5*B5</f>
        <v>58870.55060000001</v>
      </c>
      <c r="I5" s="25"/>
      <c r="J5" s="25"/>
    </row>
    <row r="6" spans="1:10" ht="13.5" customHeight="1">
      <c r="A6" t="s">
        <v>192</v>
      </c>
      <c r="B6" s="4">
        <f>B3</f>
        <v>33224629.886124294</v>
      </c>
      <c r="C6" s="25"/>
      <c r="D6" s="27">
        <f>SUM(D3:D5)</f>
        <v>14313545.436347425</v>
      </c>
      <c r="E6" s="25"/>
      <c r="F6" s="27">
        <f>SUM(F3:F5)</f>
        <v>14978038.034069913</v>
      </c>
      <c r="I6" s="25"/>
      <c r="J6" s="25"/>
    </row>
    <row r="7" spans="1:10" ht="13.5" customHeight="1">
      <c r="A7" t="s">
        <v>145</v>
      </c>
      <c r="B7" s="4"/>
      <c r="C7" s="25"/>
      <c r="D7" s="29">
        <f>D6/$B$6</f>
        <v>0.4308112832379582</v>
      </c>
      <c r="E7" s="25"/>
      <c r="F7" s="29">
        <f>F6/$B$6</f>
        <v>0.45081128323795827</v>
      </c>
      <c r="G7" s="23">
        <f>(F7/D7)-1</f>
        <v>0.046424039430167596</v>
      </c>
      <c r="I7" s="25"/>
      <c r="J7" s="25"/>
    </row>
    <row r="9" ht="12.75">
      <c r="A9" s="8" t="s">
        <v>73</v>
      </c>
    </row>
    <row r="10" spans="1:8" ht="12.75">
      <c r="A10" t="s">
        <v>74</v>
      </c>
      <c r="B10" s="4">
        <f>'ADJ. FY08-Current Rates'!B10</f>
        <v>285080.24100000004</v>
      </c>
      <c r="C10" s="19">
        <f>'ADJ. FY08-Current Rates'!C10</f>
        <v>0.397</v>
      </c>
      <c r="D10" s="27">
        <f>B10*C10</f>
        <v>113176.85567700001</v>
      </c>
      <c r="E10" s="19">
        <f>'ADJ. FY08-New Rates'!C10</f>
        <v>0.417</v>
      </c>
      <c r="F10" s="27">
        <f>E10*B10</f>
        <v>118878.46049700001</v>
      </c>
      <c r="H10" s="48"/>
    </row>
    <row r="11" spans="1:6" ht="12.75">
      <c r="A11" t="s">
        <v>22</v>
      </c>
      <c r="B11" s="4">
        <f>'FY08 BD'!D16</f>
        <v>5378.962855325868</v>
      </c>
      <c r="C11" s="25">
        <f>C4</f>
        <v>0.17</v>
      </c>
      <c r="D11" s="27">
        <f>B11*C11</f>
        <v>914.4236854053977</v>
      </c>
      <c r="E11" s="25">
        <f>E4</f>
        <v>0.17</v>
      </c>
      <c r="F11" s="27">
        <f>E11*B11</f>
        <v>914.4236854053977</v>
      </c>
    </row>
    <row r="12" spans="1:6" ht="12.75">
      <c r="A12" t="s">
        <v>193</v>
      </c>
      <c r="B12" s="4">
        <f>B10</f>
        <v>285080.24100000004</v>
      </c>
      <c r="D12" s="21">
        <f>SUM(D10:D11)</f>
        <v>114091.27936240542</v>
      </c>
      <c r="F12" s="21">
        <f>SUM(F10:F11)</f>
        <v>119792.88418240541</v>
      </c>
    </row>
    <row r="13" spans="1:7" ht="12.75">
      <c r="A13" t="s">
        <v>194</v>
      </c>
      <c r="B13" s="4"/>
      <c r="D13" s="29">
        <f>(D6+D12)/($B$6+$B$12)</f>
        <v>0.4305509257160491</v>
      </c>
      <c r="F13" s="29">
        <f>(F6+F12)/($B$6+$B$12)</f>
        <v>0.4505509257160491</v>
      </c>
      <c r="G13" s="23">
        <f>(F13/D13)-1</f>
        <v>0.04645211241094893</v>
      </c>
    </row>
    <row r="15" ht="12.75">
      <c r="A15" s="8" t="s">
        <v>14</v>
      </c>
    </row>
    <row r="16" spans="1:6" ht="12.75">
      <c r="A16" t="s">
        <v>46</v>
      </c>
      <c r="B16" s="4">
        <f>'ADJ. FY08-Current Rates'!B14</f>
        <v>50870.06726049147</v>
      </c>
      <c r="C16" s="25">
        <f>'ADJ. FY08-Current Rates'!C14</f>
        <v>0.27</v>
      </c>
      <c r="D16" s="27">
        <f>B16*C16</f>
        <v>13734.918160332698</v>
      </c>
      <c r="E16" s="25">
        <f>'ADJ. FY08-New Rates'!C14</f>
        <v>0.28</v>
      </c>
      <c r="F16" s="27">
        <f>E16*B16</f>
        <v>14243.618832937615</v>
      </c>
    </row>
    <row r="17" spans="1:6" ht="12.75">
      <c r="A17" t="s">
        <v>47</v>
      </c>
      <c r="B17" s="4">
        <f>'ADJ. FY08-Current Rates'!B15</f>
        <v>1671627.1322782785</v>
      </c>
      <c r="C17" s="25">
        <f>'ADJ. FY08-Current Rates'!C15</f>
        <v>0.27</v>
      </c>
      <c r="D17" s="27">
        <f>B17*C17</f>
        <v>451339.3257151352</v>
      </c>
      <c r="E17" s="25">
        <f>'ADJ. FY08-New Rates'!C15</f>
        <v>0.28</v>
      </c>
      <c r="F17" s="27">
        <f>E17*B17</f>
        <v>468055.597037918</v>
      </c>
    </row>
    <row r="18" spans="1:6" ht="12.75">
      <c r="A18" t="s">
        <v>48</v>
      </c>
      <c r="B18" s="4">
        <f>'ADJ. FY08-Current Rates'!B16</f>
        <v>91052.334</v>
      </c>
      <c r="C18" s="25">
        <f>C3</f>
        <v>0.42</v>
      </c>
      <c r="D18" s="27">
        <f>B18*C18</f>
        <v>38241.980279999996</v>
      </c>
      <c r="E18" s="25">
        <f>E3</f>
        <v>0.44</v>
      </c>
      <c r="F18" s="27">
        <f>E18*B18</f>
        <v>40063.02696</v>
      </c>
    </row>
    <row r="19" spans="1:8" ht="12.75">
      <c r="A19" t="s">
        <v>7</v>
      </c>
      <c r="B19" s="4">
        <f>'ADJ. FY08-Current Rates'!B17</f>
        <v>32310.108977018368</v>
      </c>
      <c r="C19" s="29">
        <f>'ADJ. FY08-Current Rates'!C17</f>
        <v>0.247</v>
      </c>
      <c r="D19" s="27">
        <f>B19*C19</f>
        <v>7980.596917323537</v>
      </c>
      <c r="E19">
        <f>'ADJ. FY08-New Rates'!C17</f>
        <v>0.257</v>
      </c>
      <c r="F19" s="27">
        <f>E19*B19</f>
        <v>8303.69800709372</v>
      </c>
      <c r="H19" s="48"/>
    </row>
    <row r="20" spans="1:6" ht="12.75">
      <c r="A20" t="s">
        <v>195</v>
      </c>
      <c r="B20" s="4">
        <f>SUM(B16:B19)</f>
        <v>1845859.6425157883</v>
      </c>
      <c r="D20" s="21">
        <f>SUM(D16:D19)</f>
        <v>511296.82107279147</v>
      </c>
      <c r="F20" s="21">
        <f>SUM(F16:F19)</f>
        <v>530665.9408379493</v>
      </c>
    </row>
    <row r="21" spans="1:7" ht="12.75">
      <c r="A21" t="s">
        <v>196</v>
      </c>
      <c r="D21" s="29">
        <f>D20/$B$20</f>
        <v>0.2769965870080602</v>
      </c>
      <c r="F21" s="29">
        <f>F20/$B$20</f>
        <v>0.28748986575961194</v>
      </c>
      <c r="G21" s="23">
        <f>(F21/D21)-1</f>
        <v>0.037882339507838036</v>
      </c>
    </row>
    <row r="25" spans="1:7" ht="12.75">
      <c r="A25" t="s">
        <v>75</v>
      </c>
      <c r="B25" s="4">
        <f>B6+B12+B20</f>
        <v>35355569.76964008</v>
      </c>
      <c r="D25" s="21">
        <f>D6+D12+D20</f>
        <v>14938933.53678262</v>
      </c>
      <c r="F25" s="21">
        <f>F6+F12+F20</f>
        <v>15628496.859090267</v>
      </c>
      <c r="G25" s="18"/>
    </row>
    <row r="26" spans="1:7" ht="12.75">
      <c r="A26" t="s">
        <v>197</v>
      </c>
      <c r="D26" s="28">
        <f>D25/B25</f>
        <v>0.4225340910673351</v>
      </c>
      <c r="E26" s="28"/>
      <c r="F26" s="28">
        <f>F25/B25</f>
        <v>0.44203775984712024</v>
      </c>
      <c r="G26" s="23">
        <f>(F26/D26)-1</f>
        <v>0.04615880515230919</v>
      </c>
    </row>
  </sheetData>
  <sheetProtection/>
  <printOptions/>
  <pageMargins left="0.75" right="0.5" top="1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taufiqah</dc:creator>
  <cp:keywords/>
  <dc:description/>
  <cp:lastModifiedBy>Authorized User</cp:lastModifiedBy>
  <cp:lastPrinted>2009-02-09T15:37:28Z</cp:lastPrinted>
  <dcterms:created xsi:type="dcterms:W3CDTF">2008-01-28T18:44:44Z</dcterms:created>
  <dcterms:modified xsi:type="dcterms:W3CDTF">2009-02-17T15:58:06Z</dcterms:modified>
  <cp:category/>
  <cp:version/>
  <cp:contentType/>
  <cp:contentStatus/>
</cp:coreProperties>
</file>