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1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<sst xmlns="http://schemas.openxmlformats.org/spreadsheetml/2006/main" count="1202" uniqueCount="227">
  <si>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</si>
  <si>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</si>
  <si>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</si>
  <si>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</si>
  <si>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</si>
  <si>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</si>
  <si>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</si>
  <si>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</si>
  <si>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</si>
  <si>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</si>
  <si>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</si>
  <si>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</si>
  <si>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</si>
  <si>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</si>
  <si>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</si>
  <si>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</si>
  <si>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</si>
  <si>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</si>
  <si>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</si>
  <si>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</si>
  <si>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Total</t>
  </si>
  <si>
    <t>Feedstream Description</t>
  </si>
  <si>
    <t>Ash</t>
  </si>
  <si>
    <t>Chlorine</t>
  </si>
  <si>
    <t>HCl</t>
  </si>
  <si>
    <t>Cl2</t>
  </si>
  <si>
    <t>DRE</t>
  </si>
  <si>
    <t>lb/hr</t>
  </si>
  <si>
    <t>MM Btu/hr</t>
  </si>
  <si>
    <t>MMBtu/hr</t>
  </si>
  <si>
    <t>Spike</t>
  </si>
  <si>
    <t>ug/dscm</t>
  </si>
  <si>
    <t>SVM</t>
  </si>
  <si>
    <t>LVM</t>
  </si>
  <si>
    <t>Stack Gas Flowrate</t>
  </si>
  <si>
    <t>Oxygen</t>
  </si>
  <si>
    <t>mg/dscm</t>
  </si>
  <si>
    <t>Stack Gas Emissions</t>
  </si>
  <si>
    <t>HW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</si>
  <si>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</si>
  <si>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</si>
  <si>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</si>
  <si>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</si>
  <si>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</si>
  <si>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</si>
  <si>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</si>
  <si>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</si>
  <si>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</si>
  <si>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</si>
  <si>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</si>
  <si>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</si>
  <si>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</si>
  <si>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</si>
  <si>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Comments</t>
  </si>
  <si>
    <t>Trial Burn</t>
  </si>
  <si>
    <t xml:space="preserve">   O2</t>
  </si>
  <si>
    <t xml:space="preserve">   Moisture</t>
  </si>
  <si>
    <t>Sampling Train</t>
  </si>
  <si>
    <t>Trial burn</t>
  </si>
  <si>
    <t>*</t>
  </si>
  <si>
    <t>Thermal Feedrate</t>
  </si>
  <si>
    <t>Feed Rate</t>
  </si>
  <si>
    <t>HWC Burn Status (Date if Terminated)</t>
  </si>
  <si>
    <t>nd</t>
  </si>
  <si>
    <t>n</t>
  </si>
  <si>
    <t>Total Chlorine</t>
  </si>
  <si>
    <t>Phase I ID No.</t>
  </si>
  <si>
    <t>CO (RA)</t>
  </si>
  <si>
    <t>in H2O</t>
  </si>
  <si>
    <t>gpm</t>
  </si>
  <si>
    <t>MO</t>
  </si>
  <si>
    <t>Liq</t>
  </si>
  <si>
    <t>POHC DRE</t>
  </si>
  <si>
    <t>POHC Feedrate</t>
  </si>
  <si>
    <t>Emission Rate</t>
  </si>
  <si>
    <t>Liq Organic</t>
  </si>
  <si>
    <t>Aqueous</t>
  </si>
  <si>
    <t>Heating Value</t>
  </si>
  <si>
    <t>Btu/lb</t>
  </si>
  <si>
    <t>Viscosity</t>
  </si>
  <si>
    <r>
      <t>o</t>
    </r>
    <r>
      <rPr>
        <sz val="10"/>
        <rFont val="Arial"/>
        <family val="2"/>
      </rPr>
      <t>C</t>
    </r>
  </si>
  <si>
    <t>Venturi DP</t>
  </si>
  <si>
    <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scfm</t>
    </r>
  </si>
  <si>
    <t>pH</t>
  </si>
  <si>
    <t>Miles, Inc.</t>
  </si>
  <si>
    <t>Kansas City</t>
  </si>
  <si>
    <t>Tier I for all metals except As, Pb, Cr, Cd (tier III)</t>
  </si>
  <si>
    <t>Metal Trial Burn Report, June 1994</t>
  </si>
  <si>
    <t>ENSR</t>
  </si>
  <si>
    <t>March 28-31, 1994</t>
  </si>
  <si>
    <t>Trial burn, worst case, max temp, max feedrate</t>
  </si>
  <si>
    <t>Aqueous and liq organic genearated from onsite processes</t>
  </si>
  <si>
    <t>Trial Burn Report, February 1985</t>
  </si>
  <si>
    <t>Midwest Research Institute (MRI)</t>
  </si>
  <si>
    <t>Mobay Chemical Corporation</t>
  </si>
  <si>
    <t>PM, CO, HCl/Cl2, DRE</t>
  </si>
  <si>
    <t>November 13-14, 1984</t>
  </si>
  <si>
    <t>463C1</t>
  </si>
  <si>
    <t>g/min</t>
  </si>
  <si>
    <t>1,2-Dichloroethane</t>
  </si>
  <si>
    <t>Tetrachloroethylene</t>
  </si>
  <si>
    <t>PM, HCl/Cl2, DRE</t>
  </si>
  <si>
    <t>Fuel Oil</t>
  </si>
  <si>
    <t>SSU @ 100oF</t>
  </si>
  <si>
    <t>Density</t>
  </si>
  <si>
    <t>g/ml</t>
  </si>
  <si>
    <t>Acid Scrubber</t>
  </si>
  <si>
    <t>Liq/Gas Ratio</t>
  </si>
  <si>
    <t>Scrubber pH</t>
  </si>
  <si>
    <t>Thermocouple</t>
  </si>
  <si>
    <t>Pyrometer</t>
  </si>
  <si>
    <t>gal</t>
  </si>
  <si>
    <t>MOD056389828</t>
  </si>
  <si>
    <t>Trial Burn Report, May 1986</t>
  </si>
  <si>
    <t>Trial burn, low temp, max feedrate</t>
  </si>
  <si>
    <t>kg/hr</t>
  </si>
  <si>
    <t>No feedrate</t>
  </si>
  <si>
    <t>A pressurized, down-fired unit, has a single vertical combustion chamber. Designed to burn about 21 gp, of organic and aqueous liq wastes and 7800 scfm natural gas.</t>
  </si>
  <si>
    <t>SC/SP/Q/PB</t>
  </si>
  <si>
    <t>Venturi scrubber, SO2 scrubber, separator, quench, packed bed</t>
  </si>
  <si>
    <t>EPA OSW Sponsored Evaluation Testing, November 1988</t>
  </si>
  <si>
    <t>EPA OSW Sponsored Evaluation Testing</t>
  </si>
  <si>
    <t>PM, CO, metals</t>
  </si>
  <si>
    <t>EPA OSW Sponsored testing</t>
  </si>
  <si>
    <t>Arsenic</t>
  </si>
  <si>
    <t>Cadmium</t>
  </si>
  <si>
    <t>Chromium</t>
  </si>
  <si>
    <t>Lead</t>
  </si>
  <si>
    <t>mg/min</t>
  </si>
  <si>
    <t>EPA OSW Evaluation testing</t>
  </si>
  <si>
    <t>Tempering Water</t>
  </si>
  <si>
    <t>Natural gas</t>
  </si>
  <si>
    <t>acfm</t>
  </si>
  <si>
    <t>kg/min</t>
  </si>
  <si>
    <t>mg/kg</t>
  </si>
  <si>
    <t>Comb Chamber Temp</t>
  </si>
  <si>
    <t>Quench Outlet Temp</t>
  </si>
  <si>
    <t>Quench Water Flowrate</t>
  </si>
  <si>
    <t>Scrubber Water Flowrate</t>
  </si>
  <si>
    <t>Venturi Inlet Water Flow</t>
  </si>
  <si>
    <t>Venturi Pressure Drop</t>
  </si>
  <si>
    <t>Scrubber Recycle Flowrate</t>
  </si>
  <si>
    <t>Scrbubber Alkali Flowrate</t>
  </si>
  <si>
    <t>Scrubber Effluent Flowrate</t>
  </si>
  <si>
    <t>Scrubber Effluent</t>
  </si>
  <si>
    <t>Cr+6</t>
  </si>
  <si>
    <t>g/cc @ 75oF</t>
  </si>
  <si>
    <t>Btu/scf</t>
  </si>
  <si>
    <r>
      <t>ENSR and B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System (spiking report)</t>
    </r>
  </si>
  <si>
    <t>Liq to Gas Ratio</t>
  </si>
  <si>
    <t>SO2 Scrubber Recycle</t>
  </si>
  <si>
    <t>SO2 Scrubber pH</t>
  </si>
  <si>
    <t>gpm:Mscfm</t>
  </si>
  <si>
    <t>in. H2O</t>
  </si>
  <si>
    <t>PM, metals</t>
  </si>
  <si>
    <t>Metals</t>
  </si>
  <si>
    <t>463C10</t>
  </si>
  <si>
    <t>463C11</t>
  </si>
  <si>
    <t>463C12</t>
  </si>
  <si>
    <t>463C13</t>
  </si>
  <si>
    <t>Report Name/Date</t>
  </si>
  <si>
    <t>Report Prepare</t>
  </si>
  <si>
    <t>Testing Firm</t>
  </si>
  <si>
    <t>Testing Dates</t>
  </si>
  <si>
    <t>Condition Descr</t>
  </si>
  <si>
    <t>Content</t>
  </si>
  <si>
    <t>Miles thermal oxidizer</t>
  </si>
  <si>
    <t>Trial Burn Sampling and Analysis Results for the Mobay Incinerator, Kansas City, MO, Final Report, MRI, November 1984</t>
  </si>
  <si>
    <t>Midwest Research Institute</t>
  </si>
  <si>
    <t>Cond Descr</t>
  </si>
  <si>
    <t>?</t>
  </si>
  <si>
    <t>R1</t>
  </si>
  <si>
    <t>R2</t>
  </si>
  <si>
    <t>R3</t>
  </si>
  <si>
    <t>Cond Avg</t>
  </si>
  <si>
    <t/>
  </si>
  <si>
    <t>Halogens</t>
  </si>
  <si>
    <t>1,2-dichloroethane</t>
  </si>
  <si>
    <t>Tetrachloroethene</t>
  </si>
  <si>
    <t>Organic</t>
  </si>
  <si>
    <t>Feedrate</t>
  </si>
  <si>
    <t>Heating value</t>
  </si>
  <si>
    <t>lb/gal</t>
  </si>
  <si>
    <t>wt %</t>
  </si>
  <si>
    <t>ppmw</t>
  </si>
  <si>
    <t>Gas flowrate</t>
  </si>
  <si>
    <t>Feedrate MTECs</t>
  </si>
  <si>
    <t>Condition Description</t>
  </si>
  <si>
    <t>Combustor Type</t>
  </si>
  <si>
    <t>Combustor Class</t>
  </si>
  <si>
    <t>Liquid injection</t>
  </si>
  <si>
    <t>Stack Gas Emissions 2</t>
  </si>
  <si>
    <t>Feedstream 2</t>
  </si>
  <si>
    <t>E1</t>
  </si>
  <si>
    <t>E2</t>
  </si>
  <si>
    <t>Chromium (Hex)</t>
  </si>
  <si>
    <t>Cond Dates</t>
  </si>
  <si>
    <t>Number of Sister Facilities</t>
  </si>
  <si>
    <t>Onsite incinerator</t>
  </si>
  <si>
    <t>APCS Detailed Acronym</t>
  </si>
  <si>
    <t>APCS General Class</t>
  </si>
  <si>
    <t>HEWS, LEWS, WQ</t>
  </si>
  <si>
    <t>Fuel oil</t>
  </si>
  <si>
    <t>Natural gas, oil</t>
  </si>
  <si>
    <t>source</t>
  </si>
  <si>
    <t>cond</t>
  </si>
  <si>
    <t>emiss 1</t>
  </si>
  <si>
    <t>emiss 2</t>
  </si>
  <si>
    <t>feed 1</t>
  </si>
  <si>
    <t>feed 2</t>
  </si>
  <si>
    <t>process 1</t>
  </si>
  <si>
    <t>Feedstream Number</t>
  </si>
  <si>
    <t>Feed Class</t>
  </si>
  <si>
    <t>F1</t>
  </si>
  <si>
    <t>Liq HW</t>
  </si>
  <si>
    <t>F2</t>
  </si>
  <si>
    <t>F3</t>
  </si>
  <si>
    <t>Oil</t>
  </si>
  <si>
    <t>F4</t>
  </si>
  <si>
    <t>Liq non-HW</t>
  </si>
  <si>
    <t>NG</t>
  </si>
  <si>
    <t>F5</t>
  </si>
  <si>
    <t>F6</t>
  </si>
  <si>
    <t>Feed Class 2</t>
  </si>
  <si>
    <t>MF</t>
  </si>
  <si>
    <t>RM</t>
  </si>
  <si>
    <t>Estimated Firing Rate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</si>
</sst>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mm/dd/yy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177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7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8" sqref="A8"/>
    </sheetView>
  </sheetViews>
  <sheetFormatPr defaultColWidth="9.140625" defaultRowHeight="12.75"/>
  <sheetData>
    <row r="1" ht="12.75">
      <c r="A1" t="s">
        <v>204</v>
      </c>
    </row>
    <row r="2" ht="12.75">
      <c r="A2" t="s">
        <v>205</v>
      </c>
    </row>
    <row r="3" ht="12.75">
      <c r="A3" t="s">
        <v>206</v>
      </c>
    </row>
    <row r="4" ht="12.75">
      <c r="A4" t="s">
        <v>207</v>
      </c>
    </row>
    <row r="5" ht="12.75">
      <c r="A5" t="s">
        <v>208</v>
      </c>
    </row>
    <row r="6" ht="12.75">
      <c r="A6" t="s">
        <v>209</v>
      </c>
    </row>
    <row r="7" ht="12.75">
      <c r="A7" t="s">
        <v>210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8"/>
  <sheetViews>
    <sheetView tabSelected="1" workbookViewId="0" topLeftCell="B1">
      <selection activeCell="C1" sqref="C1"/>
    </sheetView>
  </sheetViews>
  <sheetFormatPr defaultColWidth="9.140625" defaultRowHeight="12.75"/>
  <cols>
    <col min="1" max="1" width="2.421875" style="1" hidden="1" customWidth="1"/>
    <col min="2" max="2" width="27.00390625" style="1" customWidth="1"/>
    <col min="3" max="3" width="58.421875" style="1" customWidth="1"/>
    <col min="4" max="16384" width="8.8515625" style="1" customWidth="1"/>
  </cols>
  <sheetData>
    <row r="1" spans="2:12" ht="12.75">
      <c r="B1" s="3" t="s">
        <v>48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66</v>
      </c>
      <c r="C3" s="10">
        <v>463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s="9" t="s">
        <v>112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84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85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70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166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197</v>
      </c>
      <c r="C11" s="10">
        <v>0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189</v>
      </c>
      <c r="C12" s="9" t="s">
        <v>198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188</v>
      </c>
      <c r="C13" s="9" t="s">
        <v>190</v>
      </c>
      <c r="D13" s="9"/>
      <c r="E13" s="9"/>
      <c r="F13" s="9"/>
      <c r="G13" s="9"/>
      <c r="H13" s="9"/>
      <c r="I13" s="9"/>
      <c r="J13" s="9"/>
      <c r="K13" s="9"/>
      <c r="L13" s="9"/>
    </row>
    <row r="14" spans="2:12" s="33" customFormat="1" ht="38.25">
      <c r="B14" s="32" t="s">
        <v>39</v>
      </c>
      <c r="C14" s="32" t="s">
        <v>117</v>
      </c>
      <c r="D14" s="32"/>
      <c r="E14" s="32"/>
      <c r="F14" s="32"/>
      <c r="G14" s="32"/>
      <c r="H14" s="32"/>
      <c r="I14" s="32"/>
      <c r="J14" s="32"/>
      <c r="K14" s="32"/>
      <c r="L14" s="32"/>
    </row>
    <row r="15" spans="2:12" s="33" customFormat="1" ht="12.7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2:12" s="33" customFormat="1" ht="12.75">
      <c r="B16" s="32" t="s">
        <v>44</v>
      </c>
      <c r="C16" s="34">
        <v>41</v>
      </c>
      <c r="D16" s="32"/>
      <c r="E16" s="32"/>
      <c r="F16" s="32"/>
      <c r="G16" s="32"/>
      <c r="H16" s="32"/>
      <c r="I16" s="32"/>
      <c r="J16" s="32"/>
      <c r="K16" s="32"/>
      <c r="L16" s="32"/>
    </row>
    <row r="17" spans="2:12" s="33" customFormat="1" ht="12.75">
      <c r="B17" s="9" t="s">
        <v>49</v>
      </c>
      <c r="C17" s="32"/>
      <c r="F17" s="32"/>
      <c r="G17" s="32"/>
      <c r="H17" s="32"/>
      <c r="I17" s="32"/>
      <c r="J17" s="32"/>
      <c r="K17" s="32"/>
      <c r="L17" s="32"/>
    </row>
    <row r="18" spans="2:12" s="33" customFormat="1" ht="12.75">
      <c r="B18" s="9" t="s">
        <v>199</v>
      </c>
      <c r="C18" s="32" t="s">
        <v>118</v>
      </c>
      <c r="D18" s="32"/>
      <c r="E18" s="32"/>
      <c r="F18" s="32"/>
      <c r="G18" s="32"/>
      <c r="H18" s="32"/>
      <c r="I18" s="32"/>
      <c r="J18" s="32"/>
      <c r="K18" s="32"/>
      <c r="L18" s="32"/>
    </row>
    <row r="19" spans="2:12" s="33" customFormat="1" ht="12.75">
      <c r="B19" s="9" t="s">
        <v>200</v>
      </c>
      <c r="C19" s="32" t="s">
        <v>201</v>
      </c>
      <c r="D19" s="32"/>
      <c r="E19" s="32"/>
      <c r="F19" s="32"/>
      <c r="G19" s="32"/>
      <c r="H19" s="32"/>
      <c r="I19" s="32"/>
      <c r="J19" s="32"/>
      <c r="K19" s="32"/>
      <c r="L19" s="32"/>
    </row>
    <row r="20" spans="2:12" ht="12.75">
      <c r="B20" s="32" t="s">
        <v>7</v>
      </c>
      <c r="C20" s="32" t="s">
        <v>119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ht="12.75">
      <c r="B21" s="9" t="s">
        <v>42</v>
      </c>
      <c r="C21" s="9" t="s">
        <v>71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50</v>
      </c>
      <c r="C22" s="38" t="s">
        <v>91</v>
      </c>
      <c r="D22" s="9"/>
      <c r="E22" s="9"/>
      <c r="F22" s="9"/>
      <c r="G22" s="9"/>
      <c r="H22" s="9"/>
      <c r="I22" s="9"/>
      <c r="J22" s="9"/>
      <c r="K22" s="9"/>
      <c r="L22" s="9"/>
    </row>
    <row r="23" spans="2:12" ht="12.75">
      <c r="B23" s="9" t="s">
        <v>43</v>
      </c>
      <c r="C23" s="32" t="s">
        <v>203</v>
      </c>
      <c r="D23" s="9"/>
      <c r="E23" s="9"/>
      <c r="F23" s="9"/>
      <c r="G23" s="9"/>
      <c r="H23" s="9"/>
      <c r="I23" s="9"/>
      <c r="J23" s="9"/>
      <c r="K23" s="9"/>
      <c r="L23" s="9"/>
    </row>
    <row r="24" spans="2:12" ht="12.75" customHeight="1">
      <c r="B24" s="9"/>
      <c r="C24" s="9" t="s">
        <v>202</v>
      </c>
      <c r="D24" s="9"/>
      <c r="E24" s="9"/>
      <c r="F24" s="9"/>
      <c r="G24" s="9"/>
      <c r="H24" s="9"/>
      <c r="I24" s="9"/>
      <c r="J24" s="9"/>
      <c r="K24" s="9"/>
      <c r="L24" s="9"/>
    </row>
    <row r="25" spans="2:12" ht="12.7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8</v>
      </c>
      <c r="C26" s="10"/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9</v>
      </c>
      <c r="C27" s="37">
        <f>35.6/12</f>
        <v>2.966666666666667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2.75">
      <c r="B28" s="9" t="s">
        <v>10</v>
      </c>
      <c r="C28" s="10">
        <v>23.4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ht="12.75">
      <c r="B29" s="9" t="s">
        <v>45</v>
      </c>
      <c r="C29" s="11">
        <f>890*0.0283</f>
        <v>25.186999999999998</v>
      </c>
      <c r="D29" s="9"/>
      <c r="E29" s="9"/>
      <c r="F29" s="9"/>
      <c r="G29" s="9"/>
      <c r="H29" s="9"/>
      <c r="I29" s="9"/>
      <c r="J29" s="9"/>
      <c r="K29" s="9"/>
      <c r="L29" s="9"/>
    </row>
    <row r="30" spans="2:12" ht="14.25" customHeight="1">
      <c r="B30" s="9" t="s">
        <v>46</v>
      </c>
      <c r="C30" s="10">
        <v>185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2.75">
      <c r="B32" s="9" t="s">
        <v>11</v>
      </c>
      <c r="C32" s="9" t="s">
        <v>86</v>
      </c>
      <c r="D32" s="9"/>
      <c r="E32" s="9"/>
      <c r="F32" s="9"/>
      <c r="G32" s="9"/>
      <c r="H32" s="9"/>
      <c r="I32" s="9"/>
      <c r="J32" s="9"/>
      <c r="K32" s="9"/>
      <c r="L32" s="9"/>
    </row>
    <row r="33" spans="2:12" ht="12.75">
      <c r="B33" s="9" t="s">
        <v>62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70" spans="2:12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ht="12.75">
      <c r="B71" s="9"/>
      <c r="C71" s="12"/>
      <c r="D71" s="9"/>
      <c r="E71" s="9"/>
      <c r="F71" s="9"/>
      <c r="G71" s="9"/>
      <c r="H71" s="9"/>
      <c r="I71" s="9"/>
      <c r="J71" s="9"/>
      <c r="K71" s="9"/>
      <c r="L71" s="9"/>
    </row>
    <row r="72" spans="2:12" ht="12.75">
      <c r="B72" s="9"/>
      <c r="C72" s="12"/>
      <c r="D72" s="9"/>
      <c r="E72" s="9"/>
      <c r="F72" s="9"/>
      <c r="G72" s="9"/>
      <c r="H72" s="9"/>
      <c r="I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2:12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2:12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2:12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2:1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2:12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2:12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2:1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2:1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2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2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2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2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2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2:12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2:12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2:12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2:12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2:12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2:12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2:12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2:12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2:12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12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2:12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2:12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2:12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2:12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2:12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2:12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2:12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2:12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2:12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2:12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2:12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2:12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2:12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2:12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2:12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2:12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2:12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2:12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2:12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2:12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2:12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2:12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2:12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2:12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2:12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2:12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2:12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2:12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2:12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2:12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2:12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2:12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2:12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2:12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2:12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2:12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2:12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2:12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2:12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2:12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2:12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2:12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2:12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2:12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2:12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2:12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2:12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2:12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2:12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2:12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2:12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2:12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2:12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2:12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2:12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2:12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2:12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2:12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2:12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2:12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2:12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2:12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2:12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2:12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2:12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2:12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2:12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2:12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2:12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2:12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2:12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2:12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2:12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2:12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2:12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2:12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2:12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2:12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2:12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2:12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2:12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2:12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2:12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2:12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2:12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2:12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2:12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2:12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2:12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2:12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2:12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2:12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2:12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2:12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2:12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2:12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2:12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2:12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2:12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2:12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2:12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2:12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2:12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2:12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2:12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2:12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2:12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2:12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2:12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2:12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2:12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2:12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2:12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2:12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2:12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2:12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2:12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2:12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2:12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2:12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2:12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2:12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2:12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2:12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2:12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2:12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2:12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2:12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2:12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2:12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2:12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2:12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2:12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2:12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2:12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2:12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2:12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2:12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2:12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2:12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2:12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2:12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2:12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2:12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2:12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2:12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2:12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2:12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2:12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2:12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2:12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2:12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2:12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2:12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2:12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2:12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2:12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2:12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2:12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2:12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2:12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2:12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2:12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2:12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2:12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2:12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2:12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2:12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2:12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2:12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2:12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2:12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2:12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2:12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2:12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2:12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2:12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2:12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2:12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2:12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2:12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2:12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2:12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2:12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2:12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2:12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2:12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2:12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2:12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2:12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2:12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2:12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2:12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2:12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2:12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2:12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2:12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2:12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2:12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2:12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2:12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2:12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2:12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2:12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2:12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2:12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2:12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2:12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2:12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2:12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2:12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2:12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2:12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2:12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2:12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2:12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2:12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2:12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2:12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2:12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2:12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2:12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2:12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2:12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2:12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2:12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2:12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2:12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2:12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2:12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2:12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2:12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2:12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2:12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2:12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2:12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2:12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2:12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2:12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2:12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2:12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2:12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2:12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2:12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2:12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2:12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2:12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2:12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2:12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2:12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2:12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2:12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2:12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2:12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2:12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2:12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2:12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2:12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2:12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2:12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2:12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2:12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2:12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2:12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2:12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2:12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2:12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2:12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2:12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2:12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2:12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2:12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2:12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2:12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2:12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2:12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2:12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2:12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2:12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2:12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2:12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2:12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2:12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2:12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2:12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2:12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2:12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2:12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2:12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2:12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2:12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2:12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2:12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2:12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2:12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2:12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2:12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2:12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2:12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2:12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2:12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2:12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2:12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2:12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2:12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2:12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2:12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2:12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2:12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2:12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2:12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2:12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2:12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2:12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2:12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2:12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2:12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2:12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2:12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2:12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2:12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2:12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2:12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2:12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2:12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2:12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2:12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2:12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2:12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2:12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2:12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2:12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2:12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2:12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2:12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2:12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2:12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2:12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2:12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B1">
      <selection activeCell="C1" sqref="C1"/>
    </sheetView>
  </sheetViews>
  <sheetFormatPr defaultColWidth="9.140625" defaultRowHeight="12.75"/>
  <cols>
    <col min="1" max="1" width="2.00390625" style="0" hidden="1" customWidth="1"/>
    <col min="2" max="2" width="18.57421875" style="0" customWidth="1"/>
    <col min="3" max="3" width="61.140625" style="49" customWidth="1"/>
  </cols>
  <sheetData>
    <row r="1" ht="12.75">
      <c r="B1" s="3" t="s">
        <v>187</v>
      </c>
    </row>
    <row r="3" ht="12.75">
      <c r="B3" s="3" t="s">
        <v>97</v>
      </c>
    </row>
    <row r="5" spans="2:3" ht="25.5">
      <c r="B5" s="50" t="s">
        <v>160</v>
      </c>
      <c r="C5" s="51" t="s">
        <v>167</v>
      </c>
    </row>
    <row r="6" spans="2:3" ht="12.75">
      <c r="B6" t="s">
        <v>161</v>
      </c>
      <c r="C6" s="49" t="s">
        <v>168</v>
      </c>
    </row>
    <row r="7" spans="2:3" ht="12.75">
      <c r="B7" t="s">
        <v>162</v>
      </c>
      <c r="C7" s="49" t="s">
        <v>168</v>
      </c>
    </row>
    <row r="8" spans="1:3" ht="12.75">
      <c r="A8" t="s">
        <v>97</v>
      </c>
      <c r="B8" t="s">
        <v>169</v>
      </c>
      <c r="C8" s="49" t="s">
        <v>170</v>
      </c>
    </row>
    <row r="9" spans="1:3" ht="12.75">
      <c r="A9" t="s">
        <v>97</v>
      </c>
      <c r="B9" t="s">
        <v>163</v>
      </c>
      <c r="C9" s="49" t="s">
        <v>96</v>
      </c>
    </row>
    <row r="10" spans="2:3" ht="12.75">
      <c r="B10" t="s">
        <v>196</v>
      </c>
      <c r="C10" s="63">
        <v>30999</v>
      </c>
    </row>
    <row r="12" spans="2:12" s="1" customFormat="1" ht="12.75">
      <c r="B12" s="3" t="s">
        <v>156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s="1" customFormat="1" ht="12.75">
      <c r="B13" s="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1" customFormat="1" ht="12.75">
      <c r="B14" s="40" t="s">
        <v>160</v>
      </c>
      <c r="C14" s="38" t="s">
        <v>92</v>
      </c>
      <c r="D14" s="9"/>
      <c r="E14" s="9"/>
      <c r="F14" s="9"/>
      <c r="G14" s="9"/>
      <c r="H14" s="9"/>
      <c r="I14" s="9"/>
      <c r="J14" s="9"/>
      <c r="K14" s="9"/>
      <c r="L14" s="9"/>
    </row>
    <row r="15" spans="2:12" s="1" customFormat="1" ht="12.75">
      <c r="B15" s="9" t="s">
        <v>161</v>
      </c>
      <c r="C15" s="9" t="s">
        <v>93</v>
      </c>
      <c r="D15" s="9"/>
      <c r="E15" s="9"/>
      <c r="F15" s="9"/>
      <c r="G15" s="9"/>
      <c r="H15" s="9"/>
      <c r="I15" s="9"/>
      <c r="J15" s="9"/>
      <c r="K15" s="9"/>
      <c r="L15" s="9"/>
    </row>
    <row r="16" spans="2:12" s="1" customFormat="1" ht="12.75">
      <c r="B16" s="9" t="s">
        <v>162</v>
      </c>
      <c r="C16" s="9" t="s">
        <v>94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s="1" customFormat="1" ht="12.75">
      <c r="B17" s="9" t="s">
        <v>163</v>
      </c>
      <c r="C17" s="12" t="s">
        <v>96</v>
      </c>
      <c r="D17" s="9"/>
      <c r="E17" s="9"/>
      <c r="F17" s="9"/>
      <c r="G17" s="9"/>
      <c r="H17" s="9"/>
      <c r="I17" s="9"/>
      <c r="J17" s="9"/>
      <c r="K17" s="9"/>
      <c r="L17" s="9"/>
    </row>
    <row r="18" spans="2:12" s="1" customFormat="1" ht="12.75">
      <c r="B18" t="s">
        <v>196</v>
      </c>
      <c r="C18" s="63">
        <v>30999</v>
      </c>
      <c r="D18" s="9"/>
      <c r="E18" s="9"/>
      <c r="F18" s="9"/>
      <c r="G18" s="9"/>
      <c r="H18" s="9"/>
      <c r="I18" s="9"/>
      <c r="J18" s="9"/>
      <c r="K18" s="9"/>
      <c r="L18" s="9"/>
    </row>
    <row r="19" spans="2:12" s="1" customFormat="1" ht="12.75">
      <c r="B19" s="9" t="s">
        <v>164</v>
      </c>
      <c r="C19" s="9" t="s">
        <v>90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s="1" customFormat="1" ht="12.75">
      <c r="B20" s="40" t="s">
        <v>165</v>
      </c>
      <c r="C20" s="39" t="s">
        <v>95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s="1" customFormat="1" ht="12.75">
      <c r="B21" s="40"/>
      <c r="C21" s="39"/>
      <c r="D21" s="9"/>
      <c r="E21" s="9"/>
      <c r="F21" s="9"/>
      <c r="G21" s="9"/>
      <c r="H21" s="9"/>
      <c r="I21" s="9"/>
      <c r="J21" s="9"/>
      <c r="K21" s="9"/>
      <c r="L21" s="9"/>
    </row>
    <row r="22" spans="2:12" s="1" customFormat="1" ht="12.75">
      <c r="B22" s="3" t="s">
        <v>157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2" s="1" customFormat="1" ht="12.75">
      <c r="B23" s="3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s="1" customFormat="1" ht="12.75">
      <c r="B24" s="40" t="s">
        <v>160</v>
      </c>
      <c r="C24" s="38" t="s">
        <v>113</v>
      </c>
      <c r="D24" s="9"/>
      <c r="E24" s="9"/>
      <c r="F24" s="9"/>
      <c r="G24" s="9"/>
      <c r="H24" s="9"/>
      <c r="I24" s="9"/>
      <c r="J24" s="9"/>
      <c r="K24" s="9"/>
      <c r="L24" s="9"/>
    </row>
    <row r="25" spans="2:12" s="1" customFormat="1" ht="12.75">
      <c r="B25" s="9" t="s">
        <v>161</v>
      </c>
      <c r="C25" s="9" t="s">
        <v>93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s="1" customFormat="1" ht="12.75">
      <c r="B26" s="9" t="s">
        <v>162</v>
      </c>
      <c r="C26" s="9" t="s">
        <v>94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s="1" customFormat="1" ht="12.75">
      <c r="B27" s="9" t="s">
        <v>163</v>
      </c>
      <c r="C27" s="12">
        <v>31524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s="1" customFormat="1" ht="12.75">
      <c r="B28" t="s">
        <v>196</v>
      </c>
      <c r="C28" s="63">
        <v>31515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s="1" customFormat="1" ht="12.75">
      <c r="B29" s="9" t="s">
        <v>164</v>
      </c>
      <c r="C29" s="9" t="s">
        <v>114</v>
      </c>
      <c r="D29" s="9"/>
      <c r="E29" s="9"/>
      <c r="F29" s="9"/>
      <c r="G29" s="9"/>
      <c r="H29" s="9"/>
      <c r="I29" s="9"/>
      <c r="J29" s="9"/>
      <c r="K29" s="9"/>
      <c r="L29" s="9"/>
    </row>
    <row r="30" spans="2:12" s="1" customFormat="1" ht="12.75">
      <c r="B30" s="40" t="s">
        <v>165</v>
      </c>
      <c r="C30" s="39" t="s">
        <v>95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s="1" customFormat="1" ht="12.75">
      <c r="B31" s="40"/>
      <c r="C31" s="39"/>
      <c r="D31" s="9"/>
      <c r="E31" s="9"/>
      <c r="F31" s="9"/>
      <c r="G31" s="9"/>
      <c r="H31" s="9"/>
      <c r="I31" s="9"/>
      <c r="J31" s="9"/>
      <c r="K31" s="9"/>
      <c r="L31" s="9"/>
    </row>
    <row r="32" spans="2:12" s="1" customFormat="1" ht="12.75">
      <c r="B32" s="3" t="s">
        <v>158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s="1" customFormat="1" ht="12.75"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s="1" customFormat="1" ht="12.75">
      <c r="B34" s="40" t="s">
        <v>160</v>
      </c>
      <c r="C34" s="38" t="s">
        <v>120</v>
      </c>
      <c r="D34" s="9"/>
      <c r="E34" s="9"/>
      <c r="F34" s="9"/>
      <c r="G34" s="9"/>
      <c r="H34" s="9"/>
      <c r="I34" s="9"/>
      <c r="J34" s="9"/>
      <c r="K34" s="9"/>
      <c r="L34" s="9"/>
    </row>
    <row r="35" spans="2:12" s="1" customFormat="1" ht="12.75">
      <c r="B35" s="9" t="s">
        <v>161</v>
      </c>
      <c r="C35" s="9" t="s">
        <v>93</v>
      </c>
      <c r="D35" s="9"/>
      <c r="E35" s="9"/>
      <c r="F35" s="9"/>
      <c r="G35" s="9"/>
      <c r="H35" s="9"/>
      <c r="I35" s="9"/>
      <c r="J35" s="9"/>
      <c r="K35" s="9"/>
      <c r="L35" s="9"/>
    </row>
    <row r="36" spans="2:12" s="1" customFormat="1" ht="12.75">
      <c r="B36" s="9" t="s">
        <v>162</v>
      </c>
      <c r="C36" s="9" t="s">
        <v>94</v>
      </c>
      <c r="D36" s="9"/>
      <c r="E36" s="9"/>
      <c r="F36" s="9"/>
      <c r="G36" s="9"/>
      <c r="H36" s="9"/>
      <c r="I36" s="9"/>
      <c r="J36" s="9"/>
      <c r="K36" s="9"/>
      <c r="L36" s="9"/>
    </row>
    <row r="37" spans="2:12" s="1" customFormat="1" ht="12.75">
      <c r="B37" s="9" t="s">
        <v>163</v>
      </c>
      <c r="C37" s="12">
        <v>32417</v>
      </c>
      <c r="D37" s="9"/>
      <c r="E37" s="9"/>
      <c r="F37" s="9"/>
      <c r="G37" s="9"/>
      <c r="H37" s="9"/>
      <c r="I37" s="9"/>
      <c r="J37" s="9"/>
      <c r="K37" s="9"/>
      <c r="L37" s="9"/>
    </row>
    <row r="38" spans="2:12" s="1" customFormat="1" ht="12.75">
      <c r="B38" t="s">
        <v>196</v>
      </c>
      <c r="C38" s="63">
        <v>36081</v>
      </c>
      <c r="D38" s="9"/>
      <c r="E38" s="9"/>
      <c r="F38" s="9"/>
      <c r="G38" s="9"/>
      <c r="H38" s="9"/>
      <c r="I38" s="9"/>
      <c r="J38" s="9"/>
      <c r="K38" s="9"/>
      <c r="L38" s="9"/>
    </row>
    <row r="39" spans="2:12" s="1" customFormat="1" ht="12.75">
      <c r="B39" s="9" t="s">
        <v>164</v>
      </c>
      <c r="C39" s="9" t="s">
        <v>121</v>
      </c>
      <c r="D39" s="9"/>
      <c r="E39" s="9"/>
      <c r="F39" s="9"/>
      <c r="G39" s="9"/>
      <c r="H39" s="9"/>
      <c r="I39" s="9"/>
      <c r="J39" s="9"/>
      <c r="K39" s="9"/>
      <c r="L39" s="9"/>
    </row>
    <row r="40" spans="2:12" s="1" customFormat="1" ht="12.75">
      <c r="B40" s="40" t="s">
        <v>165</v>
      </c>
      <c r="C40" s="39" t="s">
        <v>122</v>
      </c>
      <c r="D40" s="9"/>
      <c r="E40" s="9"/>
      <c r="F40" s="9"/>
      <c r="G40" s="9"/>
      <c r="H40" s="9"/>
      <c r="I40" s="9"/>
      <c r="J40" s="9"/>
      <c r="K40" s="9"/>
      <c r="L40" s="9"/>
    </row>
    <row r="41" spans="2:12" s="1" customFormat="1" ht="12.75">
      <c r="B41" s="40"/>
      <c r="C41" s="39"/>
      <c r="D41" s="9"/>
      <c r="E41" s="9"/>
      <c r="F41" s="9"/>
      <c r="G41" s="9"/>
      <c r="H41" s="9"/>
      <c r="I41" s="9"/>
      <c r="J41" s="9"/>
      <c r="K41" s="9"/>
      <c r="L41" s="9"/>
    </row>
    <row r="42" spans="2:12" s="1" customFormat="1" ht="12.75">
      <c r="B42" s="3" t="s">
        <v>159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2:12" s="1" customFormat="1" ht="12.75">
      <c r="B43" s="3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2" s="1" customFormat="1" ht="12.75">
      <c r="B44" s="40" t="s">
        <v>160</v>
      </c>
      <c r="C44" s="38" t="s">
        <v>87</v>
      </c>
      <c r="D44" s="9"/>
      <c r="E44" s="9"/>
      <c r="F44" s="9"/>
      <c r="G44" s="9"/>
      <c r="H44" s="9"/>
      <c r="I44" s="9"/>
      <c r="J44" s="9"/>
      <c r="K44" s="9"/>
      <c r="L44" s="9"/>
    </row>
    <row r="45" spans="2:12" s="1" customFormat="1" ht="14.25">
      <c r="B45" s="9" t="s">
        <v>161</v>
      </c>
      <c r="C45" s="9" t="s">
        <v>148</v>
      </c>
      <c r="D45" s="9"/>
      <c r="E45" s="9"/>
      <c r="F45" s="9"/>
      <c r="G45" s="9"/>
      <c r="H45" s="9"/>
      <c r="I45" s="9"/>
      <c r="J45" s="9"/>
      <c r="K45" s="9"/>
      <c r="L45" s="9"/>
    </row>
    <row r="46" spans="2:12" s="1" customFormat="1" ht="12.75">
      <c r="B46" s="9" t="s">
        <v>162</v>
      </c>
      <c r="C46" s="9" t="s">
        <v>88</v>
      </c>
      <c r="D46" s="9"/>
      <c r="E46" s="9"/>
      <c r="F46" s="9"/>
      <c r="G46" s="9"/>
      <c r="H46" s="9"/>
      <c r="I46" s="9"/>
      <c r="J46" s="9"/>
      <c r="K46" s="9"/>
      <c r="L46" s="9"/>
    </row>
    <row r="47" spans="2:12" s="1" customFormat="1" ht="12.75">
      <c r="B47" s="9" t="s">
        <v>163</v>
      </c>
      <c r="C47" s="12" t="s">
        <v>89</v>
      </c>
      <c r="D47" s="9"/>
      <c r="E47" s="9"/>
      <c r="F47" s="9"/>
      <c r="G47" s="9"/>
      <c r="H47" s="9"/>
      <c r="I47" s="9"/>
      <c r="J47" s="9"/>
      <c r="K47" s="9"/>
      <c r="L47" s="9"/>
    </row>
    <row r="48" spans="2:12" s="1" customFormat="1" ht="12.75">
      <c r="B48" t="s">
        <v>196</v>
      </c>
      <c r="C48" s="63">
        <v>34396</v>
      </c>
      <c r="D48" s="9"/>
      <c r="E48" s="9"/>
      <c r="F48" s="9"/>
      <c r="G48" s="9"/>
      <c r="H48" s="9"/>
      <c r="I48" s="9"/>
      <c r="J48" s="9"/>
      <c r="K48" s="9"/>
      <c r="L48" s="9"/>
    </row>
    <row r="49" spans="2:12" s="1" customFormat="1" ht="12.75">
      <c r="B49" s="9" t="s">
        <v>164</v>
      </c>
      <c r="C49" s="9" t="s">
        <v>90</v>
      </c>
      <c r="D49" s="9"/>
      <c r="E49" s="9"/>
      <c r="F49" s="9"/>
      <c r="G49" s="9"/>
      <c r="H49" s="9"/>
      <c r="I49" s="9"/>
      <c r="J49" s="9"/>
      <c r="K49" s="9"/>
      <c r="L49" s="9"/>
    </row>
    <row r="50" spans="2:12" s="1" customFormat="1" ht="12.75">
      <c r="B50" s="40" t="s">
        <v>165</v>
      </c>
      <c r="C50" s="39" t="s">
        <v>122</v>
      </c>
      <c r="D50" s="9"/>
      <c r="E50" s="9"/>
      <c r="F50" s="9"/>
      <c r="G50" s="9"/>
      <c r="H50" s="9"/>
      <c r="I50" s="9"/>
      <c r="J50" s="9"/>
      <c r="K50" s="9"/>
      <c r="L50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B1">
      <selection activeCell="C1" sqref="C1"/>
    </sheetView>
  </sheetViews>
  <sheetFormatPr defaultColWidth="9.140625" defaultRowHeight="12.75"/>
  <cols>
    <col min="1" max="1" width="2.7109375" style="14" hidden="1" customWidth="1"/>
    <col min="2" max="2" width="21.140625" style="14" customWidth="1"/>
    <col min="3" max="3" width="11.140625" style="14" customWidth="1"/>
    <col min="4" max="4" width="8.8515625" style="5" customWidth="1"/>
    <col min="5" max="5" width="6.140625" style="5" customWidth="1"/>
    <col min="6" max="6" width="3.140625" style="5" customWidth="1"/>
    <col min="7" max="7" width="12.421875" style="14" customWidth="1"/>
    <col min="8" max="8" width="2.7109375" style="14" customWidth="1"/>
    <col min="9" max="9" width="9.7109375" style="15" customWidth="1"/>
    <col min="10" max="10" width="2.8515625" style="14" customWidth="1"/>
    <col min="11" max="11" width="11.421875" style="14" customWidth="1"/>
    <col min="12" max="12" width="2.7109375" style="14" customWidth="1"/>
    <col min="13" max="13" width="12.421875" style="14" customWidth="1"/>
    <col min="14" max="14" width="2.140625" style="14" customWidth="1"/>
    <col min="15" max="16384" width="8.8515625" style="14" customWidth="1"/>
  </cols>
  <sheetData>
    <row r="1" spans="2:3" ht="12.75">
      <c r="B1" s="13" t="s">
        <v>37</v>
      </c>
      <c r="C1" s="13"/>
    </row>
    <row r="2" spans="2:12" ht="12.75">
      <c r="B2" s="16"/>
      <c r="C2" s="16"/>
      <c r="G2" s="16"/>
      <c r="H2" s="16"/>
      <c r="I2" s="17"/>
      <c r="J2" s="16"/>
      <c r="K2" s="16"/>
      <c r="L2" s="16"/>
    </row>
    <row r="3" spans="2:5" ht="12.75">
      <c r="B3" s="9"/>
      <c r="C3" s="9" t="s">
        <v>53</v>
      </c>
      <c r="D3" s="5" t="s">
        <v>12</v>
      </c>
      <c r="E3" s="5" t="s">
        <v>40</v>
      </c>
    </row>
    <row r="4" spans="2:12" ht="12.75">
      <c r="B4" s="9"/>
      <c r="C4" s="9"/>
      <c r="G4" s="16"/>
      <c r="H4" s="16"/>
      <c r="I4" s="17"/>
      <c r="J4" s="16"/>
      <c r="K4" s="16"/>
      <c r="L4" s="16"/>
    </row>
    <row r="5" spans="2:12" ht="12.75">
      <c r="B5" s="9"/>
      <c r="C5" s="9"/>
      <c r="G5" s="16"/>
      <c r="H5" s="16"/>
      <c r="I5" s="17"/>
      <c r="J5" s="16"/>
      <c r="K5" s="16"/>
      <c r="L5" s="16"/>
    </row>
    <row r="6" spans="1:13" ht="12.75">
      <c r="A6" s="14">
        <v>1</v>
      </c>
      <c r="B6" s="18" t="s">
        <v>156</v>
      </c>
      <c r="C6" s="18" t="s">
        <v>54</v>
      </c>
      <c r="G6" s="16" t="s">
        <v>171</v>
      </c>
      <c r="H6" s="16"/>
      <c r="I6" s="17" t="s">
        <v>172</v>
      </c>
      <c r="J6" s="16"/>
      <c r="K6" s="16" t="s">
        <v>173</v>
      </c>
      <c r="L6" s="16"/>
      <c r="M6" s="16" t="s">
        <v>174</v>
      </c>
    </row>
    <row r="7" spans="2:12" ht="12.75">
      <c r="B7" s="18"/>
      <c r="C7" s="18"/>
      <c r="G7" s="16"/>
      <c r="H7" s="16"/>
      <c r="I7" s="17"/>
      <c r="J7" s="16"/>
      <c r="K7" s="16"/>
      <c r="L7" s="16"/>
    </row>
    <row r="8" spans="2:13" ht="12.75">
      <c r="B8" s="5" t="s">
        <v>13</v>
      </c>
      <c r="C8" s="5" t="s">
        <v>193</v>
      </c>
      <c r="D8" s="5" t="s">
        <v>14</v>
      </c>
      <c r="E8" s="5" t="s">
        <v>15</v>
      </c>
      <c r="F8"/>
      <c r="G8" s="41">
        <v>0.074</v>
      </c>
      <c r="H8"/>
      <c r="I8" s="41">
        <v>0.125</v>
      </c>
      <c r="J8"/>
      <c r="K8" s="41">
        <v>0.138</v>
      </c>
      <c r="L8"/>
      <c r="M8" s="41">
        <f>AVERAGE(K8,I8,G8)</f>
        <v>0.11233333333333334</v>
      </c>
    </row>
    <row r="9" spans="2:13" ht="12.75">
      <c r="B9" s="5"/>
      <c r="C9" s="5"/>
      <c r="F9"/>
      <c r="G9" s="41"/>
      <c r="H9"/>
      <c r="I9" s="41"/>
      <c r="J9"/>
      <c r="K9" s="41"/>
      <c r="L9"/>
      <c r="M9" s="41"/>
    </row>
    <row r="10" spans="2:13" ht="12.75">
      <c r="B10" s="5" t="s">
        <v>67</v>
      </c>
      <c r="C10" s="5"/>
      <c r="D10" s="9" t="s">
        <v>16</v>
      </c>
      <c r="E10" s="9" t="s">
        <v>64</v>
      </c>
      <c r="F10" s="9"/>
      <c r="G10" s="9">
        <v>5900</v>
      </c>
      <c r="H10" s="9"/>
      <c r="I10" s="19">
        <v>5500</v>
      </c>
      <c r="J10" s="9"/>
      <c r="K10" s="9">
        <v>5600</v>
      </c>
      <c r="L10" s="9"/>
      <c r="M10" s="2">
        <f>AVERAGE(K10,I10,G10)</f>
        <v>5666.666666666667</v>
      </c>
    </row>
    <row r="11" spans="2:13" ht="12.75">
      <c r="B11" s="5"/>
      <c r="C11" s="5"/>
      <c r="F11"/>
      <c r="G11"/>
      <c r="H11"/>
      <c r="I11"/>
      <c r="J11"/>
      <c r="K11"/>
      <c r="L11"/>
      <c r="M11" s="2"/>
    </row>
    <row r="12" spans="2:13" ht="12.75">
      <c r="B12" s="5" t="s">
        <v>24</v>
      </c>
      <c r="C12" s="5"/>
      <c r="D12" s="5" t="s">
        <v>98</v>
      </c>
      <c r="E12" s="5" t="s">
        <v>64</v>
      </c>
      <c r="F12"/>
      <c r="G12" s="42">
        <v>17</v>
      </c>
      <c r="H12"/>
      <c r="I12" s="42">
        <v>14</v>
      </c>
      <c r="J12"/>
      <c r="K12" s="42">
        <v>14</v>
      </c>
      <c r="L12"/>
      <c r="M12" s="2"/>
    </row>
    <row r="13" spans="2:12" ht="12.75">
      <c r="B13" s="5"/>
      <c r="C13" s="5"/>
      <c r="F13"/>
      <c r="G13"/>
      <c r="H13"/>
      <c r="I13"/>
      <c r="J13"/>
      <c r="K13"/>
      <c r="L13"/>
    </row>
    <row r="14" spans="2:12" ht="12.75">
      <c r="B14" s="5" t="s">
        <v>72</v>
      </c>
      <c r="C14" s="5" t="s">
        <v>99</v>
      </c>
      <c r="F14"/>
      <c r="G14"/>
      <c r="H14"/>
      <c r="I14"/>
      <c r="J14"/>
      <c r="K14"/>
      <c r="L14"/>
    </row>
    <row r="15" spans="2:12" ht="12.75">
      <c r="B15" s="5" t="s">
        <v>73</v>
      </c>
      <c r="C15" s="5"/>
      <c r="D15" s="5" t="s">
        <v>27</v>
      </c>
      <c r="F15"/>
      <c r="G15" s="2">
        <f>1600*60/454</f>
        <v>211.45374449339207</v>
      </c>
      <c r="H15"/>
      <c r="I15" s="2">
        <f>1300*60/454</f>
        <v>171.80616740088107</v>
      </c>
      <c r="J15"/>
      <c r="K15" s="2">
        <f>1500*60/454</f>
        <v>198.23788546255506</v>
      </c>
      <c r="L15"/>
    </row>
    <row r="16" spans="2:12" ht="12.75">
      <c r="B16" s="5" t="s">
        <v>74</v>
      </c>
      <c r="C16" s="5" t="s">
        <v>193</v>
      </c>
      <c r="D16" s="5" t="s">
        <v>27</v>
      </c>
      <c r="F16"/>
      <c r="G16" s="46">
        <f>0.00054*60/454</f>
        <v>7.136563876651981E-05</v>
      </c>
      <c r="H16"/>
      <c r="I16" s="46">
        <f>0.00026*60/454</f>
        <v>3.436123348017621E-05</v>
      </c>
      <c r="J16"/>
      <c r="K16" s="46">
        <f>0.00037*60/454</f>
        <v>4.889867841409692E-05</v>
      </c>
      <c r="L16"/>
    </row>
    <row r="17" spans="2:12" ht="12.75">
      <c r="B17" s="5" t="s">
        <v>26</v>
      </c>
      <c r="C17" s="5" t="s">
        <v>193</v>
      </c>
      <c r="D17" s="5" t="s">
        <v>18</v>
      </c>
      <c r="F17" s="14"/>
      <c r="G17">
        <v>99.999966</v>
      </c>
      <c r="I17">
        <v>99.99998</v>
      </c>
      <c r="K17">
        <v>99.999975</v>
      </c>
      <c r="L17"/>
    </row>
    <row r="18" spans="2:12" ht="12.75">
      <c r="B18" s="5"/>
      <c r="C18" s="5"/>
      <c r="F18"/>
      <c r="G18"/>
      <c r="H18"/>
      <c r="I18"/>
      <c r="J18"/>
      <c r="K18"/>
      <c r="L18"/>
    </row>
    <row r="19" spans="2:12" ht="12.75">
      <c r="B19" s="5" t="s">
        <v>72</v>
      </c>
      <c r="C19" s="5" t="s">
        <v>100</v>
      </c>
      <c r="F19"/>
      <c r="G19"/>
      <c r="H19"/>
      <c r="I19"/>
      <c r="J19"/>
      <c r="K19"/>
      <c r="L19"/>
    </row>
    <row r="20" spans="2:12" ht="12.75">
      <c r="B20" s="5" t="s">
        <v>73</v>
      </c>
      <c r="C20" s="5"/>
      <c r="D20" s="5" t="s">
        <v>27</v>
      </c>
      <c r="F20"/>
      <c r="G20" s="2">
        <f>1700*60/454</f>
        <v>224.66960352422907</v>
      </c>
      <c r="H20"/>
      <c r="I20" s="2">
        <f>1400*60/454</f>
        <v>185.02202643171807</v>
      </c>
      <c r="J20"/>
      <c r="K20" s="2">
        <f>1500*60/454</f>
        <v>198.23788546255506</v>
      </c>
      <c r="L20"/>
    </row>
    <row r="21" spans="2:12" ht="12.75">
      <c r="B21" s="5" t="s">
        <v>74</v>
      </c>
      <c r="C21" s="5" t="s">
        <v>193</v>
      </c>
      <c r="D21" s="5" t="s">
        <v>27</v>
      </c>
      <c r="F21"/>
      <c r="G21" s="46">
        <f>0.0021*60/454</f>
        <v>0.0002775330396475771</v>
      </c>
      <c r="H21"/>
      <c r="I21" s="46">
        <f>0.013*60/454</f>
        <v>0.0017180616740088105</v>
      </c>
      <c r="J21"/>
      <c r="K21" s="46">
        <f>0.014*60/454</f>
        <v>0.0018502202643171806</v>
      </c>
      <c r="L21"/>
    </row>
    <row r="22" spans="2:12" ht="12.75">
      <c r="B22" s="5" t="s">
        <v>26</v>
      </c>
      <c r="C22" s="5" t="s">
        <v>193</v>
      </c>
      <c r="D22" s="5" t="s">
        <v>18</v>
      </c>
      <c r="F22" s="14"/>
      <c r="G22">
        <v>99.9998</v>
      </c>
      <c r="I22">
        <v>99.99907</v>
      </c>
      <c r="K22">
        <v>99.99907</v>
      </c>
      <c r="L22"/>
    </row>
    <row r="23" spans="2:13" ht="12.75">
      <c r="B23" s="5"/>
      <c r="C23" s="5"/>
      <c r="F23"/>
      <c r="G23"/>
      <c r="H23"/>
      <c r="I23"/>
      <c r="J23"/>
      <c r="K23"/>
      <c r="L23"/>
      <c r="M23"/>
    </row>
    <row r="24" spans="2:13" ht="12.75">
      <c r="B24" s="5" t="s">
        <v>57</v>
      </c>
      <c r="C24" s="5" t="s">
        <v>101</v>
      </c>
      <c r="D24" s="5" t="s">
        <v>193</v>
      </c>
      <c r="F24"/>
      <c r="G24"/>
      <c r="H24"/>
      <c r="I24"/>
      <c r="J24"/>
      <c r="K24"/>
      <c r="L24"/>
      <c r="M24"/>
    </row>
    <row r="25" spans="2:13" ht="12.75">
      <c r="B25" s="5" t="s">
        <v>52</v>
      </c>
      <c r="C25" s="5"/>
      <c r="D25" s="5" t="s">
        <v>17</v>
      </c>
      <c r="F25"/>
      <c r="G25" s="14">
        <f>268/0.0283</f>
        <v>9469.964664310954</v>
      </c>
      <c r="I25" s="15">
        <f>259/0.0283</f>
        <v>9151.943462897527</v>
      </c>
      <c r="K25" s="14">
        <f>263/0.0283</f>
        <v>9293.286219081272</v>
      </c>
      <c r="M25" s="2">
        <f>AVERAGE(K25,I25,G25)</f>
        <v>9305.064782096584</v>
      </c>
    </row>
    <row r="26" spans="2:13" ht="12.75">
      <c r="B26" s="5" t="s">
        <v>55</v>
      </c>
      <c r="C26" s="5"/>
      <c r="D26" s="5" t="s">
        <v>18</v>
      </c>
      <c r="F26"/>
      <c r="G26" s="14">
        <v>4.6</v>
      </c>
      <c r="I26" s="15">
        <v>5.5</v>
      </c>
      <c r="K26" s="14">
        <v>5.2</v>
      </c>
      <c r="M26" s="2">
        <f>AVERAGE(K26,I26,G26)</f>
        <v>5.1</v>
      </c>
    </row>
    <row r="27" spans="2:13" ht="12.75">
      <c r="B27" s="5" t="s">
        <v>56</v>
      </c>
      <c r="C27" s="5"/>
      <c r="D27" s="5" t="s">
        <v>18</v>
      </c>
      <c r="F27"/>
      <c r="M27" s="2"/>
    </row>
    <row r="28" spans="2:13" ht="12.75">
      <c r="B28" s="5" t="s">
        <v>51</v>
      </c>
      <c r="C28" s="5"/>
      <c r="D28" s="5" t="s">
        <v>19</v>
      </c>
      <c r="F28"/>
      <c r="M28" s="2"/>
    </row>
    <row r="29" spans="2:13" ht="12.75">
      <c r="B29" s="5"/>
      <c r="C29" s="5"/>
      <c r="F29"/>
      <c r="G29"/>
      <c r="H29"/>
      <c r="I29"/>
      <c r="J29"/>
      <c r="K29"/>
      <c r="L29"/>
      <c r="M29"/>
    </row>
    <row r="30" spans="2:13" ht="12.75">
      <c r="B30" s="5" t="s">
        <v>67</v>
      </c>
      <c r="C30" s="5" t="s">
        <v>193</v>
      </c>
      <c r="D30" s="9" t="s">
        <v>16</v>
      </c>
      <c r="E30" s="5" t="s">
        <v>15</v>
      </c>
      <c r="F30"/>
      <c r="G30" s="42">
        <f>G10*(21-7)/(21-G$26)</f>
        <v>5036.585365853659</v>
      </c>
      <c r="H30"/>
      <c r="I30" s="42">
        <f>I10*(21-7)/(21-I$26)</f>
        <v>4967.741935483871</v>
      </c>
      <c r="J30"/>
      <c r="K30" s="42">
        <f>K10*(21-7)/(21-K$26)</f>
        <v>4962.025316455696</v>
      </c>
      <c r="L30"/>
      <c r="M30" s="2">
        <f>AVERAGE(K30,I30,G30)</f>
        <v>4988.784205931075</v>
      </c>
    </row>
    <row r="31" spans="2:13" ht="12.75">
      <c r="B31" s="5"/>
      <c r="C31" s="5"/>
      <c r="D31" s="9"/>
      <c r="F31"/>
      <c r="G31" s="42"/>
      <c r="H31"/>
      <c r="I31" s="42"/>
      <c r="J31"/>
      <c r="K31" s="42"/>
      <c r="L31"/>
      <c r="M31" s="2"/>
    </row>
    <row r="32" spans="2:13" ht="12.75">
      <c r="B32" s="5" t="s">
        <v>24</v>
      </c>
      <c r="C32" s="5" t="s">
        <v>193</v>
      </c>
      <c r="D32" s="5" t="s">
        <v>16</v>
      </c>
      <c r="E32" s="5" t="s">
        <v>15</v>
      </c>
      <c r="F32"/>
      <c r="G32" s="42">
        <f>G12/G$25/0.0283*(21-7)/(21-G$26)*667.8</f>
        <v>36.16135784492174</v>
      </c>
      <c r="H32"/>
      <c r="I32" s="42">
        <f>I12/I$25/0.0283*(21-7)/(21-I$26)*667.8</f>
        <v>32.604010462074974</v>
      </c>
      <c r="J32"/>
      <c r="K32" s="42">
        <f>K12/K$25/0.0283*(21-7)/(21-K$26)*667.8</f>
        <v>31.49848390046686</v>
      </c>
      <c r="L32"/>
      <c r="M32" s="2">
        <f>AVERAGE(K32,I32,G32)</f>
        <v>33.421284069154524</v>
      </c>
    </row>
    <row r="33" spans="2:13" ht="12.75">
      <c r="B33" s="5" t="s">
        <v>65</v>
      </c>
      <c r="C33" s="5" t="s">
        <v>193</v>
      </c>
      <c r="D33" s="5" t="s">
        <v>16</v>
      </c>
      <c r="E33" s="5" t="s">
        <v>15</v>
      </c>
      <c r="F33"/>
      <c r="G33" s="42">
        <f>G32</f>
        <v>36.16135784492174</v>
      </c>
      <c r="H33"/>
      <c r="I33" s="42">
        <f>I32</f>
        <v>32.604010462074974</v>
      </c>
      <c r="J33"/>
      <c r="K33" s="42">
        <f>K32</f>
        <v>31.49848390046686</v>
      </c>
      <c r="L33"/>
      <c r="M33" s="2">
        <f>AVERAGE(K33,I33,G33)</f>
        <v>33.421284069154524</v>
      </c>
    </row>
    <row r="34" ht="12.75"/>
    <row r="35" spans="1:13" ht="12.75">
      <c r="A35" s="14">
        <v>1</v>
      </c>
      <c r="B35" s="18" t="s">
        <v>157</v>
      </c>
      <c r="C35" s="18" t="s">
        <v>54</v>
      </c>
      <c r="G35" s="16" t="s">
        <v>171</v>
      </c>
      <c r="H35" s="16"/>
      <c r="I35" s="17" t="s">
        <v>172</v>
      </c>
      <c r="J35" s="16"/>
      <c r="K35" s="16" t="s">
        <v>173</v>
      </c>
      <c r="L35" s="16"/>
      <c r="M35" s="16" t="s">
        <v>174</v>
      </c>
    </row>
    <row r="36" spans="2:12" ht="12.75">
      <c r="B36" s="18"/>
      <c r="C36" s="18"/>
      <c r="G36" s="16"/>
      <c r="H36" s="16"/>
      <c r="I36" s="17"/>
      <c r="J36" s="16"/>
      <c r="K36" s="16"/>
      <c r="L36" s="16"/>
    </row>
    <row r="37" spans="2:13" ht="12.75">
      <c r="B37" s="5" t="s">
        <v>13</v>
      </c>
      <c r="C37" s="5" t="s">
        <v>193</v>
      </c>
      <c r="D37" s="5" t="s">
        <v>14</v>
      </c>
      <c r="E37" s="5" t="s">
        <v>15</v>
      </c>
      <c r="F37"/>
      <c r="G37" s="41">
        <v>0.0648</v>
      </c>
      <c r="H37"/>
      <c r="I37" s="41">
        <v>0.0618</v>
      </c>
      <c r="J37"/>
      <c r="K37" s="41">
        <v>0.0453</v>
      </c>
      <c r="L37"/>
      <c r="M37" s="2">
        <f>AVERAGE(K37,I37,G37)</f>
        <v>0.0573</v>
      </c>
    </row>
    <row r="38" spans="2:13" ht="12.75">
      <c r="B38" s="5"/>
      <c r="C38" s="5"/>
      <c r="F38"/>
      <c r="G38" s="41"/>
      <c r="H38"/>
      <c r="I38" s="41"/>
      <c r="J38"/>
      <c r="K38" s="41"/>
      <c r="L38"/>
      <c r="M38" s="41"/>
    </row>
    <row r="39" spans="2:13" ht="12.75">
      <c r="B39" s="5" t="s">
        <v>67</v>
      </c>
      <c r="C39" s="5"/>
      <c r="D39" s="9" t="s">
        <v>16</v>
      </c>
      <c r="E39" s="9" t="s">
        <v>64</v>
      </c>
      <c r="F39" s="9"/>
      <c r="G39" s="9">
        <v>2800</v>
      </c>
      <c r="H39" s="9"/>
      <c r="I39" s="19">
        <v>2750</v>
      </c>
      <c r="J39" s="9"/>
      <c r="K39" s="9">
        <v>2860</v>
      </c>
      <c r="L39" s="9"/>
      <c r="M39" s="41"/>
    </row>
    <row r="40" spans="2:13" ht="12.75">
      <c r="B40" s="5"/>
      <c r="C40" s="5"/>
      <c r="F40"/>
      <c r="G40"/>
      <c r="H40"/>
      <c r="I40"/>
      <c r="J40"/>
      <c r="K40"/>
      <c r="L40"/>
      <c r="M40" s="2"/>
    </row>
    <row r="41" spans="2:13" ht="12.75">
      <c r="B41" s="5" t="s">
        <v>24</v>
      </c>
      <c r="C41" s="5"/>
      <c r="D41" s="5" t="s">
        <v>115</v>
      </c>
      <c r="E41" s="5" t="s">
        <v>64</v>
      </c>
      <c r="F41"/>
      <c r="G41" s="42">
        <v>0.86</v>
      </c>
      <c r="H41"/>
      <c r="I41" s="42">
        <v>1</v>
      </c>
      <c r="J41"/>
      <c r="K41" s="42">
        <v>0.86</v>
      </c>
      <c r="L41"/>
      <c r="M41" s="2"/>
    </row>
    <row r="42" spans="2:13" ht="12.75">
      <c r="B42" s="5" t="s">
        <v>25</v>
      </c>
      <c r="C42" s="5"/>
      <c r="D42" s="5" t="s">
        <v>115</v>
      </c>
      <c r="E42" s="5" t="s">
        <v>64</v>
      </c>
      <c r="F42"/>
      <c r="G42" s="42"/>
      <c r="H42"/>
      <c r="I42" s="42"/>
      <c r="J42"/>
      <c r="K42" s="42"/>
      <c r="L42"/>
      <c r="M42" s="2"/>
    </row>
    <row r="43" spans="2:12" ht="12.75">
      <c r="B43" s="5"/>
      <c r="C43" s="5"/>
      <c r="F43"/>
      <c r="G43"/>
      <c r="H43"/>
      <c r="I43"/>
      <c r="J43"/>
      <c r="K43"/>
      <c r="L43"/>
    </row>
    <row r="44" spans="2:12" ht="12.75">
      <c r="B44" s="5" t="s">
        <v>72</v>
      </c>
      <c r="C44" s="5" t="s">
        <v>99</v>
      </c>
      <c r="F44"/>
      <c r="G44"/>
      <c r="H44"/>
      <c r="I44"/>
      <c r="J44"/>
      <c r="K44"/>
      <c r="L44"/>
    </row>
    <row r="45" spans="2:12" ht="12.75">
      <c r="B45" s="5" t="s">
        <v>73</v>
      </c>
      <c r="C45" s="5"/>
      <c r="D45" s="5" t="s">
        <v>27</v>
      </c>
      <c r="F45"/>
      <c r="G45" s="2">
        <f>1600*60/454</f>
        <v>211.45374449339207</v>
      </c>
      <c r="H45"/>
      <c r="I45" s="2">
        <f>1300*60/454</f>
        <v>171.80616740088107</v>
      </c>
      <c r="J45"/>
      <c r="K45" s="2">
        <f>1500*60/454</f>
        <v>198.23788546255506</v>
      </c>
      <c r="L45"/>
    </row>
    <row r="46" spans="2:12" ht="12.75">
      <c r="B46" s="5" t="s">
        <v>74</v>
      </c>
      <c r="C46" s="5" t="s">
        <v>193</v>
      </c>
      <c r="D46" s="5" t="s">
        <v>27</v>
      </c>
      <c r="F46"/>
      <c r="G46" s="46">
        <f>0.00054*60/454</f>
        <v>7.136563876651981E-05</v>
      </c>
      <c r="H46"/>
      <c r="I46" s="46">
        <f>0.00026*60/454</f>
        <v>3.436123348017621E-05</v>
      </c>
      <c r="J46"/>
      <c r="K46" s="46">
        <f>0.00037*60/454</f>
        <v>4.889867841409692E-05</v>
      </c>
      <c r="L46"/>
    </row>
    <row r="47" spans="2:12" ht="12.75">
      <c r="B47" s="5" t="s">
        <v>26</v>
      </c>
      <c r="C47" s="5" t="s">
        <v>193</v>
      </c>
      <c r="D47" s="5" t="s">
        <v>18</v>
      </c>
      <c r="F47" s="14"/>
      <c r="G47">
        <v>99.999966</v>
      </c>
      <c r="I47">
        <v>99.99998</v>
      </c>
      <c r="K47">
        <v>99.999975</v>
      </c>
      <c r="L47"/>
    </row>
    <row r="48" spans="2:12" ht="12.75">
      <c r="B48" s="5"/>
      <c r="C48" s="5"/>
      <c r="F48"/>
      <c r="G48"/>
      <c r="H48"/>
      <c r="I48"/>
      <c r="J48"/>
      <c r="K48"/>
      <c r="L48"/>
    </row>
    <row r="49" spans="2:12" ht="12.75">
      <c r="B49" s="5" t="s">
        <v>72</v>
      </c>
      <c r="C49" s="5" t="s">
        <v>100</v>
      </c>
      <c r="F49"/>
      <c r="G49"/>
      <c r="H49"/>
      <c r="I49"/>
      <c r="J49"/>
      <c r="K49"/>
      <c r="L49"/>
    </row>
    <row r="50" spans="2:12" ht="12.75">
      <c r="B50" s="5" t="s">
        <v>73</v>
      </c>
      <c r="C50" s="5"/>
      <c r="D50" s="5" t="s">
        <v>27</v>
      </c>
      <c r="F50"/>
      <c r="G50" s="2">
        <f>1700*60/454</f>
        <v>224.66960352422907</v>
      </c>
      <c r="H50"/>
      <c r="I50" s="2">
        <f>1400*60/454</f>
        <v>185.02202643171807</v>
      </c>
      <c r="J50"/>
      <c r="K50" s="2">
        <f>1500*60/454</f>
        <v>198.23788546255506</v>
      </c>
      <c r="L50"/>
    </row>
    <row r="51" spans="2:12" ht="12.75">
      <c r="B51" s="5" t="s">
        <v>74</v>
      </c>
      <c r="C51" s="5" t="s">
        <v>193</v>
      </c>
      <c r="D51" s="5" t="s">
        <v>27</v>
      </c>
      <c r="F51"/>
      <c r="G51" s="46">
        <f>0.0021*60/454</f>
        <v>0.0002775330396475771</v>
      </c>
      <c r="H51"/>
      <c r="I51" s="46">
        <f>0.013*60/454</f>
        <v>0.0017180616740088105</v>
      </c>
      <c r="J51"/>
      <c r="K51" s="46">
        <f>0.014*60/454</f>
        <v>0.0018502202643171806</v>
      </c>
      <c r="L51"/>
    </row>
    <row r="52" spans="2:12" ht="12.75">
      <c r="B52" s="5" t="s">
        <v>26</v>
      </c>
      <c r="C52" s="5" t="s">
        <v>193</v>
      </c>
      <c r="D52" s="5" t="s">
        <v>18</v>
      </c>
      <c r="F52" s="14"/>
      <c r="G52">
        <v>99.9998</v>
      </c>
      <c r="I52">
        <v>99.99907</v>
      </c>
      <c r="K52">
        <v>99.99907</v>
      </c>
      <c r="L52"/>
    </row>
    <row r="53" spans="2:13" ht="12.75">
      <c r="B53" s="5"/>
      <c r="C53" s="5"/>
      <c r="F53"/>
      <c r="G53"/>
      <c r="H53"/>
      <c r="I53"/>
      <c r="J53"/>
      <c r="K53"/>
      <c r="L53"/>
      <c r="M53"/>
    </row>
    <row r="54" spans="2:13" ht="12.75">
      <c r="B54" s="5" t="s">
        <v>57</v>
      </c>
      <c r="C54" s="5" t="s">
        <v>101</v>
      </c>
      <c r="D54" s="5" t="s">
        <v>193</v>
      </c>
      <c r="F54"/>
      <c r="G54"/>
      <c r="H54"/>
      <c r="I54"/>
      <c r="J54"/>
      <c r="K54"/>
      <c r="L54"/>
      <c r="M54"/>
    </row>
    <row r="55" spans="2:13" ht="12.75">
      <c r="B55" s="5" t="s">
        <v>52</v>
      </c>
      <c r="C55" s="5"/>
      <c r="D55" s="5" t="s">
        <v>17</v>
      </c>
      <c r="F55"/>
      <c r="G55" s="14">
        <v>9226</v>
      </c>
      <c r="I55" s="15">
        <v>9183</v>
      </c>
      <c r="K55" s="14">
        <v>9160</v>
      </c>
      <c r="M55" s="2">
        <f>AVERAGE(K55,I55,G55)</f>
        <v>9189.666666666666</v>
      </c>
    </row>
    <row r="56" spans="2:13" ht="12.75">
      <c r="B56" s="5" t="s">
        <v>55</v>
      </c>
      <c r="C56" s="5"/>
      <c r="D56" s="5" t="s">
        <v>18</v>
      </c>
      <c r="F56"/>
      <c r="G56" s="14">
        <v>5.8</v>
      </c>
      <c r="I56" s="15">
        <v>5</v>
      </c>
      <c r="K56" s="14">
        <v>4.8</v>
      </c>
      <c r="M56" s="2">
        <f>AVERAGE(K56,I56,G56)</f>
        <v>5.2</v>
      </c>
    </row>
    <row r="57" spans="2:13" ht="12.75">
      <c r="B57" s="5" t="s">
        <v>56</v>
      </c>
      <c r="C57" s="5"/>
      <c r="D57" s="5" t="s">
        <v>18</v>
      </c>
      <c r="F57"/>
      <c r="M57" s="2"/>
    </row>
    <row r="58" spans="2:13" ht="12.75">
      <c r="B58" s="5" t="s">
        <v>51</v>
      </c>
      <c r="C58" s="5"/>
      <c r="D58" s="5" t="s">
        <v>19</v>
      </c>
      <c r="F58"/>
      <c r="M58" s="2"/>
    </row>
    <row r="59" spans="2:13" ht="12.75">
      <c r="B59" s="5"/>
      <c r="C59" s="5"/>
      <c r="F59"/>
      <c r="G59"/>
      <c r="H59"/>
      <c r="I59"/>
      <c r="J59"/>
      <c r="K59"/>
      <c r="L59"/>
      <c r="M59"/>
    </row>
    <row r="60" spans="2:13" ht="12.75">
      <c r="B60" s="5" t="s">
        <v>67</v>
      </c>
      <c r="C60" s="5" t="s">
        <v>193</v>
      </c>
      <c r="D60" s="9" t="s">
        <v>16</v>
      </c>
      <c r="E60" s="5" t="s">
        <v>15</v>
      </c>
      <c r="F60"/>
      <c r="G60" s="42">
        <f>G39*(21-7)/(21-G$26)</f>
        <v>2390.2439024390246</v>
      </c>
      <c r="H60"/>
      <c r="I60" s="42">
        <f>I39*(21-7)/(21-I$26)</f>
        <v>2483.8709677419356</v>
      </c>
      <c r="J60"/>
      <c r="K60" s="42">
        <f>K39*(21-7)/(21-K$26)</f>
        <v>2534.177215189873</v>
      </c>
      <c r="L60"/>
      <c r="M60" s="2">
        <f>AVERAGE(K60,I60,G60)</f>
        <v>2469.430695123611</v>
      </c>
    </row>
    <row r="61" spans="2:13" ht="12.75">
      <c r="B61" s="5"/>
      <c r="C61" s="5"/>
      <c r="D61" s="9"/>
      <c r="F61"/>
      <c r="G61" s="42"/>
      <c r="H61"/>
      <c r="I61" s="42"/>
      <c r="J61"/>
      <c r="K61" s="42"/>
      <c r="L61"/>
      <c r="M61" s="2"/>
    </row>
    <row r="62" spans="2:13" ht="12.75">
      <c r="B62" s="5" t="s">
        <v>24</v>
      </c>
      <c r="C62" s="5" t="s">
        <v>193</v>
      </c>
      <c r="D62" s="5" t="s">
        <v>16</v>
      </c>
      <c r="E62" s="5" t="s">
        <v>15</v>
      </c>
      <c r="F62"/>
      <c r="G62" s="42">
        <f>G41/G$25/0.0283*(21-7)/(21-G$26)*667.8*1000/60</f>
        <v>30.4889879868948</v>
      </c>
      <c r="H62"/>
      <c r="I62" s="42">
        <f>I41/I$25/0.0283*(21-7)/(21-I$26)*667.8*1000/60</f>
        <v>38.81429816913688</v>
      </c>
      <c r="J62"/>
      <c r="K62" s="42">
        <f>K41/K$25/0.0283*(21-7)/(21-K$26)*667.8*1000/60</f>
        <v>32.24844780285893</v>
      </c>
      <c r="L62"/>
      <c r="M62" s="2">
        <f>AVERAGE(K62,I62,G62)</f>
        <v>33.85057798629687</v>
      </c>
    </row>
    <row r="63" spans="2:13" ht="12.75">
      <c r="B63" s="5" t="s">
        <v>65</v>
      </c>
      <c r="C63" s="5" t="s">
        <v>193</v>
      </c>
      <c r="D63" s="5" t="s">
        <v>16</v>
      </c>
      <c r="E63" s="5" t="s">
        <v>15</v>
      </c>
      <c r="F63"/>
      <c r="G63" s="42">
        <f>G62</f>
        <v>30.4889879868948</v>
      </c>
      <c r="H63"/>
      <c r="I63" s="42">
        <f>I62</f>
        <v>38.81429816913688</v>
      </c>
      <c r="J63"/>
      <c r="K63" s="42">
        <f>K62</f>
        <v>32.24844780285893</v>
      </c>
      <c r="L63"/>
      <c r="M63" s="2">
        <f>AVERAGE(K63,I63,G63)</f>
        <v>33.85057798629687</v>
      </c>
    </row>
    <row r="64" ht="12.75"/>
    <row r="65" spans="1:13" ht="12.75">
      <c r="A65" s="14">
        <v>1</v>
      </c>
      <c r="B65" s="18" t="s">
        <v>158</v>
      </c>
      <c r="C65" s="5" t="s">
        <v>123</v>
      </c>
      <c r="G65" s="16" t="s">
        <v>171</v>
      </c>
      <c r="H65" s="16"/>
      <c r="I65" s="17" t="s">
        <v>172</v>
      </c>
      <c r="J65" s="16"/>
      <c r="K65" s="16" t="s">
        <v>173</v>
      </c>
      <c r="L65" s="16"/>
      <c r="M65" s="16" t="s">
        <v>174</v>
      </c>
    </row>
    <row r="66" spans="2:12" ht="12.75">
      <c r="B66" s="18"/>
      <c r="C66" s="18"/>
      <c r="G66" s="16"/>
      <c r="H66" s="16"/>
      <c r="I66" s="17"/>
      <c r="J66" s="16"/>
      <c r="K66" s="16"/>
      <c r="L66" s="16"/>
    </row>
    <row r="67" spans="2:13" ht="12.75">
      <c r="B67" s="5" t="s">
        <v>13</v>
      </c>
      <c r="C67" s="5" t="s">
        <v>193</v>
      </c>
      <c r="D67" s="5" t="s">
        <v>14</v>
      </c>
      <c r="E67" s="5" t="s">
        <v>15</v>
      </c>
      <c r="F67"/>
      <c r="G67" s="41">
        <v>0.0223</v>
      </c>
      <c r="H67"/>
      <c r="I67" s="41">
        <v>0.0199</v>
      </c>
      <c r="J67"/>
      <c r="K67" s="41">
        <v>0.0212</v>
      </c>
      <c r="L67"/>
      <c r="M67" s="41">
        <f>AVERAGE(K67,I67,G67)</f>
        <v>0.021133333333333334</v>
      </c>
    </row>
    <row r="68" spans="2:13" ht="12.75">
      <c r="B68" s="5"/>
      <c r="C68" s="5"/>
      <c r="F68"/>
      <c r="G68" s="41"/>
      <c r="H68"/>
      <c r="I68" s="41"/>
      <c r="J68"/>
      <c r="K68" s="41"/>
      <c r="L68"/>
      <c r="M68" s="41"/>
    </row>
    <row r="69" spans="2:13" ht="12.75">
      <c r="B69" s="5" t="s">
        <v>67</v>
      </c>
      <c r="C69" s="5"/>
      <c r="D69" s="9" t="s">
        <v>16</v>
      </c>
      <c r="E69" s="9" t="s">
        <v>64</v>
      </c>
      <c r="F69" s="9"/>
      <c r="G69" s="9">
        <v>33</v>
      </c>
      <c r="H69" s="9"/>
      <c r="I69" s="19">
        <v>33</v>
      </c>
      <c r="J69" s="9"/>
      <c r="K69" s="9">
        <v>31</v>
      </c>
      <c r="L69" s="9"/>
      <c r="M69" s="41"/>
    </row>
    <row r="70" spans="2:13" ht="12.75">
      <c r="B70" s="5"/>
      <c r="C70" s="5"/>
      <c r="F70"/>
      <c r="G70"/>
      <c r="H70"/>
      <c r="I70"/>
      <c r="J70"/>
      <c r="K70"/>
      <c r="L70"/>
      <c r="M70" s="2"/>
    </row>
    <row r="71" spans="2:13" ht="12.75">
      <c r="B71" s="5" t="s">
        <v>124</v>
      </c>
      <c r="C71" s="5"/>
      <c r="D71" s="5" t="s">
        <v>128</v>
      </c>
      <c r="E71" s="5" t="s">
        <v>64</v>
      </c>
      <c r="F71"/>
      <c r="G71">
        <v>0.9</v>
      </c>
      <c r="H71"/>
      <c r="I71">
        <v>0.8</v>
      </c>
      <c r="J71"/>
      <c r="K71">
        <v>0.8</v>
      </c>
      <c r="L71"/>
      <c r="M71" s="2"/>
    </row>
    <row r="72" spans="2:13" ht="12.75">
      <c r="B72" s="5" t="s">
        <v>125</v>
      </c>
      <c r="C72" s="5"/>
      <c r="D72" s="5" t="s">
        <v>128</v>
      </c>
      <c r="E72" s="5" t="s">
        <v>64</v>
      </c>
      <c r="F72"/>
      <c r="G72">
        <v>1.3</v>
      </c>
      <c r="H72"/>
      <c r="I72">
        <v>1.6</v>
      </c>
      <c r="J72"/>
      <c r="K72">
        <v>1.8</v>
      </c>
      <c r="L72"/>
      <c r="M72" s="2"/>
    </row>
    <row r="73" spans="2:13" ht="12.75">
      <c r="B73" s="5" t="s">
        <v>126</v>
      </c>
      <c r="C73" s="5"/>
      <c r="D73" s="5" t="s">
        <v>128</v>
      </c>
      <c r="E73" s="5" t="s">
        <v>64</v>
      </c>
      <c r="F73"/>
      <c r="G73" s="42">
        <v>2.1</v>
      </c>
      <c r="H73"/>
      <c r="I73" s="42">
        <v>4.3</v>
      </c>
      <c r="J73"/>
      <c r="K73" s="42">
        <v>3.9</v>
      </c>
      <c r="L73"/>
      <c r="M73" s="2"/>
    </row>
    <row r="74" spans="2:13" ht="12.75">
      <c r="B74" s="5" t="s">
        <v>127</v>
      </c>
      <c r="C74" s="5"/>
      <c r="D74" s="5" t="s">
        <v>128</v>
      </c>
      <c r="E74" s="5" t="s">
        <v>64</v>
      </c>
      <c r="F74"/>
      <c r="G74" s="42">
        <v>1.3</v>
      </c>
      <c r="H74"/>
      <c r="I74" s="42">
        <v>1.2</v>
      </c>
      <c r="J74"/>
      <c r="K74" s="42">
        <v>0.7</v>
      </c>
      <c r="L74"/>
      <c r="M74" s="2"/>
    </row>
    <row r="75" spans="2:13" ht="12.75">
      <c r="B75" s="5"/>
      <c r="C75" s="5"/>
      <c r="F75"/>
      <c r="G75"/>
      <c r="H75"/>
      <c r="I75"/>
      <c r="J75"/>
      <c r="K75"/>
      <c r="L75"/>
      <c r="M75"/>
    </row>
    <row r="76" spans="2:13" ht="12.75">
      <c r="B76" s="5" t="s">
        <v>57</v>
      </c>
      <c r="C76" s="5" t="s">
        <v>154</v>
      </c>
      <c r="D76" s="5" t="s">
        <v>193</v>
      </c>
      <c r="F76"/>
      <c r="G76"/>
      <c r="H76"/>
      <c r="I76"/>
      <c r="J76"/>
      <c r="K76"/>
      <c r="L76"/>
      <c r="M76"/>
    </row>
    <row r="77" spans="2:13" ht="12.75">
      <c r="B77" s="5" t="s">
        <v>52</v>
      </c>
      <c r="C77" s="5"/>
      <c r="D77" s="5" t="s">
        <v>17</v>
      </c>
      <c r="F77"/>
      <c r="G77" s="14">
        <v>6964</v>
      </c>
      <c r="I77" s="15">
        <v>7127</v>
      </c>
      <c r="K77" s="14">
        <v>6986</v>
      </c>
      <c r="M77" s="2">
        <f>AVERAGE(K77,I77,G77)</f>
        <v>7025.666666666667</v>
      </c>
    </row>
    <row r="78" spans="2:13" ht="12.75">
      <c r="B78" s="5" t="s">
        <v>55</v>
      </c>
      <c r="C78" s="5"/>
      <c r="D78" s="5" t="s">
        <v>18</v>
      </c>
      <c r="F78"/>
      <c r="G78" s="14">
        <v>4.2</v>
      </c>
      <c r="I78" s="15">
        <v>5.8</v>
      </c>
      <c r="K78" s="14">
        <v>5.2</v>
      </c>
      <c r="M78" s="2">
        <f>AVERAGE(K78,I78,G78)</f>
        <v>5.066666666666666</v>
      </c>
    </row>
    <row r="79" spans="2:13" ht="12.75">
      <c r="B79" s="5" t="s">
        <v>56</v>
      </c>
      <c r="C79" s="5"/>
      <c r="D79" s="5" t="s">
        <v>18</v>
      </c>
      <c r="F79"/>
      <c r="G79" s="14">
        <v>58.7</v>
      </c>
      <c r="I79" s="15">
        <v>56.5</v>
      </c>
      <c r="K79" s="14">
        <v>59.6</v>
      </c>
      <c r="M79" s="2">
        <f>AVERAGE(K79,I79,G79)</f>
        <v>58.26666666666667</v>
      </c>
    </row>
    <row r="80" spans="2:13" ht="12.75">
      <c r="B80" s="5" t="s">
        <v>51</v>
      </c>
      <c r="C80" s="5"/>
      <c r="D80" s="5" t="s">
        <v>19</v>
      </c>
      <c r="F80"/>
      <c r="G80" s="14">
        <v>185</v>
      </c>
      <c r="I80" s="15">
        <v>184</v>
      </c>
      <c r="K80" s="14">
        <v>186</v>
      </c>
      <c r="M80" s="2">
        <f>AVERAGE(K80,I80,G80)</f>
        <v>185</v>
      </c>
    </row>
    <row r="81" spans="2:13" ht="12.75">
      <c r="B81" s="5"/>
      <c r="C81" s="5"/>
      <c r="F81"/>
      <c r="G81"/>
      <c r="H81"/>
      <c r="I81"/>
      <c r="J81"/>
      <c r="K81"/>
      <c r="L81"/>
      <c r="M81"/>
    </row>
    <row r="82" spans="2:13" ht="12.75">
      <c r="B82" s="5" t="s">
        <v>67</v>
      </c>
      <c r="C82" s="5" t="s">
        <v>193</v>
      </c>
      <c r="D82" s="9" t="s">
        <v>16</v>
      </c>
      <c r="E82" s="5" t="s">
        <v>15</v>
      </c>
      <c r="F82"/>
      <c r="G82" s="42">
        <f>G69*(21-7)/(21-G78)</f>
        <v>27.5</v>
      </c>
      <c r="H82"/>
      <c r="I82" s="42">
        <f>I69*(21-7)/(21-I78)</f>
        <v>30.394736842105264</v>
      </c>
      <c r="J82"/>
      <c r="K82" s="42">
        <f>K69*(21-7)/(21-K78)</f>
        <v>27.468354430379744</v>
      </c>
      <c r="L82"/>
      <c r="M82" s="2">
        <f>AVERAGE(K82,I82,G82)</f>
        <v>28.454363757495003</v>
      </c>
    </row>
    <row r="83" spans="2:13" ht="12.75">
      <c r="B83" s="5"/>
      <c r="C83" s="5"/>
      <c r="D83" s="9"/>
      <c r="F83"/>
      <c r="G83" s="42"/>
      <c r="H83"/>
      <c r="I83" s="42"/>
      <c r="J83"/>
      <c r="K83" s="42"/>
      <c r="L83"/>
      <c r="M83" s="2"/>
    </row>
    <row r="84" spans="2:13" ht="12.75">
      <c r="B84" s="5" t="s">
        <v>124</v>
      </c>
      <c r="C84" s="5" t="s">
        <v>193</v>
      </c>
      <c r="D84" s="5" t="s">
        <v>31</v>
      </c>
      <c r="E84" s="5" t="s">
        <v>15</v>
      </c>
      <c r="G84" s="48">
        <f>G71/0.0283/G$77*(21-7)/(21-G$78)*1000</f>
        <v>3.805538021891484</v>
      </c>
      <c r="I84" s="48">
        <f>I71/0.0283/I$77*(21-7)/(21-I$78)*1000</f>
        <v>3.6532655405545227</v>
      </c>
      <c r="K84" s="48">
        <f>K71/0.0283/K$77*(21-7)/(21-K$78)*1000</f>
        <v>3.585468562029009</v>
      </c>
      <c r="M84" s="2">
        <f aca="true" t="shared" si="0" ref="M84:M89">AVERAGE(K84,I84,G84)</f>
        <v>3.681424041491672</v>
      </c>
    </row>
    <row r="85" spans="2:13" ht="12.75">
      <c r="B85" s="5" t="s">
        <v>125</v>
      </c>
      <c r="C85" s="5" t="s">
        <v>193</v>
      </c>
      <c r="D85" s="5" t="s">
        <v>31</v>
      </c>
      <c r="E85" s="5" t="s">
        <v>15</v>
      </c>
      <c r="G85" s="48">
        <f aca="true" t="shared" si="1" ref="G85:I87">G72/0.0283/G$77*(21-7)/(21-G$78)*1000</f>
        <v>5.496888253843256</v>
      </c>
      <c r="H85" s="20"/>
      <c r="I85" s="48">
        <f t="shared" si="1"/>
        <v>7.306531081109045</v>
      </c>
      <c r="J85" s="20"/>
      <c r="K85" s="48">
        <f>K72/0.0283/K$77*(21-7)/(21-K$78)*1000</f>
        <v>8.067304264565271</v>
      </c>
      <c r="L85" s="20"/>
      <c r="M85" s="2">
        <f t="shared" si="0"/>
        <v>6.9569078665058575</v>
      </c>
    </row>
    <row r="86" spans="2:13" ht="12.75">
      <c r="B86" s="5" t="s">
        <v>126</v>
      </c>
      <c r="C86" s="5" t="s">
        <v>193</v>
      </c>
      <c r="D86" s="5" t="s">
        <v>31</v>
      </c>
      <c r="E86" s="5" t="s">
        <v>15</v>
      </c>
      <c r="G86" s="48">
        <f t="shared" si="1"/>
        <v>8.879588717746797</v>
      </c>
      <c r="H86" s="20"/>
      <c r="I86" s="48">
        <f t="shared" si="1"/>
        <v>19.63630228048056</v>
      </c>
      <c r="J86" s="6"/>
      <c r="K86" s="48">
        <f>K73/0.0283/K$77*(21-7)/(21-K$78)*1000</f>
        <v>17.47915923989142</v>
      </c>
      <c r="L86" s="20"/>
      <c r="M86" s="2">
        <f t="shared" si="0"/>
        <v>15.33168341270626</v>
      </c>
    </row>
    <row r="87" spans="2:13" ht="12.75">
      <c r="B87" s="5" t="s">
        <v>127</v>
      </c>
      <c r="C87" s="5" t="s">
        <v>193</v>
      </c>
      <c r="D87" s="5" t="s">
        <v>31</v>
      </c>
      <c r="E87" s="5" t="s">
        <v>15</v>
      </c>
      <c r="G87" s="48">
        <f t="shared" si="1"/>
        <v>5.496888253843256</v>
      </c>
      <c r="H87" s="20"/>
      <c r="I87" s="48">
        <f t="shared" si="1"/>
        <v>5.479898310831784</v>
      </c>
      <c r="J87" s="20"/>
      <c r="K87" s="48">
        <f>K74/0.0283/K$77*(21-7)/(21-K$78)*1000</f>
        <v>3.1372849917753833</v>
      </c>
      <c r="L87" s="20"/>
      <c r="M87" s="2">
        <f t="shared" si="0"/>
        <v>4.7046905188168076</v>
      </c>
    </row>
    <row r="88" spans="2:13" ht="12.75">
      <c r="B88" s="5" t="s">
        <v>32</v>
      </c>
      <c r="C88" s="5" t="s">
        <v>193</v>
      </c>
      <c r="D88" s="5" t="s">
        <v>31</v>
      </c>
      <c r="E88" s="5" t="s">
        <v>15</v>
      </c>
      <c r="G88" s="48">
        <f>G87+G85</f>
        <v>10.993776507686512</v>
      </c>
      <c r="H88" s="20"/>
      <c r="I88" s="48">
        <f>I87+I85</f>
        <v>12.786429391940828</v>
      </c>
      <c r="J88" s="20"/>
      <c r="K88" s="48">
        <f>K87+K85</f>
        <v>11.204589256340654</v>
      </c>
      <c r="L88" s="20"/>
      <c r="M88" s="2">
        <f t="shared" si="0"/>
        <v>11.661598385322664</v>
      </c>
    </row>
    <row r="89" spans="2:13" ht="12.75">
      <c r="B89" s="5" t="s">
        <v>33</v>
      </c>
      <c r="C89" s="5" t="s">
        <v>193</v>
      </c>
      <c r="D89" s="5" t="s">
        <v>31</v>
      </c>
      <c r="E89" s="5" t="s">
        <v>15</v>
      </c>
      <c r="G89" s="48">
        <f>G86+G84</f>
        <v>12.685126739638282</v>
      </c>
      <c r="H89" s="20"/>
      <c r="I89" s="48">
        <f>I86+I84</f>
        <v>23.28956782103508</v>
      </c>
      <c r="J89" s="20"/>
      <c r="K89" s="48">
        <f>K86+K84</f>
        <v>21.06462780192043</v>
      </c>
      <c r="L89" s="20"/>
      <c r="M89" s="2">
        <f t="shared" si="0"/>
        <v>19.013107454197932</v>
      </c>
    </row>
    <row r="90" spans="2:13" ht="12.75">
      <c r="B90" s="5"/>
      <c r="C90" s="5"/>
      <c r="G90" s="48"/>
      <c r="H90" s="20"/>
      <c r="I90" s="48"/>
      <c r="J90" s="20"/>
      <c r="K90" s="48"/>
      <c r="L90" s="20"/>
      <c r="M90" s="2"/>
    </row>
    <row r="91" spans="2:12" ht="12.75">
      <c r="B91" s="5"/>
      <c r="C91" s="5"/>
      <c r="G91" s="20"/>
      <c r="H91" s="20"/>
      <c r="I91" s="21"/>
      <c r="J91" s="20"/>
      <c r="K91" s="20"/>
      <c r="L91" s="20"/>
    </row>
    <row r="92" spans="1:13" ht="12.75">
      <c r="A92" s="14">
        <v>1</v>
      </c>
      <c r="B92" s="18" t="s">
        <v>159</v>
      </c>
      <c r="C92" s="18" t="s">
        <v>54</v>
      </c>
      <c r="G92" s="16" t="s">
        <v>171</v>
      </c>
      <c r="H92" s="16"/>
      <c r="I92" s="17" t="s">
        <v>172</v>
      </c>
      <c r="J92" s="16"/>
      <c r="K92" s="16" t="s">
        <v>173</v>
      </c>
      <c r="L92" s="16"/>
      <c r="M92" s="16" t="s">
        <v>174</v>
      </c>
    </row>
    <row r="93" spans="2:12" ht="12.75">
      <c r="B93" s="18"/>
      <c r="C93" s="18"/>
      <c r="G93" s="16"/>
      <c r="H93" s="16"/>
      <c r="I93" s="17"/>
      <c r="J93" s="16"/>
      <c r="K93" s="16"/>
      <c r="L93" s="16"/>
    </row>
    <row r="94" spans="2:13" ht="12.75">
      <c r="B94" s="5" t="s">
        <v>67</v>
      </c>
      <c r="C94" s="5"/>
      <c r="D94" s="9" t="s">
        <v>16</v>
      </c>
      <c r="E94" s="9" t="s">
        <v>64</v>
      </c>
      <c r="F94" s="9"/>
      <c r="G94" s="9">
        <v>73</v>
      </c>
      <c r="H94" s="9"/>
      <c r="I94" s="19">
        <v>83</v>
      </c>
      <c r="J94" s="9"/>
      <c r="K94" s="9">
        <v>80</v>
      </c>
      <c r="L94" s="9"/>
      <c r="M94" s="41"/>
    </row>
    <row r="95" spans="2:13" ht="12.75">
      <c r="B95" s="5"/>
      <c r="C95" s="5"/>
      <c r="F95"/>
      <c r="G95"/>
      <c r="H95"/>
      <c r="I95"/>
      <c r="J95"/>
      <c r="K95"/>
      <c r="L95"/>
      <c r="M95" s="2"/>
    </row>
    <row r="96" spans="2:13" ht="12.75">
      <c r="B96" s="5" t="s">
        <v>124</v>
      </c>
      <c r="C96" s="5"/>
      <c r="D96" s="5" t="s">
        <v>31</v>
      </c>
      <c r="E96" s="5" t="s">
        <v>64</v>
      </c>
      <c r="F96"/>
      <c r="G96">
        <v>125.5</v>
      </c>
      <c r="H96"/>
      <c r="I96">
        <v>116.1</v>
      </c>
      <c r="J96"/>
      <c r="K96">
        <v>114</v>
      </c>
      <c r="L96"/>
      <c r="M96" s="2"/>
    </row>
    <row r="97" spans="2:13" ht="12.75">
      <c r="B97" s="5" t="s">
        <v>125</v>
      </c>
      <c r="C97" s="5"/>
      <c r="D97" s="5" t="s">
        <v>31</v>
      </c>
      <c r="E97" s="5" t="s">
        <v>64</v>
      </c>
      <c r="F97"/>
      <c r="G97">
        <v>73.8</v>
      </c>
      <c r="H97"/>
      <c r="I97">
        <v>96.6</v>
      </c>
      <c r="J97"/>
      <c r="K97">
        <v>70.8</v>
      </c>
      <c r="L97"/>
      <c r="M97" s="2"/>
    </row>
    <row r="98" spans="2:13" ht="12.75">
      <c r="B98" s="5" t="s">
        <v>126</v>
      </c>
      <c r="C98" s="5"/>
      <c r="D98" s="5" t="s">
        <v>31</v>
      </c>
      <c r="E98" s="5" t="s">
        <v>64</v>
      </c>
      <c r="F98"/>
      <c r="G98" s="47">
        <v>531</v>
      </c>
      <c r="H98" s="47"/>
      <c r="I98" s="47">
        <v>750</v>
      </c>
      <c r="J98" s="47"/>
      <c r="K98" s="47">
        <v>636</v>
      </c>
      <c r="L98"/>
      <c r="M98" s="2"/>
    </row>
    <row r="99" spans="2:13" ht="12.75">
      <c r="B99" s="5" t="s">
        <v>127</v>
      </c>
      <c r="C99" s="5"/>
      <c r="D99" s="5" t="s">
        <v>31</v>
      </c>
      <c r="E99" s="5" t="s">
        <v>64</v>
      </c>
      <c r="F99"/>
      <c r="G99" s="47">
        <v>8988</v>
      </c>
      <c r="H99" s="47"/>
      <c r="I99" s="47">
        <v>17843</v>
      </c>
      <c r="J99" s="47"/>
      <c r="K99" s="47">
        <v>17174</v>
      </c>
      <c r="L99"/>
      <c r="M99" s="2"/>
    </row>
    <row r="100" spans="2:13" ht="12.75">
      <c r="B100" s="62" t="s">
        <v>195</v>
      </c>
      <c r="C100" s="5"/>
      <c r="D100" s="5" t="s">
        <v>31</v>
      </c>
      <c r="E100" s="5" t="s">
        <v>64</v>
      </c>
      <c r="F100"/>
      <c r="G100" s="47">
        <v>13.2</v>
      </c>
      <c r="H100" s="47"/>
      <c r="I100" s="47">
        <v>23.3</v>
      </c>
      <c r="J100" s="47"/>
      <c r="K100" s="47">
        <v>24.2</v>
      </c>
      <c r="L100"/>
      <c r="M100" s="2"/>
    </row>
    <row r="101" spans="2:13" ht="12.75">
      <c r="B101" s="5"/>
      <c r="C101" s="5"/>
      <c r="F101"/>
      <c r="G101"/>
      <c r="H101"/>
      <c r="I101"/>
      <c r="J101"/>
      <c r="K101"/>
      <c r="L101"/>
      <c r="M101"/>
    </row>
    <row r="102" spans="2:13" ht="12.75">
      <c r="B102" s="5" t="s">
        <v>57</v>
      </c>
      <c r="C102" s="5" t="s">
        <v>155</v>
      </c>
      <c r="D102" s="5" t="s">
        <v>193</v>
      </c>
      <c r="F102"/>
      <c r="G102"/>
      <c r="H102"/>
      <c r="I102"/>
      <c r="J102"/>
      <c r="K102"/>
      <c r="L102"/>
      <c r="M102"/>
    </row>
    <row r="103" spans="2:13" ht="12.75">
      <c r="B103" s="5" t="s">
        <v>52</v>
      </c>
      <c r="C103" s="5"/>
      <c r="D103" s="5" t="s">
        <v>17</v>
      </c>
      <c r="F103"/>
      <c r="G103" s="14">
        <v>6748</v>
      </c>
      <c r="I103" s="15">
        <v>6563</v>
      </c>
      <c r="K103" s="14">
        <v>6773</v>
      </c>
      <c r="M103" s="2">
        <f>AVERAGE(K103,I103,G103)</f>
        <v>6694.666666666667</v>
      </c>
    </row>
    <row r="104" spans="2:13" ht="12.75">
      <c r="B104" s="5" t="s">
        <v>55</v>
      </c>
      <c r="C104" s="5"/>
      <c r="D104" s="5" t="s">
        <v>18</v>
      </c>
      <c r="F104"/>
      <c r="G104" s="14">
        <v>5.67</v>
      </c>
      <c r="I104" s="15">
        <v>6.93</v>
      </c>
      <c r="K104" s="14">
        <v>7.3</v>
      </c>
      <c r="M104" s="2">
        <f>AVERAGE(K104,I104,G104)</f>
        <v>6.633333333333333</v>
      </c>
    </row>
    <row r="105" spans="2:13" ht="12.75">
      <c r="B105" s="5" t="s">
        <v>56</v>
      </c>
      <c r="C105" s="5"/>
      <c r="D105" s="5" t="s">
        <v>18</v>
      </c>
      <c r="F105"/>
      <c r="G105" s="14">
        <v>56.2</v>
      </c>
      <c r="I105" s="15">
        <v>58.3</v>
      </c>
      <c r="K105" s="14">
        <v>58.5</v>
      </c>
      <c r="M105" s="2">
        <f>AVERAGE(K105,I105,G105)</f>
        <v>57.666666666666664</v>
      </c>
    </row>
    <row r="106" spans="2:13" ht="12.75">
      <c r="B106" s="5" t="s">
        <v>51</v>
      </c>
      <c r="C106" s="5"/>
      <c r="D106" s="5" t="s">
        <v>19</v>
      </c>
      <c r="F106"/>
      <c r="G106" s="14">
        <v>184</v>
      </c>
      <c r="I106" s="15">
        <v>189</v>
      </c>
      <c r="K106" s="14">
        <v>185</v>
      </c>
      <c r="M106" s="2">
        <f>AVERAGE(K106,I106,G106)</f>
        <v>186</v>
      </c>
    </row>
    <row r="107" spans="2:13" ht="12.75">
      <c r="B107" s="5"/>
      <c r="C107" s="5"/>
      <c r="F107"/>
      <c r="G107"/>
      <c r="H107"/>
      <c r="I107"/>
      <c r="J107"/>
      <c r="K107"/>
      <c r="L107"/>
      <c r="M107"/>
    </row>
    <row r="108" spans="2:13" ht="12.75">
      <c r="B108" s="5" t="s">
        <v>57</v>
      </c>
      <c r="C108" s="5" t="s">
        <v>145</v>
      </c>
      <c r="D108" s="5" t="s">
        <v>194</v>
      </c>
      <c r="F108"/>
      <c r="G108"/>
      <c r="H108"/>
      <c r="I108"/>
      <c r="J108"/>
      <c r="K108"/>
      <c r="L108"/>
      <c r="M108"/>
    </row>
    <row r="109" spans="2:13" ht="12.75">
      <c r="B109" s="5" t="s">
        <v>52</v>
      </c>
      <c r="C109" s="5"/>
      <c r="D109" s="5" t="s">
        <v>17</v>
      </c>
      <c r="F109"/>
      <c r="G109" s="14">
        <v>7360</v>
      </c>
      <c r="I109" s="15">
        <v>6788</v>
      </c>
      <c r="K109" s="14">
        <v>6891</v>
      </c>
      <c r="M109" s="2">
        <f>AVERAGE(K109,I109,G109)</f>
        <v>7013</v>
      </c>
    </row>
    <row r="110" spans="2:13" ht="12.75">
      <c r="B110" s="5" t="s">
        <v>55</v>
      </c>
      <c r="C110" s="5"/>
      <c r="D110" s="5" t="s">
        <v>18</v>
      </c>
      <c r="F110"/>
      <c r="G110" s="14">
        <v>5.67</v>
      </c>
      <c r="I110" s="15">
        <v>7.33</v>
      </c>
      <c r="K110" s="14">
        <v>7.3</v>
      </c>
      <c r="M110" s="2">
        <f>AVERAGE(K110,I110,G110)</f>
        <v>6.766666666666666</v>
      </c>
    </row>
    <row r="111" spans="2:13" ht="12.75">
      <c r="B111" s="5" t="s">
        <v>56</v>
      </c>
      <c r="C111" s="5"/>
      <c r="D111" s="5" t="s">
        <v>18</v>
      </c>
      <c r="F111"/>
      <c r="G111" s="14">
        <v>52</v>
      </c>
      <c r="I111" s="15">
        <v>57.2</v>
      </c>
      <c r="K111" s="14">
        <v>57.9</v>
      </c>
      <c r="M111" s="2">
        <f>AVERAGE(K111,I111,G111)</f>
        <v>55.699999999999996</v>
      </c>
    </row>
    <row r="112" spans="2:13" ht="12.75">
      <c r="B112" s="5" t="s">
        <v>51</v>
      </c>
      <c r="C112" s="5"/>
      <c r="D112" s="5" t="s">
        <v>19</v>
      </c>
      <c r="F112"/>
      <c r="G112" s="14">
        <v>189</v>
      </c>
      <c r="I112" s="15">
        <v>192</v>
      </c>
      <c r="K112" s="14">
        <v>186</v>
      </c>
      <c r="M112" s="2">
        <f>AVERAGE(K112,I112,G112)</f>
        <v>189</v>
      </c>
    </row>
    <row r="113" spans="2:13" ht="12.75">
      <c r="B113" s="5"/>
      <c r="F113"/>
      <c r="G113"/>
      <c r="H113"/>
      <c r="I113"/>
      <c r="J113"/>
      <c r="K113"/>
      <c r="L113"/>
      <c r="M113"/>
    </row>
    <row r="114" spans="2:13" ht="12.75">
      <c r="B114" s="5" t="s">
        <v>67</v>
      </c>
      <c r="C114" s="5" t="s">
        <v>193</v>
      </c>
      <c r="D114" s="9" t="s">
        <v>16</v>
      </c>
      <c r="E114" s="5" t="s">
        <v>15</v>
      </c>
      <c r="F114"/>
      <c r="G114" s="42">
        <f>G94*(21-7)/(21-G104)</f>
        <v>66.66666666666667</v>
      </c>
      <c r="H114"/>
      <c r="I114" s="42">
        <f>I94*(21-7)/(21-I104)</f>
        <v>82.58706467661692</v>
      </c>
      <c r="J114"/>
      <c r="K114" s="42">
        <f>K94*(21-7)/(21-K104)</f>
        <v>81.75182481751825</v>
      </c>
      <c r="L114"/>
      <c r="M114" s="2">
        <f>AVERAGE(K114,I114,G114)</f>
        <v>77.00185205360062</v>
      </c>
    </row>
    <row r="115" spans="3:13" ht="12.75">
      <c r="C115" s="5"/>
      <c r="D115" s="9"/>
      <c r="F115"/>
      <c r="G115" s="42"/>
      <c r="H115"/>
      <c r="I115" s="42"/>
      <c r="J115"/>
      <c r="K115" s="42"/>
      <c r="L115"/>
      <c r="M115" s="2"/>
    </row>
    <row r="116" spans="2:13" ht="12.75">
      <c r="B116" s="5" t="s">
        <v>124</v>
      </c>
      <c r="C116" s="5" t="s">
        <v>193</v>
      </c>
      <c r="D116" s="5" t="s">
        <v>31</v>
      </c>
      <c r="E116" s="5" t="s">
        <v>15</v>
      </c>
      <c r="G116" s="48">
        <f>G96*(21-7)/(21-G$104)</f>
        <v>114.61187214611873</v>
      </c>
      <c r="I116" s="48">
        <f>I96*(21-7)/(21-I$104)</f>
        <v>115.52238805970148</v>
      </c>
      <c r="K116" s="48">
        <f>K96*(21-7)/(21-K$104)</f>
        <v>116.4963503649635</v>
      </c>
      <c r="M116" s="2">
        <f aca="true" t="shared" si="2" ref="M116:M122">AVERAGE(K116,I116,G116)</f>
        <v>115.54353685692791</v>
      </c>
    </row>
    <row r="117" spans="2:13" ht="12.75">
      <c r="B117" s="5" t="s">
        <v>125</v>
      </c>
      <c r="C117" s="5" t="s">
        <v>193</v>
      </c>
      <c r="D117" s="5" t="s">
        <v>31</v>
      </c>
      <c r="E117" s="5" t="s">
        <v>15</v>
      </c>
      <c r="G117" s="48">
        <f aca="true" t="shared" si="3" ref="G117:I119">G97*(21-7)/(21-G$104)</f>
        <v>67.3972602739726</v>
      </c>
      <c r="H117" s="20"/>
      <c r="I117" s="48">
        <f t="shared" si="3"/>
        <v>96.11940298507461</v>
      </c>
      <c r="J117" s="20"/>
      <c r="K117" s="48">
        <f>K97*(21-7)/(21-K$104)</f>
        <v>72.35036496350365</v>
      </c>
      <c r="L117" s="20"/>
      <c r="M117" s="2">
        <f t="shared" si="2"/>
        <v>78.62234274085029</v>
      </c>
    </row>
    <row r="118" spans="2:13" ht="12.75">
      <c r="B118" s="5" t="s">
        <v>126</v>
      </c>
      <c r="C118" s="5" t="s">
        <v>193</v>
      </c>
      <c r="D118" s="5" t="s">
        <v>31</v>
      </c>
      <c r="E118" s="5" t="s">
        <v>15</v>
      </c>
      <c r="G118" s="48">
        <f t="shared" si="3"/>
        <v>484.93150684931504</v>
      </c>
      <c r="H118" s="20"/>
      <c r="I118" s="48">
        <f t="shared" si="3"/>
        <v>746.2686567164179</v>
      </c>
      <c r="J118" s="6"/>
      <c r="K118" s="48">
        <f>K98*(21-7)/(21-K$104)</f>
        <v>649.9270072992701</v>
      </c>
      <c r="L118" s="20"/>
      <c r="M118" s="2">
        <f t="shared" si="2"/>
        <v>627.0423902883344</v>
      </c>
    </row>
    <row r="119" spans="2:13" ht="12.75">
      <c r="B119" s="5" t="s">
        <v>127</v>
      </c>
      <c r="C119" s="5" t="s">
        <v>193</v>
      </c>
      <c r="D119" s="5" t="s">
        <v>31</v>
      </c>
      <c r="E119" s="5" t="s">
        <v>15</v>
      </c>
      <c r="G119" s="67">
        <f t="shared" si="3"/>
        <v>8208.219178082192</v>
      </c>
      <c r="H119" s="6"/>
      <c r="I119" s="67">
        <f t="shared" si="3"/>
        <v>17754.228855721394</v>
      </c>
      <c r="J119" s="6"/>
      <c r="K119" s="67">
        <f>K99*(21-7)/(21-K$104)</f>
        <v>17550.07299270073</v>
      </c>
      <c r="L119" s="6"/>
      <c r="M119" s="47">
        <f t="shared" si="2"/>
        <v>14504.173675501437</v>
      </c>
    </row>
    <row r="120" spans="2:13" ht="12.75">
      <c r="B120" s="62" t="s">
        <v>195</v>
      </c>
      <c r="C120" s="5" t="s">
        <v>194</v>
      </c>
      <c r="D120" s="5" t="s">
        <v>31</v>
      </c>
      <c r="E120" s="5" t="s">
        <v>15</v>
      </c>
      <c r="G120" s="48">
        <f>G100*(21-7)/(21-G$110)</f>
        <v>12.054794520547944</v>
      </c>
      <c r="H120" s="20"/>
      <c r="I120" s="48">
        <f>I100*(21-7)/(21-I$110)</f>
        <v>23.862472567666423</v>
      </c>
      <c r="J120" s="20"/>
      <c r="K120" s="48">
        <f>K100*(21-7)/(21-K$110)</f>
        <v>24.72992700729927</v>
      </c>
      <c r="L120" s="20"/>
      <c r="M120" s="2">
        <f t="shared" si="2"/>
        <v>20.215731365171212</v>
      </c>
    </row>
    <row r="121" spans="2:13" ht="12.75">
      <c r="B121" s="5" t="s">
        <v>32</v>
      </c>
      <c r="C121" s="5" t="s">
        <v>193</v>
      </c>
      <c r="D121" s="5" t="s">
        <v>31</v>
      </c>
      <c r="E121" s="5" t="s">
        <v>15</v>
      </c>
      <c r="G121" s="67">
        <f>G119+G117</f>
        <v>8275.616438356165</v>
      </c>
      <c r="H121" s="67"/>
      <c r="I121" s="67">
        <f>I119+I117</f>
        <v>17850.34825870647</v>
      </c>
      <c r="J121" s="67"/>
      <c r="K121" s="67">
        <f>K119+K117</f>
        <v>17622.423357664233</v>
      </c>
      <c r="L121" s="67"/>
      <c r="M121" s="47">
        <f t="shared" si="2"/>
        <v>14582.796018242288</v>
      </c>
    </row>
    <row r="122" spans="2:13" ht="12.75">
      <c r="B122" s="5" t="s">
        <v>33</v>
      </c>
      <c r="C122" s="5" t="s">
        <v>193</v>
      </c>
      <c r="D122" s="5" t="s">
        <v>31</v>
      </c>
      <c r="E122" s="5" t="s">
        <v>15</v>
      </c>
      <c r="G122" s="66">
        <f>G116+G118</f>
        <v>599.5433789954337</v>
      </c>
      <c r="H122" s="66"/>
      <c r="I122" s="66">
        <f>I116+I118</f>
        <v>861.7910447761194</v>
      </c>
      <c r="J122" s="66"/>
      <c r="K122" s="66">
        <f>K116+K118</f>
        <v>766.4233576642337</v>
      </c>
      <c r="L122" s="66"/>
      <c r="M122" s="2">
        <f t="shared" si="2"/>
        <v>742.5859271452623</v>
      </c>
    </row>
    <row r="123" spans="7:12" ht="12.75">
      <c r="G123" s="22"/>
      <c r="K123" s="22"/>
      <c r="L123" s="22"/>
    </row>
    <row r="124" spans="7:12" ht="12.75">
      <c r="G124" s="22"/>
      <c r="K124" s="22"/>
      <c r="L124" s="22"/>
    </row>
    <row r="125" spans="7:12" ht="12.75">
      <c r="G125" s="22"/>
      <c r="K125" s="22"/>
      <c r="L125" s="22"/>
    </row>
    <row r="126" spans="7:12" ht="12.75">
      <c r="G126" s="22"/>
      <c r="K126" s="22"/>
      <c r="L126" s="22"/>
    </row>
    <row r="127" spans="7:12" ht="12.75">
      <c r="G127" s="22"/>
      <c r="K127" s="22"/>
      <c r="L127" s="22"/>
    </row>
    <row r="128" spans="7:12" ht="12.75">
      <c r="G128" s="22"/>
      <c r="K128" s="22"/>
      <c r="L128" s="22"/>
    </row>
    <row r="129" spans="7:12" ht="12.75">
      <c r="G129" s="22"/>
      <c r="K129" s="22"/>
      <c r="L129" s="22"/>
    </row>
    <row r="131" spans="7:12" ht="12.75">
      <c r="G131" s="22"/>
      <c r="K131" s="22"/>
      <c r="L131" s="2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18"/>
  <sheetViews>
    <sheetView workbookViewId="0" topLeftCell="B1">
      <selection activeCell="C1" sqref="C1"/>
    </sheetView>
  </sheetViews>
  <sheetFormatPr defaultColWidth="9.140625" defaultRowHeight="12.75"/>
  <cols>
    <col min="1" max="1" width="0.2890625" style="0" hidden="1" customWidth="1"/>
    <col min="2" max="2" width="18.28125" style="0" customWidth="1"/>
    <col min="3" max="3" width="8.00390625" style="0" customWidth="1"/>
    <col min="5" max="5" width="3.7109375" style="0" customWidth="1"/>
    <col min="6" max="6" width="2.00390625" style="0" customWidth="1"/>
    <col min="8" max="8" width="1.8515625" style="0" customWidth="1"/>
    <col min="10" max="10" width="2.421875" style="0" customWidth="1"/>
    <col min="12" max="12" width="2.140625" style="0" customWidth="1"/>
    <col min="14" max="14" width="2.421875" style="0" hidden="1" customWidth="1"/>
    <col min="15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3" t="s">
        <v>191</v>
      </c>
    </row>
    <row r="2" ht="12.75">
      <c r="B2" s="3"/>
    </row>
    <row r="3" ht="12.75">
      <c r="B3" s="3"/>
    </row>
    <row r="4" spans="2:13" ht="12.75">
      <c r="B4" s="3" t="s">
        <v>97</v>
      </c>
      <c r="G4" s="60" t="s">
        <v>171</v>
      </c>
      <c r="H4" s="60"/>
      <c r="I4" s="60" t="s">
        <v>172</v>
      </c>
      <c r="J4" s="60"/>
      <c r="K4" s="60" t="s">
        <v>173</v>
      </c>
      <c r="L4" s="60"/>
      <c r="M4" s="60" t="s">
        <v>174</v>
      </c>
    </row>
    <row r="6" spans="1:24" s="52" customFormat="1" ht="12.75">
      <c r="A6" s="52" t="s">
        <v>97</v>
      </c>
      <c r="B6" s="52" t="s">
        <v>13</v>
      </c>
      <c r="C6" s="52" t="s">
        <v>193</v>
      </c>
      <c r="D6" s="52" t="s">
        <v>14</v>
      </c>
      <c r="E6" s="52" t="s">
        <v>15</v>
      </c>
      <c r="F6" s="53" t="s">
        <v>175</v>
      </c>
      <c r="G6" s="54">
        <v>0.07400073408</v>
      </c>
      <c r="H6" s="54" t="s">
        <v>175</v>
      </c>
      <c r="I6" s="54">
        <v>0.12500124</v>
      </c>
      <c r="J6" s="54" t="s">
        <v>175</v>
      </c>
      <c r="K6" s="54">
        <v>0.13800136896</v>
      </c>
      <c r="L6" s="54" t="s">
        <v>175</v>
      </c>
      <c r="M6" s="54">
        <f>AVERAGE(G6,I6,K6)</f>
        <v>0.11233444768</v>
      </c>
      <c r="N6" s="54" t="s">
        <v>175</v>
      </c>
      <c r="O6" s="54"/>
      <c r="P6" s="54" t="s">
        <v>175</v>
      </c>
      <c r="Q6" s="54"/>
      <c r="R6" s="54" t="s">
        <v>175</v>
      </c>
      <c r="S6" s="54"/>
      <c r="T6" s="54" t="s">
        <v>175</v>
      </c>
      <c r="U6" s="54"/>
      <c r="V6" s="53" t="s">
        <v>175</v>
      </c>
      <c r="W6" s="53"/>
      <c r="X6" s="52">
        <v>0.11233444768000002</v>
      </c>
    </row>
    <row r="7" spans="1:24" s="52" customFormat="1" ht="12.75">
      <c r="A7" s="52" t="s">
        <v>97</v>
      </c>
      <c r="B7" s="52" t="s">
        <v>67</v>
      </c>
      <c r="C7" s="52" t="s">
        <v>193</v>
      </c>
      <c r="D7" s="52" t="s">
        <v>16</v>
      </c>
      <c r="E7" s="52" t="s">
        <v>15</v>
      </c>
      <c r="F7" s="53" t="s">
        <v>175</v>
      </c>
      <c r="G7" s="55">
        <v>5036.585365853659</v>
      </c>
      <c r="H7" s="55" t="s">
        <v>175</v>
      </c>
      <c r="I7" s="55">
        <v>4967.741935483871</v>
      </c>
      <c r="J7" s="55" t="s">
        <v>175</v>
      </c>
      <c r="K7" s="55">
        <v>4962.0253164557</v>
      </c>
      <c r="L7" s="53" t="s">
        <v>175</v>
      </c>
      <c r="M7" s="55">
        <f>AVERAGE(G7,I7,K7)</f>
        <v>4988.784205931076</v>
      </c>
      <c r="N7" s="53" t="s">
        <v>175</v>
      </c>
      <c r="O7" s="53"/>
      <c r="P7" s="53" t="s">
        <v>175</v>
      </c>
      <c r="Q7" s="53"/>
      <c r="R7" s="53" t="s">
        <v>175</v>
      </c>
      <c r="S7" s="53"/>
      <c r="T7" s="53" t="s">
        <v>175</v>
      </c>
      <c r="U7" s="53"/>
      <c r="V7" s="53" t="s">
        <v>175</v>
      </c>
      <c r="W7" s="53"/>
      <c r="X7" s="52">
        <v>4988.784205931076</v>
      </c>
    </row>
    <row r="8" spans="1:24" s="52" customFormat="1" ht="12.75">
      <c r="A8" s="52" t="s">
        <v>97</v>
      </c>
      <c r="B8" s="52" t="s">
        <v>24</v>
      </c>
      <c r="C8" s="52" t="s">
        <v>193</v>
      </c>
      <c r="D8" s="52" t="s">
        <v>16</v>
      </c>
      <c r="E8" s="52" t="s">
        <v>15</v>
      </c>
      <c r="F8" s="53" t="s">
        <v>175</v>
      </c>
      <c r="G8" s="55">
        <v>35.778032005615</v>
      </c>
      <c r="H8" s="55" t="s">
        <v>175</v>
      </c>
      <c r="I8" s="55">
        <v>32.28605162534334</v>
      </c>
      <c r="J8" s="55" t="s">
        <v>175</v>
      </c>
      <c r="K8" s="55">
        <v>31.215776309693826</v>
      </c>
      <c r="L8" s="53" t="s">
        <v>175</v>
      </c>
      <c r="M8" s="55">
        <f>AVERAGE(G8,I8,K8)</f>
        <v>33.09328664688406</v>
      </c>
      <c r="N8" s="53" t="s">
        <v>175</v>
      </c>
      <c r="O8" s="53"/>
      <c r="P8" s="53" t="s">
        <v>175</v>
      </c>
      <c r="Q8" s="53"/>
      <c r="R8" s="53" t="s">
        <v>175</v>
      </c>
      <c r="S8" s="53"/>
      <c r="T8" s="53" t="s">
        <v>175</v>
      </c>
      <c r="U8" s="53"/>
      <c r="V8" s="53" t="s">
        <v>175</v>
      </c>
      <c r="W8" s="53"/>
      <c r="X8" s="52">
        <v>33.09328664688406</v>
      </c>
    </row>
    <row r="9" spans="2:23" s="52" customFormat="1" ht="12.75">
      <c r="B9" s="52" t="s">
        <v>65</v>
      </c>
      <c r="C9" s="52" t="s">
        <v>193</v>
      </c>
      <c r="D9" s="52" t="s">
        <v>16</v>
      </c>
      <c r="E9" s="52" t="s">
        <v>15</v>
      </c>
      <c r="F9" s="53"/>
      <c r="G9" s="55">
        <f>G8</f>
        <v>35.778032005615</v>
      </c>
      <c r="H9" s="55"/>
      <c r="I9" s="55">
        <f>I8</f>
        <v>32.28605162534334</v>
      </c>
      <c r="J9" s="55"/>
      <c r="K9" s="55">
        <f>K8</f>
        <v>31.215776309693826</v>
      </c>
      <c r="L9" s="53"/>
      <c r="M9" s="55">
        <f>AVERAGE(G9,I9,K9)</f>
        <v>33.09328664688406</v>
      </c>
      <c r="N9" s="53"/>
      <c r="O9" s="53"/>
      <c r="P9" s="53"/>
      <c r="Q9" s="53"/>
      <c r="R9" s="53"/>
      <c r="S9" s="53"/>
      <c r="T9" s="53"/>
      <c r="U9" s="53"/>
      <c r="V9" s="53"/>
      <c r="W9" s="53"/>
    </row>
    <row r="11" spans="2:4" ht="12.75">
      <c r="B11" t="s">
        <v>57</v>
      </c>
      <c r="C11" s="52" t="s">
        <v>176</v>
      </c>
      <c r="D11" t="s">
        <v>193</v>
      </c>
    </row>
    <row r="12" spans="2:63" s="52" customFormat="1" ht="12.75">
      <c r="B12" s="5" t="s">
        <v>52</v>
      </c>
      <c r="C12" s="5"/>
      <c r="D12" s="5" t="s">
        <v>17</v>
      </c>
      <c r="G12" s="55">
        <v>9474</v>
      </c>
      <c r="H12" s="55"/>
      <c r="I12" s="55">
        <v>9148</v>
      </c>
      <c r="J12" s="55"/>
      <c r="K12" s="55">
        <v>9282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</row>
    <row r="13" spans="2:63" s="52" customFormat="1" ht="12.75">
      <c r="B13" s="5" t="s">
        <v>55</v>
      </c>
      <c r="C13" s="5"/>
      <c r="D13" s="5" t="s">
        <v>18</v>
      </c>
      <c r="G13" s="55">
        <v>4.6</v>
      </c>
      <c r="H13" s="55"/>
      <c r="I13" s="55">
        <v>5.5</v>
      </c>
      <c r="J13" s="55"/>
      <c r="K13" s="55">
        <v>5.2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</row>
    <row r="14" spans="1:63" s="52" customFormat="1" ht="12.75">
      <c r="A14" s="52" t="s">
        <v>97</v>
      </c>
      <c r="B14" s="5" t="s">
        <v>56</v>
      </c>
      <c r="C14" s="5"/>
      <c r="D14" s="5" t="s">
        <v>18</v>
      </c>
      <c r="G14" s="55">
        <v>53.9</v>
      </c>
      <c r="H14" s="55"/>
      <c r="I14" s="55">
        <v>53.8</v>
      </c>
      <c r="J14" s="55"/>
      <c r="K14" s="55">
        <v>52.6</v>
      </c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</row>
    <row r="15" spans="2:63" s="52" customFormat="1" ht="12.75">
      <c r="B15" s="5" t="s">
        <v>51</v>
      </c>
      <c r="C15" s="5"/>
      <c r="D15" s="5" t="s">
        <v>19</v>
      </c>
      <c r="G15" s="55">
        <v>181</v>
      </c>
      <c r="H15" s="55"/>
      <c r="I15" s="55">
        <v>181</v>
      </c>
      <c r="J15" s="55"/>
      <c r="K15" s="55">
        <v>180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</row>
    <row r="17" spans="1:57" s="56" customFormat="1" ht="12.75">
      <c r="A17" s="56" t="s">
        <v>97</v>
      </c>
      <c r="B17" s="56" t="s">
        <v>177</v>
      </c>
      <c r="C17" s="56" t="s">
        <v>193</v>
      </c>
      <c r="D17" s="56" t="s">
        <v>18</v>
      </c>
      <c r="G17" s="57">
        <v>99.999966</v>
      </c>
      <c r="H17" s="57"/>
      <c r="I17" s="57">
        <v>99.99998</v>
      </c>
      <c r="J17" s="57"/>
      <c r="K17" s="57">
        <v>99.999975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</row>
    <row r="18" spans="1:57" s="56" customFormat="1" ht="12.75">
      <c r="A18" s="56" t="s">
        <v>97</v>
      </c>
      <c r="B18" s="56" t="s">
        <v>178</v>
      </c>
      <c r="C18" s="56" t="s">
        <v>193</v>
      </c>
      <c r="D18" s="56" t="s">
        <v>18</v>
      </c>
      <c r="G18" s="57">
        <v>99.99988</v>
      </c>
      <c r="H18" s="57"/>
      <c r="I18" s="57">
        <v>99.99907</v>
      </c>
      <c r="J18" s="57"/>
      <c r="K18" s="57">
        <v>99.99907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116"/>
  <sheetViews>
    <sheetView workbookViewId="0" topLeftCell="B1">
      <selection activeCell="C1" sqref="C1"/>
    </sheetView>
  </sheetViews>
  <sheetFormatPr defaultColWidth="9.140625" defaultRowHeight="12.75"/>
  <cols>
    <col min="1" max="1" width="2.28125" style="24" hidden="1" customWidth="1"/>
    <col min="2" max="2" width="23.57421875" style="7" customWidth="1"/>
    <col min="3" max="3" width="6.421875" style="7" customWidth="1"/>
    <col min="4" max="4" width="12.421875" style="7" customWidth="1"/>
    <col min="5" max="5" width="4.28125" style="7" customWidth="1"/>
    <col min="6" max="6" width="11.140625" style="24" customWidth="1"/>
    <col min="7" max="7" width="4.140625" style="24" customWidth="1"/>
    <col min="8" max="8" width="9.7109375" style="24" customWidth="1"/>
    <col min="9" max="9" width="3.8515625" style="24" customWidth="1"/>
    <col min="10" max="10" width="11.140625" style="24" customWidth="1"/>
    <col min="11" max="11" width="4.28125" style="24" customWidth="1"/>
    <col min="12" max="12" width="10.421875" style="24" customWidth="1"/>
    <col min="13" max="13" width="3.7109375" style="24" customWidth="1"/>
    <col min="14" max="14" width="9.28125" style="24" customWidth="1"/>
    <col min="15" max="15" width="2.8515625" style="24" customWidth="1"/>
    <col min="16" max="16" width="8.7109375" style="24" customWidth="1"/>
    <col min="17" max="17" width="4.00390625" style="24" customWidth="1"/>
    <col min="18" max="18" width="9.00390625" style="24" customWidth="1"/>
    <col min="19" max="19" width="2.8515625" style="24" customWidth="1"/>
    <col min="20" max="20" width="10.28125" style="24" customWidth="1"/>
    <col min="21" max="21" width="3.7109375" style="24" customWidth="1"/>
    <col min="22" max="22" width="12.7109375" style="24" customWidth="1"/>
    <col min="23" max="23" width="3.421875" style="24" customWidth="1"/>
    <col min="24" max="24" width="12.7109375" style="24" customWidth="1"/>
    <col min="25" max="25" width="3.8515625" style="24" customWidth="1"/>
    <col min="26" max="26" width="12.7109375" style="24" customWidth="1"/>
    <col min="27" max="27" width="4.00390625" style="24" customWidth="1"/>
    <col min="28" max="28" width="12.7109375" style="24" customWidth="1"/>
    <col min="29" max="29" width="3.7109375" style="24" customWidth="1"/>
    <col min="30" max="30" width="11.57421875" style="24" customWidth="1"/>
    <col min="31" max="31" width="3.7109375" style="24" customWidth="1"/>
    <col min="32" max="32" width="9.57421875" style="24" customWidth="1"/>
    <col min="33" max="33" width="4.00390625" style="24" customWidth="1"/>
    <col min="34" max="34" width="9.8515625" style="24" customWidth="1"/>
    <col min="35" max="35" width="4.140625" style="24" customWidth="1"/>
    <col min="36" max="36" width="11.140625" style="24" customWidth="1"/>
    <col min="37" max="37" width="2.421875" style="24" customWidth="1"/>
    <col min="38" max="38" width="12.00390625" style="24" customWidth="1"/>
    <col min="39" max="39" width="2.421875" style="24" customWidth="1"/>
    <col min="40" max="40" width="11.421875" style="24" customWidth="1"/>
    <col min="41" max="41" width="2.28125" style="24" customWidth="1"/>
    <col min="42" max="42" width="11.421875" style="24" bestFit="1" customWidth="1"/>
    <col min="43" max="43" width="2.421875" style="24" customWidth="1"/>
    <col min="44" max="44" width="11.421875" style="24" bestFit="1" customWidth="1"/>
    <col min="45" max="45" width="4.57421875" style="24" customWidth="1"/>
    <col min="46" max="46" width="10.421875" style="24" customWidth="1"/>
    <col min="47" max="47" width="4.28125" style="24" customWidth="1"/>
    <col min="48" max="48" width="10.00390625" style="24" customWidth="1"/>
    <col min="49" max="49" width="3.7109375" style="24" customWidth="1"/>
    <col min="50" max="50" width="10.28125" style="24" customWidth="1"/>
    <col min="51" max="51" width="4.00390625" style="24" customWidth="1"/>
    <col min="52" max="52" width="9.28125" style="24" customWidth="1"/>
    <col min="53" max="53" width="3.421875" style="24" customWidth="1"/>
    <col min="54" max="54" width="14.28125" style="24" customWidth="1"/>
    <col min="55" max="55" width="2.8515625" style="24" customWidth="1"/>
    <col min="56" max="56" width="10.8515625" style="24" customWidth="1"/>
    <col min="57" max="57" width="3.140625" style="24" customWidth="1"/>
    <col min="58" max="58" width="10.57421875" style="24" customWidth="1"/>
    <col min="59" max="59" width="2.8515625" style="24" customWidth="1"/>
    <col min="60" max="60" width="12.421875" style="24" customWidth="1"/>
    <col min="61" max="61" width="3.00390625" style="24" customWidth="1"/>
    <col min="62" max="62" width="10.421875" style="24" customWidth="1"/>
    <col min="63" max="63" width="2.7109375" style="24" customWidth="1"/>
    <col min="64" max="64" width="8.8515625" style="24" customWidth="1"/>
    <col min="65" max="65" width="1.57421875" style="24" customWidth="1"/>
    <col min="66" max="66" width="8.8515625" style="24" customWidth="1"/>
    <col min="67" max="67" width="2.140625" style="24" customWidth="1"/>
    <col min="68" max="16384" width="8.8515625" style="24" customWidth="1"/>
  </cols>
  <sheetData>
    <row r="1" spans="2:3" ht="12.75">
      <c r="B1" s="23" t="s">
        <v>192</v>
      </c>
      <c r="C1" s="23"/>
    </row>
    <row r="3" spans="1:44" ht="12.75">
      <c r="A3" s="24" t="s">
        <v>59</v>
      </c>
      <c r="B3" s="23" t="s">
        <v>156</v>
      </c>
      <c r="C3" s="23" t="s">
        <v>58</v>
      </c>
      <c r="F3" s="26" t="s">
        <v>171</v>
      </c>
      <c r="G3" s="26"/>
      <c r="H3" s="26" t="s">
        <v>172</v>
      </c>
      <c r="I3" s="26"/>
      <c r="J3" s="26" t="s">
        <v>173</v>
      </c>
      <c r="K3" s="26"/>
      <c r="L3" s="26" t="s">
        <v>174</v>
      </c>
      <c r="M3" s="26"/>
      <c r="N3" s="26" t="s">
        <v>171</v>
      </c>
      <c r="O3" s="26"/>
      <c r="P3" s="26" t="s">
        <v>172</v>
      </c>
      <c r="Q3" s="26"/>
      <c r="R3" s="26" t="s">
        <v>173</v>
      </c>
      <c r="S3" s="26"/>
      <c r="T3" s="26" t="s">
        <v>174</v>
      </c>
      <c r="U3" s="26"/>
      <c r="V3" s="26" t="s">
        <v>171</v>
      </c>
      <c r="W3" s="26"/>
      <c r="X3" s="26" t="s">
        <v>172</v>
      </c>
      <c r="Y3" s="26"/>
      <c r="Z3" s="26" t="s">
        <v>173</v>
      </c>
      <c r="AA3" s="26"/>
      <c r="AB3" s="26" t="s">
        <v>174</v>
      </c>
      <c r="AC3" s="26"/>
      <c r="AD3" s="26" t="s">
        <v>171</v>
      </c>
      <c r="AE3" s="26"/>
      <c r="AF3" s="26" t="s">
        <v>172</v>
      </c>
      <c r="AG3" s="26"/>
      <c r="AH3" s="26" t="s">
        <v>173</v>
      </c>
      <c r="AI3" s="26"/>
      <c r="AJ3" s="26" t="s">
        <v>174</v>
      </c>
      <c r="AK3" s="26"/>
      <c r="AL3" s="26" t="s">
        <v>171</v>
      </c>
      <c r="AM3" s="26"/>
      <c r="AN3" s="26" t="s">
        <v>172</v>
      </c>
      <c r="AO3" s="26"/>
      <c r="AP3" s="26" t="s">
        <v>173</v>
      </c>
      <c r="AQ3" s="26"/>
      <c r="AR3" s="26" t="s">
        <v>174</v>
      </c>
    </row>
    <row r="5" spans="2:44" ht="12.75">
      <c r="B5" s="7" t="s">
        <v>211</v>
      </c>
      <c r="F5" s="24" t="s">
        <v>213</v>
      </c>
      <c r="H5" s="24" t="s">
        <v>213</v>
      </c>
      <c r="J5" s="24" t="s">
        <v>213</v>
      </c>
      <c r="L5" s="24" t="s">
        <v>213</v>
      </c>
      <c r="N5" s="24" t="s">
        <v>215</v>
      </c>
      <c r="P5" s="24" t="s">
        <v>215</v>
      </c>
      <c r="R5" s="24" t="s">
        <v>215</v>
      </c>
      <c r="T5" s="24" t="s">
        <v>215</v>
      </c>
      <c r="AD5" s="24" t="s">
        <v>216</v>
      </c>
      <c r="AF5" s="24" t="s">
        <v>216</v>
      </c>
      <c r="AH5" s="24" t="s">
        <v>216</v>
      </c>
      <c r="AJ5" s="24" t="s">
        <v>216</v>
      </c>
      <c r="AL5" s="24" t="s">
        <v>218</v>
      </c>
      <c r="AN5" s="24" t="s">
        <v>218</v>
      </c>
      <c r="AP5" s="24" t="s">
        <v>218</v>
      </c>
      <c r="AR5" s="24" t="s">
        <v>218</v>
      </c>
    </row>
    <row r="6" spans="2:44" ht="12.75">
      <c r="B6" s="7" t="s">
        <v>212</v>
      </c>
      <c r="F6" s="24" t="s">
        <v>214</v>
      </c>
      <c r="H6" s="24" t="s">
        <v>214</v>
      </c>
      <c r="J6" s="24" t="s">
        <v>214</v>
      </c>
      <c r="L6" s="24" t="s">
        <v>214</v>
      </c>
      <c r="N6" s="24" t="s">
        <v>214</v>
      </c>
      <c r="P6" s="24" t="s">
        <v>214</v>
      </c>
      <c r="R6" s="24" t="s">
        <v>214</v>
      </c>
      <c r="T6" s="24" t="s">
        <v>214</v>
      </c>
      <c r="AD6" s="24" t="s">
        <v>217</v>
      </c>
      <c r="AF6" s="24" t="s">
        <v>217</v>
      </c>
      <c r="AH6" s="24" t="s">
        <v>217</v>
      </c>
      <c r="AJ6" s="24" t="s">
        <v>217</v>
      </c>
      <c r="AL6" s="24" t="s">
        <v>20</v>
      </c>
      <c r="AN6" s="24" t="s">
        <v>20</v>
      </c>
      <c r="AP6" s="24" t="s">
        <v>20</v>
      </c>
      <c r="AR6" s="24" t="s">
        <v>20</v>
      </c>
    </row>
    <row r="7" spans="2:44" ht="12.75">
      <c r="B7" s="5" t="s">
        <v>223</v>
      </c>
      <c r="V7" s="24" t="s">
        <v>38</v>
      </c>
      <c r="X7" s="24" t="s">
        <v>38</v>
      </c>
      <c r="Z7" s="24" t="s">
        <v>38</v>
      </c>
      <c r="AB7" s="24" t="s">
        <v>38</v>
      </c>
      <c r="AD7" s="14" t="s">
        <v>224</v>
      </c>
      <c r="AF7" s="14" t="s">
        <v>224</v>
      </c>
      <c r="AH7" s="14" t="s">
        <v>224</v>
      </c>
      <c r="AJ7" s="14" t="s">
        <v>224</v>
      </c>
      <c r="AL7" s="14" t="s">
        <v>20</v>
      </c>
      <c r="AN7" s="14" t="s">
        <v>20</v>
      </c>
      <c r="AP7" s="14" t="s">
        <v>20</v>
      </c>
      <c r="AR7" s="14" t="s">
        <v>20</v>
      </c>
    </row>
    <row r="8" spans="2:52" s="43" customFormat="1" ht="12.75">
      <c r="B8" s="43" t="s">
        <v>21</v>
      </c>
      <c r="F8" s="44" t="s">
        <v>75</v>
      </c>
      <c r="G8" s="44"/>
      <c r="H8" s="44" t="s">
        <v>75</v>
      </c>
      <c r="I8" s="44"/>
      <c r="J8" s="44" t="s">
        <v>75</v>
      </c>
      <c r="K8" s="44"/>
      <c r="L8" s="44" t="s">
        <v>75</v>
      </c>
      <c r="M8" s="44"/>
      <c r="N8" s="44" t="s">
        <v>76</v>
      </c>
      <c r="O8" s="44"/>
      <c r="P8" s="44" t="s">
        <v>76</v>
      </c>
      <c r="Q8" s="44"/>
      <c r="R8" s="44" t="s">
        <v>76</v>
      </c>
      <c r="S8" s="44"/>
      <c r="T8" s="44" t="s">
        <v>76</v>
      </c>
      <c r="V8" s="44"/>
      <c r="X8" s="44"/>
      <c r="Z8" s="44"/>
      <c r="AB8" s="44"/>
      <c r="AD8" s="43" t="s">
        <v>102</v>
      </c>
      <c r="AF8" s="43" t="s">
        <v>102</v>
      </c>
      <c r="AH8" s="43" t="s">
        <v>102</v>
      </c>
      <c r="AJ8" s="43" t="s">
        <v>102</v>
      </c>
      <c r="AL8" s="45" t="s">
        <v>20</v>
      </c>
      <c r="AN8" s="45" t="s">
        <v>20</v>
      </c>
      <c r="AP8" s="45" t="s">
        <v>20</v>
      </c>
      <c r="AR8" s="45" t="s">
        <v>20</v>
      </c>
      <c r="AT8" s="45"/>
      <c r="AV8" s="45"/>
      <c r="AX8" s="45"/>
      <c r="AZ8" s="45"/>
    </row>
    <row r="9" spans="2:51" ht="12.75">
      <c r="B9" s="7" t="s">
        <v>61</v>
      </c>
      <c r="D9" s="7" t="s">
        <v>69</v>
      </c>
      <c r="F9" s="9">
        <v>5.8</v>
      </c>
      <c r="G9" s="9"/>
      <c r="H9" s="9">
        <v>5.6</v>
      </c>
      <c r="I9" s="9"/>
      <c r="J9" s="9">
        <v>5.6</v>
      </c>
      <c r="K9" s="9"/>
      <c r="L9" s="9"/>
      <c r="M9" s="9"/>
      <c r="N9" s="9">
        <v>14</v>
      </c>
      <c r="O9" s="9"/>
      <c r="P9" s="9">
        <v>14</v>
      </c>
      <c r="Q9" s="9"/>
      <c r="R9" s="9">
        <v>14</v>
      </c>
      <c r="S9" s="9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>
        <v>0.8</v>
      </c>
      <c r="AE9" s="27"/>
      <c r="AF9" s="27">
        <v>0.5</v>
      </c>
      <c r="AG9" s="27"/>
      <c r="AH9" s="27">
        <v>0.5</v>
      </c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2:52" ht="12.75">
      <c r="B10" s="7" t="s">
        <v>60</v>
      </c>
      <c r="D10" s="7" t="s">
        <v>29</v>
      </c>
      <c r="F10" s="9">
        <v>47</v>
      </c>
      <c r="G10" s="9"/>
      <c r="H10" s="9">
        <v>39</v>
      </c>
      <c r="I10" s="9"/>
      <c r="J10" s="9">
        <v>40</v>
      </c>
      <c r="K10" s="9"/>
      <c r="L10" s="30"/>
      <c r="M10" s="9"/>
      <c r="N10" s="29">
        <f>N9*3785*60*N12/454*N11/1000000</f>
        <v>10.630681057268724</v>
      </c>
      <c r="O10" s="9"/>
      <c r="P10" s="29">
        <f>P9*3785*60*P12/454*P11/1000000</f>
        <v>8.85890088105727</v>
      </c>
      <c r="Q10" s="9"/>
      <c r="R10" s="29">
        <f>R9*3785*60*R12/454*R11/1000000</f>
        <v>9.167036563876653</v>
      </c>
      <c r="S10" s="9"/>
      <c r="T10" s="30"/>
      <c r="U10" s="27"/>
      <c r="V10" s="30"/>
      <c r="W10" s="27"/>
      <c r="X10" s="30"/>
      <c r="Y10" s="27"/>
      <c r="Z10" s="30"/>
      <c r="AA10" s="27"/>
      <c r="AB10" s="30"/>
      <c r="AC10" s="27"/>
      <c r="AD10" s="29">
        <f>AD9*3785*60*AD12/454*AD11/1000000</f>
        <v>6.652449303964756</v>
      </c>
      <c r="AE10" s="27"/>
      <c r="AF10" s="29">
        <f>AF9*3785*60*AF12/454*AF11/1000000</f>
        <v>4.147026079295154</v>
      </c>
      <c r="AG10" s="27"/>
      <c r="AH10" s="29">
        <f>AH9*3785*60*AH12/454*AH11/1000000</f>
        <v>4.138422290748898</v>
      </c>
      <c r="AI10" s="27"/>
      <c r="AJ10" s="30"/>
      <c r="AK10" s="27"/>
      <c r="AL10" s="27">
        <f>F10+N10+AD10</f>
        <v>64.28313036123348</v>
      </c>
      <c r="AM10" s="27"/>
      <c r="AN10" s="27">
        <f>H10+P10+AF10</f>
        <v>52.00592696035242</v>
      </c>
      <c r="AO10" s="27"/>
      <c r="AP10" s="27">
        <f>J10+R10+AH10</f>
        <v>53.30545885462555</v>
      </c>
      <c r="AQ10" s="27"/>
      <c r="AR10" s="29">
        <f>AVERAGE(AL10,AN10,AP10)</f>
        <v>56.53150539207048</v>
      </c>
      <c r="AS10" s="27"/>
      <c r="AT10" s="27"/>
      <c r="AV10" s="27"/>
      <c r="AX10" s="27"/>
      <c r="AZ10" s="27"/>
    </row>
    <row r="11" spans="2:51" ht="12.75">
      <c r="B11" s="7" t="s">
        <v>77</v>
      </c>
      <c r="D11" s="7" t="s">
        <v>78</v>
      </c>
      <c r="F11" s="9">
        <v>10950</v>
      </c>
      <c r="G11" s="9"/>
      <c r="H11" s="9">
        <v>10270</v>
      </c>
      <c r="I11" s="9"/>
      <c r="J11" s="9">
        <v>10480</v>
      </c>
      <c r="K11" s="9"/>
      <c r="L11" s="9"/>
      <c r="M11" s="9"/>
      <c r="N11" s="9">
        <v>1380</v>
      </c>
      <c r="O11" s="9"/>
      <c r="P11" s="9">
        <v>1150</v>
      </c>
      <c r="Q11" s="9"/>
      <c r="R11" s="9">
        <v>1190</v>
      </c>
      <c r="S11" s="9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>
        <v>19330</v>
      </c>
      <c r="AE11" s="27"/>
      <c r="AF11" s="27">
        <v>19280</v>
      </c>
      <c r="AG11" s="27"/>
      <c r="AH11" s="27">
        <v>19240</v>
      </c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</row>
    <row r="12" spans="2:51" ht="12.75">
      <c r="B12" s="7" t="s">
        <v>104</v>
      </c>
      <c r="D12" s="7" t="s">
        <v>105</v>
      </c>
      <c r="F12" s="9">
        <v>0.92</v>
      </c>
      <c r="G12" s="9"/>
      <c r="H12" s="9">
        <v>0.92</v>
      </c>
      <c r="I12" s="9"/>
      <c r="J12" s="9">
        <v>0.92</v>
      </c>
      <c r="K12" s="9"/>
      <c r="L12" s="9"/>
      <c r="M12" s="9"/>
      <c r="N12" s="9">
        <v>1.1</v>
      </c>
      <c r="O12" s="9"/>
      <c r="P12" s="9">
        <v>1.1</v>
      </c>
      <c r="Q12" s="9"/>
      <c r="R12" s="9">
        <v>1.1</v>
      </c>
      <c r="S12" s="9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>
        <v>0.86</v>
      </c>
      <c r="AE12" s="27"/>
      <c r="AF12" s="27">
        <v>0.86</v>
      </c>
      <c r="AG12" s="27"/>
      <c r="AH12" s="27">
        <v>0.86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2:51" ht="12.75">
      <c r="B13" s="7" t="s">
        <v>79</v>
      </c>
      <c r="D13" s="7" t="s">
        <v>103</v>
      </c>
      <c r="F13" s="24">
        <v>30</v>
      </c>
      <c r="H13" s="24">
        <v>29</v>
      </c>
      <c r="J13" s="24">
        <v>30</v>
      </c>
      <c r="K13" s="9"/>
      <c r="L13" s="9"/>
      <c r="M13" s="9"/>
      <c r="N13" s="9">
        <v>28</v>
      </c>
      <c r="O13" s="9"/>
      <c r="P13" s="9">
        <v>29</v>
      </c>
      <c r="Q13" s="9"/>
      <c r="R13" s="9">
        <v>28</v>
      </c>
      <c r="S13" s="9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>
        <v>34</v>
      </c>
      <c r="AE13" s="27"/>
      <c r="AF13" s="27">
        <v>35</v>
      </c>
      <c r="AG13" s="27"/>
      <c r="AH13" s="27">
        <v>35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</row>
    <row r="14" spans="2:51" ht="12.75">
      <c r="B14" s="7" t="s">
        <v>22</v>
      </c>
      <c r="D14" s="7" t="s">
        <v>18</v>
      </c>
      <c r="E14" s="7" t="s">
        <v>63</v>
      </c>
      <c r="F14" s="24">
        <v>0.1</v>
      </c>
      <c r="G14" s="24" t="s">
        <v>63</v>
      </c>
      <c r="H14" s="24">
        <v>0.1</v>
      </c>
      <c r="I14" s="24" t="s">
        <v>63</v>
      </c>
      <c r="J14" s="24">
        <v>0.1</v>
      </c>
      <c r="K14" s="9"/>
      <c r="L14" s="9"/>
      <c r="M14" s="9"/>
      <c r="N14" s="9">
        <v>8.3</v>
      </c>
      <c r="O14" s="9"/>
      <c r="P14" s="9">
        <v>8</v>
      </c>
      <c r="Q14" s="9"/>
      <c r="R14" s="9">
        <v>8</v>
      </c>
      <c r="S14" s="9"/>
      <c r="T14" s="27"/>
      <c r="V14" s="27"/>
      <c r="W14" s="7"/>
      <c r="X14" s="27"/>
      <c r="Y14" s="7"/>
      <c r="Z14" s="27"/>
      <c r="AA14" s="7"/>
      <c r="AB14" s="27"/>
      <c r="AC14" s="7" t="s">
        <v>63</v>
      </c>
      <c r="AD14" s="24">
        <v>0.1</v>
      </c>
      <c r="AE14" s="24" t="s">
        <v>63</v>
      </c>
      <c r="AF14" s="24">
        <v>0.1</v>
      </c>
      <c r="AG14" s="24" t="s">
        <v>63</v>
      </c>
      <c r="AH14" s="24">
        <v>0.1</v>
      </c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</row>
    <row r="15" spans="2:53" ht="12.75">
      <c r="B15" s="7" t="s">
        <v>23</v>
      </c>
      <c r="D15" s="7" t="s">
        <v>18</v>
      </c>
      <c r="F15" s="9">
        <v>15.1</v>
      </c>
      <c r="G15" s="9"/>
      <c r="H15" s="9">
        <v>15.2</v>
      </c>
      <c r="I15" s="9"/>
      <c r="J15" s="9">
        <v>15.7</v>
      </c>
      <c r="K15" s="9"/>
      <c r="L15" s="9"/>
      <c r="M15" s="9"/>
      <c r="N15" s="9">
        <v>4.1</v>
      </c>
      <c r="O15" s="9"/>
      <c r="P15" s="9">
        <v>3.9</v>
      </c>
      <c r="Q15" s="9"/>
      <c r="R15" s="9">
        <v>3.9</v>
      </c>
      <c r="S15" s="9"/>
      <c r="T15" s="9"/>
      <c r="V15" s="9"/>
      <c r="W15" s="7"/>
      <c r="X15" s="9"/>
      <c r="Y15" s="7"/>
      <c r="Z15" s="9"/>
      <c r="AA15" s="7"/>
      <c r="AB15" s="9"/>
      <c r="AC15" s="7" t="s">
        <v>63</v>
      </c>
      <c r="AD15" s="24">
        <v>0.1</v>
      </c>
      <c r="AE15" s="24" t="s">
        <v>63</v>
      </c>
      <c r="AF15" s="24">
        <v>0.1</v>
      </c>
      <c r="AG15" s="24" t="s">
        <v>63</v>
      </c>
      <c r="AH15" s="24">
        <v>0.1</v>
      </c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25"/>
    </row>
    <row r="16" spans="6:19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44" ht="12.75">
      <c r="B17" s="7" t="s">
        <v>34</v>
      </c>
      <c r="D17" s="7" t="s">
        <v>17</v>
      </c>
      <c r="F17" s="31">
        <f>'emiss 1'!$G$25</f>
        <v>9469.964664310954</v>
      </c>
      <c r="G17" s="31"/>
      <c r="H17" s="31">
        <f>'emiss 1'!$I$25</f>
        <v>9151.943462897527</v>
      </c>
      <c r="I17" s="31"/>
      <c r="J17" s="31">
        <f>'emiss 1'!$K$25</f>
        <v>9293.286219081272</v>
      </c>
      <c r="K17" s="31"/>
      <c r="L17" s="31">
        <f>'emiss 1'!$M$25</f>
        <v>9305.064782096584</v>
      </c>
      <c r="M17" s="31"/>
      <c r="N17" s="31">
        <f>'emiss 1'!$G$25</f>
        <v>9469.964664310954</v>
      </c>
      <c r="O17" s="31"/>
      <c r="P17" s="31">
        <f>'emiss 1'!$I$25</f>
        <v>9151.943462897527</v>
      </c>
      <c r="Q17" s="31"/>
      <c r="R17" s="31">
        <f>'emiss 1'!$K$25</f>
        <v>9293.286219081272</v>
      </c>
      <c r="S17" s="31"/>
      <c r="T17" s="31">
        <f>'emiss 1'!$M$25</f>
        <v>9305.064782096584</v>
      </c>
      <c r="U17" s="68"/>
      <c r="V17" s="31"/>
      <c r="W17" s="68"/>
      <c r="X17" s="31"/>
      <c r="Y17" s="68"/>
      <c r="Z17" s="31"/>
      <c r="AA17" s="68"/>
      <c r="AB17" s="31"/>
      <c r="AC17" s="68"/>
      <c r="AD17" s="31">
        <f>'emiss 1'!$G$25</f>
        <v>9469.964664310954</v>
      </c>
      <c r="AE17" s="31"/>
      <c r="AF17" s="31">
        <f>'emiss 1'!$I$25</f>
        <v>9151.943462897527</v>
      </c>
      <c r="AG17" s="31"/>
      <c r="AH17" s="31">
        <f>'emiss 1'!$K$25</f>
        <v>9293.286219081272</v>
      </c>
      <c r="AI17" s="31"/>
      <c r="AJ17" s="31">
        <f>'emiss 1'!$M$25</f>
        <v>9305.064782096584</v>
      </c>
      <c r="AK17" s="68"/>
      <c r="AL17" s="31">
        <f>'emiss 1'!$G$25</f>
        <v>9469.964664310954</v>
      </c>
      <c r="AM17" s="31"/>
      <c r="AN17" s="31">
        <f>'emiss 1'!$I$25</f>
        <v>9151.943462897527</v>
      </c>
      <c r="AO17" s="31"/>
      <c r="AP17" s="31">
        <f>'emiss 1'!$K$25</f>
        <v>9293.286219081272</v>
      </c>
      <c r="AQ17" s="9"/>
      <c r="AR17" s="29">
        <f>'emiss 1'!$M$25</f>
        <v>9305.064782096584</v>
      </c>
    </row>
    <row r="18" spans="2:44" ht="12.75">
      <c r="B18" s="7" t="s">
        <v>35</v>
      </c>
      <c r="D18" s="7" t="s">
        <v>18</v>
      </c>
      <c r="F18" s="9">
        <f>'emiss 1'!$G$26</f>
        <v>4.6</v>
      </c>
      <c r="G18" s="9"/>
      <c r="H18" s="9">
        <f>'emiss 1'!$I$26</f>
        <v>5.5</v>
      </c>
      <c r="I18" s="9"/>
      <c r="J18" s="9">
        <f>'emiss 1'!$K$26</f>
        <v>5.2</v>
      </c>
      <c r="K18" s="9"/>
      <c r="L18" s="29">
        <f>'emiss 1'!$M$26</f>
        <v>5.1</v>
      </c>
      <c r="M18" s="9"/>
      <c r="N18" s="9">
        <f>'emiss 1'!$G$26</f>
        <v>4.6</v>
      </c>
      <c r="O18" s="9"/>
      <c r="P18" s="9">
        <f>'emiss 1'!$I$26</f>
        <v>5.5</v>
      </c>
      <c r="Q18" s="9"/>
      <c r="R18" s="9">
        <f>'emiss 1'!$K$26</f>
        <v>5.2</v>
      </c>
      <c r="S18" s="9"/>
      <c r="T18" s="29">
        <f>'emiss 1'!$M$26</f>
        <v>5.1</v>
      </c>
      <c r="V18" s="29"/>
      <c r="X18" s="29"/>
      <c r="Z18" s="29"/>
      <c r="AB18" s="29"/>
      <c r="AD18" s="9">
        <f>'emiss 1'!$G$26</f>
        <v>4.6</v>
      </c>
      <c r="AE18" s="9"/>
      <c r="AF18" s="9">
        <f>'emiss 1'!$I$26</f>
        <v>5.5</v>
      </c>
      <c r="AG18" s="9"/>
      <c r="AH18" s="9">
        <f>'emiss 1'!$K$26</f>
        <v>5.2</v>
      </c>
      <c r="AI18" s="9"/>
      <c r="AJ18" s="29">
        <f>'emiss 1'!$M$26</f>
        <v>5.1</v>
      </c>
      <c r="AL18" s="9">
        <f>'emiss 1'!$G$26</f>
        <v>4.6</v>
      </c>
      <c r="AM18" s="9"/>
      <c r="AN18" s="9">
        <f>'emiss 1'!$I$26</f>
        <v>5.5</v>
      </c>
      <c r="AO18" s="9"/>
      <c r="AP18" s="9">
        <f>'emiss 1'!$K$26</f>
        <v>5.2</v>
      </c>
      <c r="AQ18" s="9"/>
      <c r="AR18" s="29">
        <f>'emiss 1'!$M$26</f>
        <v>5.1</v>
      </c>
    </row>
    <row r="19" spans="6:19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54" ht="12.75">
      <c r="B20" s="7" t="s">
        <v>226</v>
      </c>
      <c r="D20" s="7" t="s">
        <v>29</v>
      </c>
      <c r="F20" s="30"/>
      <c r="G20" s="9"/>
      <c r="H20" s="30"/>
      <c r="I20" s="9"/>
      <c r="J20" s="30"/>
      <c r="K20" s="9"/>
      <c r="L20" s="30"/>
      <c r="M20" s="9"/>
      <c r="N20" s="30"/>
      <c r="O20" s="9"/>
      <c r="P20" s="30"/>
      <c r="Q20" s="9"/>
      <c r="R20" s="30"/>
      <c r="S20" s="9"/>
      <c r="T20" s="30"/>
      <c r="V20" s="30"/>
      <c r="X20" s="30"/>
      <c r="Z20" s="30"/>
      <c r="AB20" s="30"/>
      <c r="AD20" s="30"/>
      <c r="AE20" s="9"/>
      <c r="AF20" s="30"/>
      <c r="AG20" s="9"/>
      <c r="AH20" s="30"/>
      <c r="AI20" s="9"/>
      <c r="AJ20" s="30"/>
      <c r="AL20" s="27">
        <f>AL17/150*(21-AL18)/21</f>
        <v>49.30394301419036</v>
      </c>
      <c r="AN20" s="27">
        <f>AN17/150*(21-AN18)/21</f>
        <v>45.033372595210054</v>
      </c>
      <c r="AP20" s="27">
        <f>AP17/150*(21-AP18)/21</f>
        <v>46.61394357507432</v>
      </c>
      <c r="AR20" s="27">
        <f>AR17/150*(21-AR18)/21</f>
        <v>46.9684222334399</v>
      </c>
      <c r="AZ20" s="27"/>
      <c r="BB20" s="8"/>
    </row>
    <row r="21" spans="6:54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AR21" s="28"/>
      <c r="BB21" s="8"/>
    </row>
    <row r="22" spans="2:54" ht="12.75">
      <c r="B22" s="35" t="s">
        <v>47</v>
      </c>
      <c r="C22" s="3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BB22" s="8"/>
    </row>
    <row r="23" spans="2:52" ht="12.75">
      <c r="B23" s="7" t="s">
        <v>22</v>
      </c>
      <c r="D23" s="7" t="s">
        <v>36</v>
      </c>
      <c r="E23" s="7">
        <v>100</v>
      </c>
      <c r="F23" s="30">
        <f>(F14/100)*(F$9*3790*F$12)/0.0283/F$17*(21-7)/(21-F$18)*1000</f>
        <v>64.41758281761925</v>
      </c>
      <c r="G23" s="7">
        <v>100</v>
      </c>
      <c r="H23" s="30">
        <f>(H14/100)*(H$9*3790*H$12)/0.0283/H$17*(21-7)/(21-H$18)*1000</f>
        <v>68.09443766346993</v>
      </c>
      <c r="I23" s="7">
        <v>100</v>
      </c>
      <c r="J23" s="30">
        <f>(J14/100)*(J$9*3790*J$12)/0.0283/J$17*(21-7)/(21-J$18)*1000</f>
        <v>65.78551282668336</v>
      </c>
      <c r="K23" s="9"/>
      <c r="L23" s="30">
        <f>AVERAGE(F23,H23,J23)/2</f>
        <v>33.049588884628754</v>
      </c>
      <c r="M23" s="9"/>
      <c r="N23" s="30">
        <f>(N14/100)*(N$9*3790*N$12)/0.0283/N$17*(21-7)/(21-N$18)*1000</f>
        <v>15430.763560247548</v>
      </c>
      <c r="O23" s="9"/>
      <c r="P23" s="30">
        <f>(P14/100)*(P$9*3790*P$12)/0.0283/P$17*(21-7)/(21-P$18)*1000</f>
        <v>16283.45248474281</v>
      </c>
      <c r="Q23" s="9"/>
      <c r="R23" s="30">
        <f>(R14/100)*(R$9*3790*R$12)/0.0283/R$17*(21-7)/(21-R$18)*1000</f>
        <v>15731.318284641671</v>
      </c>
      <c r="S23" s="9"/>
      <c r="T23" s="30">
        <f>AVERAGE(N23,P23,R23)</f>
        <v>15815.178109877343</v>
      </c>
      <c r="U23" s="24">
        <f>SUM((F23*E23/100))/V23*100</f>
        <v>0.41572655539073317</v>
      </c>
      <c r="V23" s="30">
        <f>F23+N23</f>
        <v>15495.181143065167</v>
      </c>
      <c r="W23" s="24">
        <f>SUM((H23*G23/100))/X23*100</f>
        <v>0.416440340394713</v>
      </c>
      <c r="X23" s="30">
        <f>H23+P23</f>
        <v>16351.54692240628</v>
      </c>
      <c r="Y23" s="24">
        <f>SUM((J23*I23/100))/Z23*100</f>
        <v>0.41644034039471306</v>
      </c>
      <c r="Z23" s="30">
        <f>J23+R23</f>
        <v>15797.103797468355</v>
      </c>
      <c r="AB23" s="30">
        <f>L23+T23</f>
        <v>15848.227698761972</v>
      </c>
      <c r="AC23" s="7">
        <v>100</v>
      </c>
      <c r="AD23" s="30">
        <f>(AD14/100)*(AD$9*3790*AD$12)/0.0283/AD$17*(21-7)/(21-AD$18)*1000</f>
        <v>8.305715325809974</v>
      </c>
      <c r="AE23" s="7">
        <v>100</v>
      </c>
      <c r="AF23" s="30">
        <f>(AF14/100)*(AF$9*3790*AF$12)/0.0283/AF$17*(21-7)/(21-AF$18)*1000</f>
        <v>5.683347863993026</v>
      </c>
      <c r="AG23" s="7">
        <v>100</v>
      </c>
      <c r="AH23" s="30">
        <f>(AH14/100)*(AH$9*3790*AH$12)/0.0283/AH$17*(21-7)/(21-AH$18)*1000</f>
        <v>5.4906386870096755</v>
      </c>
      <c r="AI23" s="7">
        <v>100</v>
      </c>
      <c r="AJ23" s="30">
        <f>AVERAGE(AD23,AF23,AH23)/2</f>
        <v>3.2466169794687794</v>
      </c>
      <c r="AL23" s="27">
        <f>SUM(AD23/2,N23,F23/2)</f>
        <v>15467.125209319262</v>
      </c>
      <c r="AM23" s="27"/>
      <c r="AN23" s="27">
        <f>SUM(AF23/2,P23,H23/2)</f>
        <v>16320.34137750654</v>
      </c>
      <c r="AO23" s="27"/>
      <c r="AP23" s="27">
        <f>SUM(AH23/2,R23,J23/2)</f>
        <v>15766.956360398517</v>
      </c>
      <c r="AQ23" s="27"/>
      <c r="AR23" s="27">
        <f>SUM(AJ23,T23,L23)</f>
        <v>15851.47431574144</v>
      </c>
      <c r="AT23" s="27"/>
      <c r="AV23" s="27"/>
      <c r="AX23" s="27"/>
      <c r="AZ23" s="27"/>
    </row>
    <row r="24" spans="2:53" ht="12.75">
      <c r="B24" s="7" t="s">
        <v>23</v>
      </c>
      <c r="D24" s="7" t="s">
        <v>31</v>
      </c>
      <c r="F24" s="31">
        <f>(F15/100)*(F$9*3790*F$12)/0.0283/F$17*(21-7)/(21-F$18)*1000000</f>
        <v>9727055.005460504</v>
      </c>
      <c r="G24" s="9"/>
      <c r="H24" s="31">
        <f>(H15/100)*(H$9*3790*H$12)/0.0283/H$17*(21-7)/(21-H$18)*1000000</f>
        <v>10350354.524847427</v>
      </c>
      <c r="I24" s="9"/>
      <c r="J24" s="31">
        <f>(J15/100)*(J$9*3790*J$12)/0.0283/J$17*(21-7)/(21-J$18)*1000000</f>
        <v>10328325.513789289</v>
      </c>
      <c r="K24" s="9"/>
      <c r="L24" s="29">
        <f>AVERAGE(F24,H24,J24)</f>
        <v>10135245.014699074</v>
      </c>
      <c r="N24" s="31">
        <f>(N15/100)*(N$9*3790*N$12)/0.0283/N$17*(21-7)/(21-N$18)*1000000</f>
        <v>7622425.37313433</v>
      </c>
      <c r="O24" s="9"/>
      <c r="P24" s="31">
        <f>(P15/100)*(P$9*3790*P$12)/0.0283/P$17*(21-7)/(21-P$18)*1000000</f>
        <v>7938183.086312119</v>
      </c>
      <c r="Q24" s="9"/>
      <c r="R24" s="31">
        <f>(R15/100)*(R$9*3790*R$12)/0.0283/R$17*(21-7)/(21-R$18)*1000000</f>
        <v>7669017.663762816</v>
      </c>
      <c r="S24" s="9"/>
      <c r="T24" s="30">
        <f>AVERAGE(N24,P24,R24)</f>
        <v>7743208.707736421</v>
      </c>
      <c r="V24" s="30">
        <f>F24+N24</f>
        <v>17349480.378594834</v>
      </c>
      <c r="W24" s="7"/>
      <c r="X24" s="30">
        <f>H24+P24</f>
        <v>18288537.61115955</v>
      </c>
      <c r="Y24" s="7"/>
      <c r="Z24" s="30">
        <f>J24+R24</f>
        <v>17997343.177552104</v>
      </c>
      <c r="AB24" s="30">
        <f>L24+T24</f>
        <v>17878453.722435497</v>
      </c>
      <c r="AC24" s="7">
        <v>100</v>
      </c>
      <c r="AD24" s="31">
        <f>(AD15/100)*(AD$9*3790*AD$12)/0.0283/AD$17*(21-7)/(21-AD$18)*1000000</f>
        <v>8305.715325809975</v>
      </c>
      <c r="AE24" s="7">
        <v>100</v>
      </c>
      <c r="AF24" s="31">
        <f>(AF15/100)*(AF$9*3790*AF$12)/0.0283/AF$17*(21-7)/(21-AF$18)*1000000</f>
        <v>5683.347863993025</v>
      </c>
      <c r="AG24" s="7">
        <v>100</v>
      </c>
      <c r="AH24" s="31">
        <f>(AH15/100)*(AH$9*3790*AH$12)/0.0283/AH$17*(21-7)/(21-AH$18)*1000000</f>
        <v>5490.638687009676</v>
      </c>
      <c r="AI24" s="7">
        <v>100</v>
      </c>
      <c r="AJ24" s="30">
        <f>AVERAGE(AD24,AF24/2,AH24/2)/2</f>
        <v>2315.4514335518875</v>
      </c>
      <c r="AL24" s="27">
        <f>SUM(AD24/2,N24,F24)</f>
        <v>17353633.23625774</v>
      </c>
      <c r="AM24" s="27"/>
      <c r="AN24" s="27">
        <f>SUM(AF24/2,P24,H24)</f>
        <v>18291379.28509154</v>
      </c>
      <c r="AO24" s="27"/>
      <c r="AP24" s="27">
        <f>SUM(AH24/2,R24,J24)</f>
        <v>18000088.49689561</v>
      </c>
      <c r="AQ24" s="27"/>
      <c r="AR24" s="27">
        <f>SUM(AJ24,T24,L24)</f>
        <v>17880769.173869047</v>
      </c>
      <c r="AT24" s="27"/>
      <c r="AV24" s="27"/>
      <c r="AX24" s="27"/>
      <c r="AZ24" s="27"/>
      <c r="BA24" s="8"/>
    </row>
    <row r="25" ht="12.75">
      <c r="AR25" s="27"/>
    </row>
    <row r="26" spans="1:44" ht="12.75">
      <c r="A26" s="24" t="s">
        <v>59</v>
      </c>
      <c r="B26" s="23" t="s">
        <v>157</v>
      </c>
      <c r="C26" s="23" t="s">
        <v>58</v>
      </c>
      <c r="F26" s="26" t="s">
        <v>171</v>
      </c>
      <c r="G26" s="26"/>
      <c r="H26" s="26" t="s">
        <v>172</v>
      </c>
      <c r="I26" s="26"/>
      <c r="J26" s="26" t="s">
        <v>173</v>
      </c>
      <c r="K26" s="26"/>
      <c r="L26" s="26" t="s">
        <v>174</v>
      </c>
      <c r="M26" s="26"/>
      <c r="N26" s="26" t="s">
        <v>171</v>
      </c>
      <c r="O26" s="26"/>
      <c r="P26" s="26" t="s">
        <v>172</v>
      </c>
      <c r="Q26" s="26"/>
      <c r="R26" s="26" t="s">
        <v>173</v>
      </c>
      <c r="S26" s="26"/>
      <c r="T26" s="26" t="s">
        <v>174</v>
      </c>
      <c r="U26" s="26"/>
      <c r="V26" s="26" t="s">
        <v>171</v>
      </c>
      <c r="W26" s="26"/>
      <c r="X26" s="26" t="s">
        <v>172</v>
      </c>
      <c r="Y26" s="26"/>
      <c r="Z26" s="26" t="s">
        <v>173</v>
      </c>
      <c r="AA26" s="26"/>
      <c r="AB26" s="26" t="s">
        <v>174</v>
      </c>
      <c r="AC26" s="26"/>
      <c r="AD26" s="26" t="s">
        <v>171</v>
      </c>
      <c r="AE26" s="26"/>
      <c r="AF26" s="26" t="s">
        <v>172</v>
      </c>
      <c r="AG26" s="26"/>
      <c r="AH26" s="26" t="s">
        <v>173</v>
      </c>
      <c r="AI26" s="26"/>
      <c r="AJ26" s="26" t="s">
        <v>174</v>
      </c>
      <c r="AK26" s="26"/>
      <c r="AL26" s="26" t="s">
        <v>171</v>
      </c>
      <c r="AM26" s="26"/>
      <c r="AN26" s="26" t="s">
        <v>172</v>
      </c>
      <c r="AO26" s="26"/>
      <c r="AP26" s="26" t="s">
        <v>173</v>
      </c>
      <c r="AQ26" s="26"/>
      <c r="AR26" s="26" t="s">
        <v>174</v>
      </c>
    </row>
    <row r="28" spans="2:44" ht="12.75">
      <c r="B28" s="7" t="s">
        <v>211</v>
      </c>
      <c r="F28" s="24" t="s">
        <v>213</v>
      </c>
      <c r="H28" s="24" t="s">
        <v>213</v>
      </c>
      <c r="J28" s="24" t="s">
        <v>213</v>
      </c>
      <c r="L28" s="24" t="s">
        <v>213</v>
      </c>
      <c r="N28" s="24" t="s">
        <v>215</v>
      </c>
      <c r="P28" s="24" t="s">
        <v>215</v>
      </c>
      <c r="R28" s="24" t="s">
        <v>215</v>
      </c>
      <c r="T28" s="24" t="s">
        <v>215</v>
      </c>
      <c r="AD28" s="24" t="s">
        <v>216</v>
      </c>
      <c r="AF28" s="24" t="s">
        <v>216</v>
      </c>
      <c r="AH28" s="24" t="s">
        <v>216</v>
      </c>
      <c r="AJ28" s="24" t="s">
        <v>216</v>
      </c>
      <c r="AL28" s="24" t="s">
        <v>218</v>
      </c>
      <c r="AN28" s="24" t="s">
        <v>218</v>
      </c>
      <c r="AP28" s="24" t="s">
        <v>218</v>
      </c>
      <c r="AR28" s="24" t="s">
        <v>218</v>
      </c>
    </row>
    <row r="29" spans="2:44" ht="12.75">
      <c r="B29" s="7" t="s">
        <v>212</v>
      </c>
      <c r="F29" s="24" t="s">
        <v>214</v>
      </c>
      <c r="H29" s="24" t="s">
        <v>214</v>
      </c>
      <c r="J29" s="24" t="s">
        <v>214</v>
      </c>
      <c r="L29" s="24" t="s">
        <v>214</v>
      </c>
      <c r="N29" s="24" t="s">
        <v>214</v>
      </c>
      <c r="P29" s="24" t="s">
        <v>214</v>
      </c>
      <c r="R29" s="24" t="s">
        <v>214</v>
      </c>
      <c r="T29" s="24" t="s">
        <v>214</v>
      </c>
      <c r="AD29" s="24" t="s">
        <v>217</v>
      </c>
      <c r="AF29" s="24" t="s">
        <v>217</v>
      </c>
      <c r="AH29" s="24" t="s">
        <v>217</v>
      </c>
      <c r="AJ29" s="24" t="s">
        <v>217</v>
      </c>
      <c r="AL29" s="24" t="s">
        <v>20</v>
      </c>
      <c r="AN29" s="24" t="s">
        <v>20</v>
      </c>
      <c r="AP29" s="24" t="s">
        <v>20</v>
      </c>
      <c r="AR29" s="24" t="s">
        <v>20</v>
      </c>
    </row>
    <row r="30" spans="2:44" ht="12.75">
      <c r="B30" s="5" t="s">
        <v>223</v>
      </c>
      <c r="V30" s="24" t="s">
        <v>38</v>
      </c>
      <c r="X30" s="24" t="s">
        <v>38</v>
      </c>
      <c r="Z30" s="24" t="s">
        <v>38</v>
      </c>
      <c r="AB30" s="24" t="s">
        <v>38</v>
      </c>
      <c r="AD30" s="14" t="s">
        <v>224</v>
      </c>
      <c r="AF30" s="14" t="s">
        <v>224</v>
      </c>
      <c r="AH30" s="14" t="s">
        <v>224</v>
      </c>
      <c r="AJ30" s="14" t="s">
        <v>224</v>
      </c>
      <c r="AL30" s="14" t="s">
        <v>20</v>
      </c>
      <c r="AN30" s="14" t="s">
        <v>20</v>
      </c>
      <c r="AP30" s="14" t="s">
        <v>20</v>
      </c>
      <c r="AR30" s="14" t="s">
        <v>20</v>
      </c>
    </row>
    <row r="31" spans="2:52" s="43" customFormat="1" ht="12.75">
      <c r="B31" s="43" t="s">
        <v>21</v>
      </c>
      <c r="F31" s="44" t="s">
        <v>75</v>
      </c>
      <c r="G31" s="44"/>
      <c r="H31" s="44" t="s">
        <v>75</v>
      </c>
      <c r="I31" s="44"/>
      <c r="J31" s="44" t="s">
        <v>75</v>
      </c>
      <c r="K31" s="44"/>
      <c r="L31" s="44" t="s">
        <v>75</v>
      </c>
      <c r="M31" s="44"/>
      <c r="N31" s="44" t="s">
        <v>76</v>
      </c>
      <c r="O31" s="44"/>
      <c r="P31" s="44" t="s">
        <v>76</v>
      </c>
      <c r="Q31" s="44"/>
      <c r="R31" s="44" t="s">
        <v>76</v>
      </c>
      <c r="S31" s="44"/>
      <c r="T31" s="44" t="s">
        <v>76</v>
      </c>
      <c r="V31" s="44"/>
      <c r="X31" s="44"/>
      <c r="Z31" s="44"/>
      <c r="AB31" s="44"/>
      <c r="AD31" s="43" t="s">
        <v>102</v>
      </c>
      <c r="AF31" s="43" t="s">
        <v>102</v>
      </c>
      <c r="AH31" s="43" t="s">
        <v>102</v>
      </c>
      <c r="AJ31" s="43" t="s">
        <v>102</v>
      </c>
      <c r="AL31" s="45" t="s">
        <v>20</v>
      </c>
      <c r="AN31" s="45" t="s">
        <v>20</v>
      </c>
      <c r="AP31" s="45" t="s">
        <v>20</v>
      </c>
      <c r="AR31" s="45" t="s">
        <v>20</v>
      </c>
      <c r="AT31" s="45"/>
      <c r="AV31" s="45"/>
      <c r="AX31" s="45"/>
      <c r="AZ31" s="45"/>
    </row>
    <row r="32" spans="2:51" ht="12.75">
      <c r="B32" s="7" t="s">
        <v>61</v>
      </c>
      <c r="D32" s="7" t="s">
        <v>69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2:52" ht="12.75">
      <c r="B33" s="7" t="s">
        <v>60</v>
      </c>
      <c r="D33" s="7" t="s">
        <v>29</v>
      </c>
      <c r="F33" s="9">
        <v>36</v>
      </c>
      <c r="G33" s="9"/>
      <c r="H33" s="9">
        <v>41</v>
      </c>
      <c r="I33" s="9"/>
      <c r="J33" s="9">
        <v>41</v>
      </c>
      <c r="K33" s="9"/>
      <c r="L33" s="30"/>
      <c r="M33" s="9"/>
      <c r="N33" s="29"/>
      <c r="O33" s="9"/>
      <c r="P33" s="9"/>
      <c r="Q33" s="9"/>
      <c r="R33" s="9"/>
      <c r="S33" s="9"/>
      <c r="T33" s="30"/>
      <c r="U33" s="27"/>
      <c r="V33" s="30"/>
      <c r="W33" s="27"/>
      <c r="X33" s="30"/>
      <c r="Y33" s="27"/>
      <c r="Z33" s="30"/>
      <c r="AA33" s="27"/>
      <c r="AB33" s="30"/>
      <c r="AC33" s="27"/>
      <c r="AD33" s="27"/>
      <c r="AE33" s="27"/>
      <c r="AF33" s="27"/>
      <c r="AG33" s="27"/>
      <c r="AH33" s="27"/>
      <c r="AI33" s="27"/>
      <c r="AJ33" s="30"/>
      <c r="AK33" s="27"/>
      <c r="AL33" s="27"/>
      <c r="AM33" s="27"/>
      <c r="AN33" s="27"/>
      <c r="AO33" s="27"/>
      <c r="AP33" s="27"/>
      <c r="AQ33" s="27"/>
      <c r="AR33" s="30"/>
      <c r="AS33" s="27"/>
      <c r="AT33" s="27"/>
      <c r="AV33" s="27"/>
      <c r="AX33" s="27"/>
      <c r="AZ33" s="27"/>
    </row>
    <row r="34" spans="2:51" ht="12.75">
      <c r="B34" s="7" t="s">
        <v>77</v>
      </c>
      <c r="D34" s="7" t="s">
        <v>78</v>
      </c>
      <c r="F34" s="9">
        <v>10129</v>
      </c>
      <c r="G34" s="9"/>
      <c r="H34" s="9">
        <v>11018</v>
      </c>
      <c r="I34" s="9"/>
      <c r="J34" s="9">
        <v>10887</v>
      </c>
      <c r="K34" s="9"/>
      <c r="L34" s="9"/>
      <c r="M34" s="9"/>
      <c r="N34" s="9">
        <v>1159</v>
      </c>
      <c r="O34" s="9"/>
      <c r="P34" s="9">
        <v>1227</v>
      </c>
      <c r="Q34" s="9"/>
      <c r="R34" s="9">
        <v>1118</v>
      </c>
      <c r="S34" s="9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>
        <v>19454</v>
      </c>
      <c r="AE34" s="27"/>
      <c r="AF34" s="27">
        <v>19420</v>
      </c>
      <c r="AG34" s="27"/>
      <c r="AH34" s="27">
        <v>19422</v>
      </c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2:51" ht="12.75">
      <c r="B35" s="7" t="s">
        <v>104</v>
      </c>
      <c r="D35" s="7" t="s">
        <v>105</v>
      </c>
      <c r="F35" s="9">
        <v>0.91</v>
      </c>
      <c r="G35" s="9"/>
      <c r="H35" s="9">
        <v>0.9</v>
      </c>
      <c r="I35" s="9"/>
      <c r="J35" s="9">
        <v>0.9</v>
      </c>
      <c r="K35" s="9"/>
      <c r="L35" s="9"/>
      <c r="M35" s="9"/>
      <c r="N35" s="9">
        <v>1.06</v>
      </c>
      <c r="O35" s="9"/>
      <c r="P35" s="9">
        <v>1.06</v>
      </c>
      <c r="Q35" s="9"/>
      <c r="R35" s="9">
        <v>1.07</v>
      </c>
      <c r="S35" s="9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>
        <v>0.86</v>
      </c>
      <c r="AE35" s="27"/>
      <c r="AF35" s="27">
        <v>0.86</v>
      </c>
      <c r="AG35" s="27"/>
      <c r="AH35" s="27">
        <v>0.86</v>
      </c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2:51" ht="12.75">
      <c r="B36" s="7" t="s">
        <v>79</v>
      </c>
      <c r="D36" s="7" t="s">
        <v>103</v>
      </c>
      <c r="K36" s="9"/>
      <c r="L36" s="9"/>
      <c r="M36" s="9"/>
      <c r="N36" s="9"/>
      <c r="O36" s="9"/>
      <c r="P36" s="9"/>
      <c r="Q36" s="9"/>
      <c r="R36" s="9"/>
      <c r="S36" s="9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</row>
    <row r="37" spans="2:51" ht="12.75">
      <c r="B37" s="7" t="s">
        <v>22</v>
      </c>
      <c r="D37" s="7" t="s">
        <v>18</v>
      </c>
      <c r="F37" s="24">
        <v>0.05</v>
      </c>
      <c r="H37" s="24">
        <v>0.06</v>
      </c>
      <c r="J37" s="24">
        <v>0.04</v>
      </c>
      <c r="K37" s="9"/>
      <c r="L37" s="9"/>
      <c r="M37" s="9"/>
      <c r="N37" s="9">
        <v>3.6</v>
      </c>
      <c r="O37" s="9"/>
      <c r="P37" s="9">
        <v>3.7</v>
      </c>
      <c r="Q37" s="9"/>
      <c r="R37" s="9">
        <v>3.9</v>
      </c>
      <c r="S37" s="9"/>
      <c r="T37" s="27"/>
      <c r="U37" s="7" t="s">
        <v>63</v>
      </c>
      <c r="V37" s="27"/>
      <c r="W37" s="7"/>
      <c r="X37" s="27"/>
      <c r="Y37" s="7"/>
      <c r="Z37" s="27"/>
      <c r="AA37" s="7"/>
      <c r="AB37" s="27"/>
      <c r="AC37" s="7"/>
      <c r="AD37" s="24">
        <v>0.1</v>
      </c>
      <c r="AE37" s="7" t="s">
        <v>63</v>
      </c>
      <c r="AF37" s="24">
        <v>0.1</v>
      </c>
      <c r="AG37" s="7" t="s">
        <v>63</v>
      </c>
      <c r="AH37" s="24">
        <v>0.1</v>
      </c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  <row r="38" spans="2:53" ht="12.75">
      <c r="B38" s="7" t="s">
        <v>23</v>
      </c>
      <c r="D38" s="7" t="s">
        <v>18</v>
      </c>
      <c r="F38" s="9">
        <v>12.1</v>
      </c>
      <c r="G38" s="9"/>
      <c r="H38" s="9">
        <v>12.3</v>
      </c>
      <c r="I38" s="9"/>
      <c r="J38" s="9">
        <v>12.2</v>
      </c>
      <c r="K38" s="9"/>
      <c r="L38" s="9"/>
      <c r="M38" s="9"/>
      <c r="N38" s="9">
        <v>0.1</v>
      </c>
      <c r="O38" s="9"/>
      <c r="P38" s="9">
        <v>0.1</v>
      </c>
      <c r="Q38" s="9"/>
      <c r="R38" s="9">
        <v>0.1</v>
      </c>
      <c r="S38" s="9"/>
      <c r="T38" s="9"/>
      <c r="U38" s="7" t="s">
        <v>63</v>
      </c>
      <c r="V38" s="9"/>
      <c r="W38" s="7"/>
      <c r="X38" s="9"/>
      <c r="Y38" s="7"/>
      <c r="Z38" s="9"/>
      <c r="AA38" s="7"/>
      <c r="AB38" s="9"/>
      <c r="AC38" s="7"/>
      <c r="AD38" s="24">
        <v>0.1</v>
      </c>
      <c r="AE38" s="7" t="s">
        <v>63</v>
      </c>
      <c r="AF38" s="24">
        <v>0.1</v>
      </c>
      <c r="AG38" s="7" t="s">
        <v>63</v>
      </c>
      <c r="AH38" s="24">
        <v>0.1</v>
      </c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25"/>
    </row>
    <row r="39" spans="6:19" ht="12.75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2:44" ht="12.75">
      <c r="B40" s="7" t="s">
        <v>34</v>
      </c>
      <c r="D40" s="7" t="s">
        <v>17</v>
      </c>
      <c r="F40" s="9">
        <f>'emiss 1'!$G$55</f>
        <v>9226</v>
      </c>
      <c r="G40" s="9"/>
      <c r="H40" s="9">
        <f>'emiss 1'!$I$55</f>
        <v>9183</v>
      </c>
      <c r="I40" s="9"/>
      <c r="J40" s="9">
        <f>'emiss 1'!$K$55</f>
        <v>9160</v>
      </c>
      <c r="K40" s="9"/>
      <c r="L40" s="29">
        <f>'emiss 1'!$M$55</f>
        <v>9189.666666666666</v>
      </c>
      <c r="M40" s="9"/>
      <c r="N40" s="9">
        <f>'emiss 1'!$G$55</f>
        <v>9226</v>
      </c>
      <c r="O40" s="9"/>
      <c r="P40" s="9">
        <f>'emiss 1'!$I$55</f>
        <v>9183</v>
      </c>
      <c r="Q40" s="9"/>
      <c r="R40" s="9">
        <f>'emiss 1'!$K$55</f>
        <v>9160</v>
      </c>
      <c r="S40" s="9"/>
      <c r="T40" s="29">
        <f>'emiss 1'!$M$55</f>
        <v>9189.666666666666</v>
      </c>
      <c r="V40" s="29"/>
      <c r="X40" s="29"/>
      <c r="Z40" s="29"/>
      <c r="AB40" s="29"/>
      <c r="AD40" s="9">
        <f>'emiss 1'!$G$55</f>
        <v>9226</v>
      </c>
      <c r="AE40" s="9"/>
      <c r="AF40" s="9">
        <f>'emiss 1'!$I$55</f>
        <v>9183</v>
      </c>
      <c r="AG40" s="9"/>
      <c r="AH40" s="9">
        <f>'emiss 1'!$K$55</f>
        <v>9160</v>
      </c>
      <c r="AI40" s="9"/>
      <c r="AJ40" s="29">
        <f>'emiss 1'!$M$55</f>
        <v>9189.666666666666</v>
      </c>
      <c r="AL40" s="9">
        <f>'emiss 1'!$G$55</f>
        <v>9226</v>
      </c>
      <c r="AM40" s="9"/>
      <c r="AN40" s="9">
        <f>'emiss 1'!$I$55</f>
        <v>9183</v>
      </c>
      <c r="AO40" s="9"/>
      <c r="AP40" s="9">
        <f>'emiss 1'!$K$55</f>
        <v>9160</v>
      </c>
      <c r="AQ40" s="9"/>
      <c r="AR40" s="29">
        <f>'emiss 1'!$M$55</f>
        <v>9189.666666666666</v>
      </c>
    </row>
    <row r="41" spans="2:44" ht="12.75">
      <c r="B41" s="7" t="s">
        <v>35</v>
      </c>
      <c r="D41" s="7" t="s">
        <v>18</v>
      </c>
      <c r="F41" s="9">
        <f>'emiss 1'!$G$56</f>
        <v>5.8</v>
      </c>
      <c r="G41" s="9"/>
      <c r="H41" s="9">
        <f>'emiss 1'!$I$56</f>
        <v>5</v>
      </c>
      <c r="I41" s="9"/>
      <c r="J41" s="9">
        <f>'emiss 1'!$K$56</f>
        <v>4.8</v>
      </c>
      <c r="K41" s="9"/>
      <c r="L41" s="29">
        <f>'emiss 1'!$M$56</f>
        <v>5.2</v>
      </c>
      <c r="M41" s="9"/>
      <c r="N41" s="9">
        <f>'emiss 1'!$G$56</f>
        <v>5.8</v>
      </c>
      <c r="O41" s="9"/>
      <c r="P41" s="9">
        <f>'emiss 1'!$I$56</f>
        <v>5</v>
      </c>
      <c r="Q41" s="9"/>
      <c r="R41" s="9">
        <f>'emiss 1'!$K$56</f>
        <v>4.8</v>
      </c>
      <c r="S41" s="9"/>
      <c r="T41" s="29">
        <f>'emiss 1'!$M$56</f>
        <v>5.2</v>
      </c>
      <c r="V41" s="29"/>
      <c r="X41" s="29"/>
      <c r="Z41" s="29"/>
      <c r="AB41" s="29"/>
      <c r="AD41" s="9">
        <f>'emiss 1'!$G$56</f>
        <v>5.8</v>
      </c>
      <c r="AE41" s="9"/>
      <c r="AF41" s="9">
        <f>'emiss 1'!$I$56</f>
        <v>5</v>
      </c>
      <c r="AG41" s="9"/>
      <c r="AH41" s="9">
        <f>'emiss 1'!$K$56</f>
        <v>4.8</v>
      </c>
      <c r="AI41" s="9"/>
      <c r="AJ41" s="29">
        <f>'emiss 1'!$M$56</f>
        <v>5.2</v>
      </c>
      <c r="AL41" s="9">
        <f>'emiss 1'!$G$56</f>
        <v>5.8</v>
      </c>
      <c r="AM41" s="9"/>
      <c r="AN41" s="9">
        <f>'emiss 1'!$I$56</f>
        <v>5</v>
      </c>
      <c r="AO41" s="9"/>
      <c r="AP41" s="9">
        <f>'emiss 1'!$K$56</f>
        <v>4.8</v>
      </c>
      <c r="AQ41" s="9"/>
      <c r="AR41" s="29">
        <f>'emiss 1'!$M$56</f>
        <v>5.2</v>
      </c>
    </row>
    <row r="42" spans="6:19" ht="12.75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2:54" ht="12.75">
      <c r="B43" s="7" t="s">
        <v>226</v>
      </c>
      <c r="D43" s="7" t="s">
        <v>29</v>
      </c>
      <c r="F43" s="30"/>
      <c r="G43" s="9"/>
      <c r="H43" s="30"/>
      <c r="I43" s="9"/>
      <c r="J43" s="30"/>
      <c r="K43" s="9"/>
      <c r="L43" s="30"/>
      <c r="M43" s="9"/>
      <c r="N43" s="30"/>
      <c r="O43" s="9"/>
      <c r="P43" s="30"/>
      <c r="Q43" s="9"/>
      <c r="R43" s="30"/>
      <c r="S43" s="9"/>
      <c r="T43" s="30"/>
      <c r="V43" s="30"/>
      <c r="X43" s="30"/>
      <c r="Z43" s="30"/>
      <c r="AB43" s="30"/>
      <c r="AD43" s="30"/>
      <c r="AE43" s="9"/>
      <c r="AF43" s="30"/>
      <c r="AG43" s="9"/>
      <c r="AH43" s="30"/>
      <c r="AI43" s="9"/>
      <c r="AJ43" s="30"/>
      <c r="AL43" s="27">
        <f>AL40/150*(21-AL41)/21</f>
        <v>44.519111111111116</v>
      </c>
      <c r="AN43" s="27">
        <f>AN40/150*(21-AN41)/21</f>
        <v>46.64380952380952</v>
      </c>
      <c r="AP43" s="27">
        <f>AP40/150*(21-AP41)/21</f>
        <v>47.10857142857143</v>
      </c>
      <c r="AR43" s="27">
        <f>AR40/150*(21-AR41)/21</f>
        <v>46.09420105820106</v>
      </c>
      <c r="AZ43" s="27"/>
      <c r="BB43" s="8"/>
    </row>
    <row r="44" spans="6:54" ht="12.75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AR44" s="28"/>
      <c r="BB44" s="8"/>
    </row>
    <row r="45" spans="2:54" ht="12.75">
      <c r="B45" s="35" t="s">
        <v>47</v>
      </c>
      <c r="C45" s="35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BB45" s="8"/>
    </row>
    <row r="46" spans="2:52" ht="12.75">
      <c r="B46" s="7" t="s">
        <v>22</v>
      </c>
      <c r="D46" s="7" t="s">
        <v>36</v>
      </c>
      <c r="F46" s="30" t="s">
        <v>116</v>
      </c>
      <c r="G46" s="7"/>
      <c r="H46" s="30"/>
      <c r="I46" s="7"/>
      <c r="J46" s="30"/>
      <c r="K46" s="9"/>
      <c r="L46" s="30"/>
      <c r="M46" s="9"/>
      <c r="N46" s="30"/>
      <c r="O46" s="9"/>
      <c r="P46" s="30"/>
      <c r="Q46" s="9"/>
      <c r="R46" s="30"/>
      <c r="S46" s="9"/>
      <c r="T46" s="30"/>
      <c r="U46" s="7"/>
      <c r="V46" s="30"/>
      <c r="W46" s="7"/>
      <c r="X46" s="30"/>
      <c r="Y46" s="7"/>
      <c r="Z46" s="30"/>
      <c r="AA46" s="7"/>
      <c r="AB46" s="30"/>
      <c r="AC46" s="7"/>
      <c r="AD46" s="30"/>
      <c r="AE46" s="7"/>
      <c r="AF46" s="30"/>
      <c r="AG46" s="7"/>
      <c r="AH46" s="30"/>
      <c r="AI46" s="9"/>
      <c r="AJ46" s="30"/>
      <c r="AL46" s="27"/>
      <c r="AM46" s="27"/>
      <c r="AN46" s="27"/>
      <c r="AO46" s="27"/>
      <c r="AP46" s="27"/>
      <c r="AQ46" s="27"/>
      <c r="AR46" s="27"/>
      <c r="AT46" s="27"/>
      <c r="AV46" s="27"/>
      <c r="AX46" s="27"/>
      <c r="AZ46" s="27"/>
    </row>
    <row r="47" spans="2:53" ht="12.75">
      <c r="B47" s="7" t="s">
        <v>23</v>
      </c>
      <c r="D47" s="7" t="s">
        <v>31</v>
      </c>
      <c r="F47" s="31"/>
      <c r="G47" s="9"/>
      <c r="H47" s="31"/>
      <c r="I47" s="9"/>
      <c r="J47" s="31"/>
      <c r="K47" s="9"/>
      <c r="L47" s="30"/>
      <c r="N47" s="31"/>
      <c r="O47" s="9"/>
      <c r="P47" s="31"/>
      <c r="Q47" s="9"/>
      <c r="R47" s="31"/>
      <c r="S47" s="9"/>
      <c r="T47" s="30"/>
      <c r="U47" s="7"/>
      <c r="V47" s="30"/>
      <c r="W47" s="7"/>
      <c r="X47" s="30"/>
      <c r="Y47" s="7"/>
      <c r="Z47" s="30"/>
      <c r="AA47" s="7"/>
      <c r="AB47" s="30"/>
      <c r="AC47" s="7"/>
      <c r="AD47" s="31"/>
      <c r="AE47" s="9"/>
      <c r="AF47" s="31"/>
      <c r="AG47" s="9"/>
      <c r="AH47" s="31"/>
      <c r="AI47" s="9"/>
      <c r="AJ47" s="30"/>
      <c r="AL47" s="27"/>
      <c r="AM47" s="27"/>
      <c r="AN47" s="27"/>
      <c r="AO47" s="27"/>
      <c r="AP47" s="27"/>
      <c r="AQ47" s="27"/>
      <c r="AR47" s="27"/>
      <c r="AT47" s="27"/>
      <c r="AV47" s="27"/>
      <c r="AX47" s="27"/>
      <c r="AZ47" s="27"/>
      <c r="BA47" s="8"/>
    </row>
    <row r="48" spans="6:19" ht="12.75"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60" ht="12.75">
      <c r="A49" s="24" t="s">
        <v>59</v>
      </c>
      <c r="B49" s="23" t="s">
        <v>158</v>
      </c>
      <c r="C49" s="23" t="s">
        <v>129</v>
      </c>
      <c r="F49" s="26" t="s">
        <v>171</v>
      </c>
      <c r="G49" s="26"/>
      <c r="H49" s="26" t="s">
        <v>172</v>
      </c>
      <c r="I49" s="26"/>
      <c r="J49" s="26" t="s">
        <v>173</v>
      </c>
      <c r="K49" s="26"/>
      <c r="L49" s="26" t="s">
        <v>174</v>
      </c>
      <c r="M49" s="26"/>
      <c r="N49" s="26" t="s">
        <v>171</v>
      </c>
      <c r="O49" s="26"/>
      <c r="P49" s="26" t="s">
        <v>172</v>
      </c>
      <c r="Q49" s="26"/>
      <c r="R49" s="26" t="s">
        <v>173</v>
      </c>
      <c r="S49" s="26"/>
      <c r="T49" s="26" t="s">
        <v>174</v>
      </c>
      <c r="U49" s="26"/>
      <c r="V49" s="26" t="s">
        <v>171</v>
      </c>
      <c r="W49" s="26"/>
      <c r="X49" s="26" t="s">
        <v>172</v>
      </c>
      <c r="Y49" s="26"/>
      <c r="Z49" s="26" t="s">
        <v>173</v>
      </c>
      <c r="AA49" s="26"/>
      <c r="AB49" s="26" t="s">
        <v>174</v>
      </c>
      <c r="AC49" s="26"/>
      <c r="AD49" s="26" t="s">
        <v>171</v>
      </c>
      <c r="AE49" s="26"/>
      <c r="AF49" s="26" t="s">
        <v>172</v>
      </c>
      <c r="AG49" s="26"/>
      <c r="AH49" s="26" t="s">
        <v>173</v>
      </c>
      <c r="AI49" s="26"/>
      <c r="AJ49" s="26" t="s">
        <v>174</v>
      </c>
      <c r="AK49" s="26"/>
      <c r="AL49" s="26" t="s">
        <v>171</v>
      </c>
      <c r="AM49" s="26"/>
      <c r="AN49" s="26" t="s">
        <v>172</v>
      </c>
      <c r="AO49" s="26"/>
      <c r="AP49" s="26" t="s">
        <v>173</v>
      </c>
      <c r="AQ49" s="26"/>
      <c r="AR49" s="26" t="s">
        <v>174</v>
      </c>
      <c r="AS49" s="26"/>
      <c r="AT49" s="26" t="s">
        <v>171</v>
      </c>
      <c r="AU49" s="26"/>
      <c r="AV49" s="26" t="s">
        <v>172</v>
      </c>
      <c r="AW49" s="26"/>
      <c r="AX49" s="26" t="s">
        <v>173</v>
      </c>
      <c r="AY49" s="26"/>
      <c r="AZ49" s="26" t="s">
        <v>174</v>
      </c>
      <c r="BA49" s="26"/>
      <c r="BB49" s="26" t="s">
        <v>171</v>
      </c>
      <c r="BC49" s="26"/>
      <c r="BD49" s="26" t="s">
        <v>172</v>
      </c>
      <c r="BE49" s="26"/>
      <c r="BF49" s="26" t="s">
        <v>173</v>
      </c>
      <c r="BG49" s="26"/>
      <c r="BH49" s="26" t="s">
        <v>174</v>
      </c>
    </row>
    <row r="51" spans="2:60" ht="12.75">
      <c r="B51" s="7" t="s">
        <v>211</v>
      </c>
      <c r="F51" s="24" t="s">
        <v>213</v>
      </c>
      <c r="H51" s="24" t="s">
        <v>213</v>
      </c>
      <c r="J51" s="24" t="s">
        <v>213</v>
      </c>
      <c r="L51" s="24" t="s">
        <v>213</v>
      </c>
      <c r="N51" s="24" t="s">
        <v>215</v>
      </c>
      <c r="P51" s="24" t="s">
        <v>215</v>
      </c>
      <c r="R51" s="24" t="s">
        <v>215</v>
      </c>
      <c r="T51" s="24" t="s">
        <v>215</v>
      </c>
      <c r="AD51" s="24" t="s">
        <v>216</v>
      </c>
      <c r="AF51" s="24" t="s">
        <v>216</v>
      </c>
      <c r="AH51" s="24" t="s">
        <v>216</v>
      </c>
      <c r="AJ51" s="24" t="s">
        <v>216</v>
      </c>
      <c r="AL51" s="24" t="s">
        <v>218</v>
      </c>
      <c r="AN51" s="24" t="s">
        <v>218</v>
      </c>
      <c r="AP51" s="24" t="s">
        <v>218</v>
      </c>
      <c r="AR51" s="24" t="s">
        <v>218</v>
      </c>
      <c r="AT51" s="24" t="s">
        <v>221</v>
      </c>
      <c r="AV51" s="24" t="s">
        <v>221</v>
      </c>
      <c r="AX51" s="24" t="s">
        <v>221</v>
      </c>
      <c r="AZ51" s="24" t="s">
        <v>221</v>
      </c>
      <c r="BB51" s="24" t="s">
        <v>222</v>
      </c>
      <c r="BD51" s="24" t="s">
        <v>222</v>
      </c>
      <c r="BF51" s="24" t="s">
        <v>222</v>
      </c>
      <c r="BH51" s="24" t="s">
        <v>222</v>
      </c>
    </row>
    <row r="52" spans="2:60" ht="12.75">
      <c r="B52" s="7" t="s">
        <v>212</v>
      </c>
      <c r="F52" s="24" t="s">
        <v>214</v>
      </c>
      <c r="H52" s="24" t="s">
        <v>214</v>
      </c>
      <c r="J52" s="24" t="s">
        <v>214</v>
      </c>
      <c r="L52" s="24" t="s">
        <v>214</v>
      </c>
      <c r="N52" s="24" t="s">
        <v>214</v>
      </c>
      <c r="P52" s="24" t="s">
        <v>214</v>
      </c>
      <c r="R52" s="24" t="s">
        <v>214</v>
      </c>
      <c r="T52" s="24" t="s">
        <v>214</v>
      </c>
      <c r="AD52" s="24" t="s">
        <v>219</v>
      </c>
      <c r="AF52" s="24" t="s">
        <v>219</v>
      </c>
      <c r="AH52" s="24" t="s">
        <v>219</v>
      </c>
      <c r="AJ52" s="24" t="s">
        <v>219</v>
      </c>
      <c r="AL52" s="24" t="s">
        <v>220</v>
      </c>
      <c r="AN52" s="24" t="s">
        <v>220</v>
      </c>
      <c r="AP52" s="24" t="s">
        <v>220</v>
      </c>
      <c r="AR52" s="24" t="s">
        <v>220</v>
      </c>
      <c r="AT52" s="24" t="s">
        <v>30</v>
      </c>
      <c r="AV52" s="24" t="s">
        <v>30</v>
      </c>
      <c r="AX52" s="24" t="s">
        <v>30</v>
      </c>
      <c r="AZ52" s="24" t="s">
        <v>30</v>
      </c>
      <c r="BB52" s="24" t="s">
        <v>20</v>
      </c>
      <c r="BD52" s="24" t="s">
        <v>20</v>
      </c>
      <c r="BF52" s="24" t="s">
        <v>20</v>
      </c>
      <c r="BH52" s="24" t="s">
        <v>20</v>
      </c>
    </row>
    <row r="53" spans="2:60" s="43" customFormat="1" ht="12.75">
      <c r="B53" s="43" t="s">
        <v>21</v>
      </c>
      <c r="F53" s="44" t="s">
        <v>75</v>
      </c>
      <c r="G53" s="44"/>
      <c r="H53" s="44" t="s">
        <v>75</v>
      </c>
      <c r="I53" s="44"/>
      <c r="J53" s="44" t="s">
        <v>75</v>
      </c>
      <c r="K53" s="44"/>
      <c r="L53" s="44" t="s">
        <v>75</v>
      </c>
      <c r="M53" s="44"/>
      <c r="N53" s="44" t="s">
        <v>76</v>
      </c>
      <c r="O53" s="44"/>
      <c r="P53" s="44" t="s">
        <v>76</v>
      </c>
      <c r="Q53" s="44"/>
      <c r="R53" s="44" t="s">
        <v>76</v>
      </c>
      <c r="S53" s="44"/>
      <c r="T53" s="44" t="s">
        <v>76</v>
      </c>
      <c r="V53" s="44"/>
      <c r="X53" s="44"/>
      <c r="Z53" s="44"/>
      <c r="AB53" s="44"/>
      <c r="AD53" s="43" t="s">
        <v>130</v>
      </c>
      <c r="AF53" s="43" t="s">
        <v>130</v>
      </c>
      <c r="AH53" s="43" t="s">
        <v>130</v>
      </c>
      <c r="AJ53" s="43" t="s">
        <v>130</v>
      </c>
      <c r="AL53" s="45" t="s">
        <v>131</v>
      </c>
      <c r="AN53" s="45" t="s">
        <v>131</v>
      </c>
      <c r="AP53" s="45" t="s">
        <v>131</v>
      </c>
      <c r="AR53" s="45" t="s">
        <v>131</v>
      </c>
      <c r="AT53" s="45" t="s">
        <v>30</v>
      </c>
      <c r="AV53" s="45" t="s">
        <v>30</v>
      </c>
      <c r="AX53" s="45" t="s">
        <v>30</v>
      </c>
      <c r="AZ53" s="45" t="s">
        <v>30</v>
      </c>
      <c r="BB53" s="45" t="s">
        <v>20</v>
      </c>
      <c r="BD53" s="45" t="s">
        <v>20</v>
      </c>
      <c r="BF53" s="45" t="s">
        <v>20</v>
      </c>
      <c r="BH53" s="45" t="s">
        <v>20</v>
      </c>
    </row>
    <row r="54" spans="2:60" s="43" customFormat="1" ht="12.75">
      <c r="B54" s="5" t="s">
        <v>223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V54" s="44" t="s">
        <v>38</v>
      </c>
      <c r="X54" s="44" t="s">
        <v>38</v>
      </c>
      <c r="Z54" s="44" t="s">
        <v>38</v>
      </c>
      <c r="AB54" s="44" t="s">
        <v>38</v>
      </c>
      <c r="AD54" s="64" t="s">
        <v>225</v>
      </c>
      <c r="AF54" s="64" t="s">
        <v>225</v>
      </c>
      <c r="AH54" s="64" t="s">
        <v>225</v>
      </c>
      <c r="AJ54" s="64" t="s">
        <v>225</v>
      </c>
      <c r="AL54" s="45" t="s">
        <v>224</v>
      </c>
      <c r="AN54" s="45" t="s">
        <v>224</v>
      </c>
      <c r="AP54" s="45" t="s">
        <v>224</v>
      </c>
      <c r="AR54" s="45" t="s">
        <v>224</v>
      </c>
      <c r="AT54" s="45" t="s">
        <v>30</v>
      </c>
      <c r="AV54" s="45" t="s">
        <v>30</v>
      </c>
      <c r="AX54" s="45" t="s">
        <v>30</v>
      </c>
      <c r="AZ54" s="45" t="s">
        <v>30</v>
      </c>
      <c r="BB54" s="45" t="s">
        <v>20</v>
      </c>
      <c r="BD54" s="45" t="s">
        <v>20</v>
      </c>
      <c r="BF54" s="45" t="s">
        <v>20</v>
      </c>
      <c r="BH54" s="45" t="s">
        <v>20</v>
      </c>
    </row>
    <row r="55" spans="2:50" ht="12.75">
      <c r="B55" s="7" t="s">
        <v>61</v>
      </c>
      <c r="D55" s="7" t="s">
        <v>133</v>
      </c>
      <c r="F55" s="9">
        <v>12</v>
      </c>
      <c r="G55" s="9"/>
      <c r="H55" s="9">
        <v>11</v>
      </c>
      <c r="I55" s="9"/>
      <c r="J55" s="9">
        <v>11</v>
      </c>
      <c r="K55" s="9"/>
      <c r="L55" s="9"/>
      <c r="M55" s="9"/>
      <c r="N55" s="9">
        <v>25</v>
      </c>
      <c r="O55" s="9"/>
      <c r="P55" s="9">
        <v>27</v>
      </c>
      <c r="Q55" s="9"/>
      <c r="R55" s="9">
        <v>24</v>
      </c>
      <c r="S55" s="9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>
        <v>7.6</v>
      </c>
      <c r="AE55" s="27"/>
      <c r="AF55" s="27">
        <v>7.6</v>
      </c>
      <c r="AG55" s="27"/>
      <c r="AH55" s="27">
        <v>7.6</v>
      </c>
      <c r="AI55" s="27"/>
      <c r="AJ55" s="27"/>
      <c r="AK55" s="27"/>
      <c r="AL55" s="27"/>
      <c r="AM55" s="27"/>
      <c r="AN55" s="27"/>
      <c r="AO55" s="27"/>
      <c r="AP55" s="27"/>
      <c r="AQ55" s="27"/>
      <c r="AT55" s="24">
        <v>0.05073</v>
      </c>
      <c r="AV55" s="24">
        <v>0.06155</v>
      </c>
      <c r="AX55" s="24">
        <v>0.06742</v>
      </c>
    </row>
    <row r="56" spans="2:43" ht="12.75">
      <c r="B56" s="7" t="s">
        <v>61</v>
      </c>
      <c r="D56" s="7" t="s">
        <v>132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>
        <v>3270</v>
      </c>
      <c r="AM56" s="27"/>
      <c r="AN56" s="27">
        <v>5770</v>
      </c>
      <c r="AO56" s="27"/>
      <c r="AP56" s="27">
        <v>5910</v>
      </c>
      <c r="AQ56" s="27"/>
    </row>
    <row r="57" spans="2:60" ht="12.75">
      <c r="B57" s="7" t="s">
        <v>60</v>
      </c>
      <c r="D57" s="7" t="s">
        <v>28</v>
      </c>
      <c r="F57" s="9">
        <v>28.8</v>
      </c>
      <c r="G57" s="9"/>
      <c r="H57" s="9">
        <v>31.9</v>
      </c>
      <c r="I57" s="9"/>
      <c r="J57" s="9">
        <v>29</v>
      </c>
      <c r="K57" s="9"/>
      <c r="L57" s="30">
        <f>AVERAGE(F57,H57,J57)</f>
        <v>29.900000000000002</v>
      </c>
      <c r="M57" s="9"/>
      <c r="N57" s="9"/>
      <c r="O57" s="9"/>
      <c r="P57" s="9"/>
      <c r="Q57" s="9"/>
      <c r="R57" s="9"/>
      <c r="S57" s="9"/>
      <c r="T57" s="30"/>
      <c r="U57" s="27"/>
      <c r="V57" s="30"/>
      <c r="W57" s="27"/>
      <c r="X57" s="30"/>
      <c r="Y57" s="27"/>
      <c r="Z57" s="30"/>
      <c r="AA57" s="27"/>
      <c r="AB57" s="30"/>
      <c r="AC57" s="27"/>
      <c r="AD57" s="27"/>
      <c r="AE57" s="27"/>
      <c r="AF57" s="27"/>
      <c r="AG57" s="27"/>
      <c r="AH57" s="27"/>
      <c r="AI57" s="27"/>
      <c r="AJ57" s="30"/>
      <c r="AK57" s="27"/>
      <c r="AL57" s="27"/>
      <c r="AN57" s="27"/>
      <c r="AP57" s="27"/>
      <c r="AR57" s="27"/>
      <c r="BB57" s="27"/>
      <c r="BD57" s="27"/>
      <c r="BF57" s="27"/>
      <c r="BH57" s="27"/>
    </row>
    <row r="58" spans="2:43" ht="12.75">
      <c r="B58" s="7" t="s">
        <v>77</v>
      </c>
      <c r="D58" s="7" t="s">
        <v>78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2:43" ht="12.75">
      <c r="B59" s="7" t="s">
        <v>104</v>
      </c>
      <c r="D59" s="7" t="s">
        <v>105</v>
      </c>
      <c r="F59" s="9">
        <v>0.97</v>
      </c>
      <c r="G59" s="9"/>
      <c r="H59" s="9">
        <v>0.97</v>
      </c>
      <c r="I59" s="9"/>
      <c r="J59" s="9">
        <v>0.97</v>
      </c>
      <c r="K59" s="9"/>
      <c r="L59" s="9"/>
      <c r="M59" s="9"/>
      <c r="N59" s="9">
        <v>1.04</v>
      </c>
      <c r="O59" s="9"/>
      <c r="P59" s="9">
        <v>1.04</v>
      </c>
      <c r="Q59" s="9"/>
      <c r="R59" s="9">
        <v>1.04</v>
      </c>
      <c r="S59" s="9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>
        <v>1</v>
      </c>
      <c r="AE59" s="27"/>
      <c r="AF59" s="27">
        <v>1</v>
      </c>
      <c r="AG59" s="27"/>
      <c r="AH59" s="27">
        <v>1</v>
      </c>
      <c r="AI59" s="27"/>
      <c r="AJ59" s="27"/>
      <c r="AK59" s="27"/>
      <c r="AL59" s="27"/>
      <c r="AM59" s="27"/>
      <c r="AN59" s="27"/>
      <c r="AO59" s="27"/>
      <c r="AP59" s="27"/>
      <c r="AQ59" s="27"/>
    </row>
    <row r="60" spans="2:43" ht="12.75">
      <c r="B60" s="7" t="s">
        <v>79</v>
      </c>
      <c r="D60" s="7" t="s">
        <v>103</v>
      </c>
      <c r="K60" s="9"/>
      <c r="L60" s="9"/>
      <c r="M60" s="9"/>
      <c r="N60" s="9"/>
      <c r="O60" s="9"/>
      <c r="P60" s="9"/>
      <c r="Q60" s="9"/>
      <c r="R60" s="9"/>
      <c r="S60" s="9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2:43" ht="12.75">
      <c r="B61" s="7" t="s">
        <v>22</v>
      </c>
      <c r="D61" s="7" t="s">
        <v>18</v>
      </c>
      <c r="E61" s="24"/>
      <c r="F61" s="24">
        <v>0.045</v>
      </c>
      <c r="H61" s="24">
        <v>0.064</v>
      </c>
      <c r="J61" s="24">
        <v>0.034</v>
      </c>
      <c r="M61" s="9"/>
      <c r="N61" s="9">
        <v>3.07</v>
      </c>
      <c r="O61" s="9"/>
      <c r="P61" s="9">
        <v>2.71</v>
      </c>
      <c r="Q61" s="9"/>
      <c r="R61" s="9">
        <v>2.96</v>
      </c>
      <c r="S61" s="9"/>
      <c r="T61" s="27"/>
      <c r="U61" s="7"/>
      <c r="V61" s="27"/>
      <c r="W61" s="7"/>
      <c r="X61" s="27"/>
      <c r="Y61" s="7"/>
      <c r="Z61" s="27"/>
      <c r="AA61" s="7"/>
      <c r="AB61" s="27"/>
      <c r="AC61" s="7"/>
      <c r="AE61" s="7"/>
      <c r="AG61" s="7"/>
      <c r="AI61" s="27"/>
      <c r="AJ61" s="27"/>
      <c r="AK61" s="27"/>
      <c r="AL61" s="27"/>
      <c r="AM61" s="27"/>
      <c r="AN61" s="27"/>
      <c r="AO61" s="27"/>
      <c r="AP61" s="27"/>
      <c r="AQ61" s="27"/>
    </row>
    <row r="62" spans="2:50" ht="12.75">
      <c r="B62" s="7" t="s">
        <v>124</v>
      </c>
      <c r="D62" s="7" t="s">
        <v>134</v>
      </c>
      <c r="E62" s="7" t="s">
        <v>63</v>
      </c>
      <c r="F62" s="24">
        <v>4.27</v>
      </c>
      <c r="G62" s="24" t="s">
        <v>63</v>
      </c>
      <c r="H62" s="24">
        <v>4.11</v>
      </c>
      <c r="I62" s="24" t="s">
        <v>63</v>
      </c>
      <c r="J62" s="24">
        <v>2.49</v>
      </c>
      <c r="K62" s="9"/>
      <c r="L62" s="9"/>
      <c r="M62" s="9"/>
      <c r="N62" s="9">
        <v>1.42</v>
      </c>
      <c r="O62" s="9"/>
      <c r="P62" s="9">
        <v>3.04</v>
      </c>
      <c r="Q62" s="9"/>
      <c r="R62" s="9">
        <v>2.64</v>
      </c>
      <c r="S62" s="9"/>
      <c r="T62" s="27"/>
      <c r="U62" s="7" t="s">
        <v>63</v>
      </c>
      <c r="V62" s="27"/>
      <c r="W62" s="7"/>
      <c r="X62" s="27"/>
      <c r="Y62" s="7"/>
      <c r="Z62" s="27"/>
      <c r="AA62" s="7"/>
      <c r="AB62" s="27"/>
      <c r="AC62" s="7"/>
      <c r="AD62" s="24">
        <v>0.000664</v>
      </c>
      <c r="AE62" s="7" t="s">
        <v>63</v>
      </c>
      <c r="AF62" s="24">
        <v>0.000664</v>
      </c>
      <c r="AG62" s="7" t="s">
        <v>63</v>
      </c>
      <c r="AH62" s="24">
        <v>0.000664</v>
      </c>
      <c r="AI62" s="27"/>
      <c r="AJ62" s="27"/>
      <c r="AK62" s="27"/>
      <c r="AL62" s="27"/>
      <c r="AM62" s="27"/>
      <c r="AN62" s="27"/>
      <c r="AO62" s="27"/>
      <c r="AP62" s="27"/>
      <c r="AQ62" s="27"/>
      <c r="AS62" s="24" t="s">
        <v>63</v>
      </c>
      <c r="AT62" s="24">
        <v>0.339</v>
      </c>
      <c r="AU62" s="24" t="s">
        <v>63</v>
      </c>
      <c r="AV62" s="24">
        <v>0.311</v>
      </c>
      <c r="AX62" s="24">
        <v>0.632</v>
      </c>
    </row>
    <row r="63" spans="2:50" ht="12.75">
      <c r="B63" s="7" t="s">
        <v>125</v>
      </c>
      <c r="D63" s="7" t="s">
        <v>134</v>
      </c>
      <c r="E63" s="7" t="s">
        <v>63</v>
      </c>
      <c r="F63" s="24">
        <v>0.0291</v>
      </c>
      <c r="G63" s="24" t="s">
        <v>63</v>
      </c>
      <c r="H63" s="24">
        <v>0.0279</v>
      </c>
      <c r="I63" s="24" t="s">
        <v>63</v>
      </c>
      <c r="J63" s="24">
        <v>0.0264</v>
      </c>
      <c r="K63" s="9"/>
      <c r="L63" s="9"/>
      <c r="M63" s="9" t="s">
        <v>63</v>
      </c>
      <c r="N63" s="9">
        <v>0.00172</v>
      </c>
      <c r="O63" s="9"/>
      <c r="P63" s="9">
        <v>0.0122</v>
      </c>
      <c r="Q63" s="9" t="s">
        <v>63</v>
      </c>
      <c r="R63" s="9">
        <v>0.00165</v>
      </c>
      <c r="S63" s="9"/>
      <c r="T63" s="27"/>
      <c r="U63" s="7"/>
      <c r="V63" s="27"/>
      <c r="W63" s="7"/>
      <c r="X63" s="27"/>
      <c r="Y63" s="7"/>
      <c r="Z63" s="27"/>
      <c r="AA63" s="7"/>
      <c r="AB63" s="27"/>
      <c r="AC63" s="7"/>
      <c r="AD63" s="24">
        <v>0.01</v>
      </c>
      <c r="AE63" s="7"/>
      <c r="AF63" s="24">
        <v>0.01</v>
      </c>
      <c r="AG63" s="7"/>
      <c r="AH63" s="24">
        <v>0.01</v>
      </c>
      <c r="AI63" s="27"/>
      <c r="AJ63" s="27"/>
      <c r="AK63" s="27"/>
      <c r="AL63" s="27"/>
      <c r="AM63" s="27"/>
      <c r="AN63" s="27"/>
      <c r="AO63" s="27"/>
      <c r="AP63" s="27"/>
      <c r="AQ63" s="27"/>
      <c r="AT63" s="24">
        <v>2200</v>
      </c>
      <c r="AV63" s="24">
        <v>1990</v>
      </c>
      <c r="AX63" s="24">
        <v>1710</v>
      </c>
    </row>
    <row r="64" spans="2:50" ht="12.75">
      <c r="B64" s="7" t="s">
        <v>126</v>
      </c>
      <c r="D64" s="7" t="s">
        <v>134</v>
      </c>
      <c r="F64" s="24">
        <v>1.64</v>
      </c>
      <c r="H64" s="24">
        <v>1.65</v>
      </c>
      <c r="J64" s="24">
        <v>1.02</v>
      </c>
      <c r="K64" s="9"/>
      <c r="L64" s="9"/>
      <c r="M64" s="9"/>
      <c r="N64" s="9">
        <v>0.265</v>
      </c>
      <c r="O64" s="9"/>
      <c r="P64" s="9">
        <v>0.131</v>
      </c>
      <c r="Q64" s="9"/>
      <c r="R64" s="9">
        <v>0.29</v>
      </c>
      <c r="S64" s="9"/>
      <c r="T64" s="27"/>
      <c r="U64" s="7"/>
      <c r="V64" s="27"/>
      <c r="W64" s="7"/>
      <c r="X64" s="27"/>
      <c r="Y64" s="7"/>
      <c r="Z64" s="27"/>
      <c r="AA64" s="7"/>
      <c r="AB64" s="27"/>
      <c r="AC64" s="7"/>
      <c r="AD64" s="24">
        <v>0.0308</v>
      </c>
      <c r="AE64" s="7"/>
      <c r="AF64" s="24">
        <v>0.0308</v>
      </c>
      <c r="AG64" s="7"/>
      <c r="AH64" s="24">
        <v>0.0308</v>
      </c>
      <c r="AI64" s="27"/>
      <c r="AJ64" s="27"/>
      <c r="AK64" s="27"/>
      <c r="AL64" s="27"/>
      <c r="AM64" s="27"/>
      <c r="AN64" s="27"/>
      <c r="AO64" s="27"/>
      <c r="AP64" s="27"/>
      <c r="AQ64" s="27"/>
      <c r="AT64" s="24">
        <v>5700</v>
      </c>
      <c r="AV64" s="24">
        <v>10500</v>
      </c>
      <c r="AX64" s="24">
        <v>4930</v>
      </c>
    </row>
    <row r="65" spans="2:50" ht="12.75">
      <c r="B65" s="7" t="s">
        <v>127</v>
      </c>
      <c r="D65" s="7" t="s">
        <v>134</v>
      </c>
      <c r="E65" s="7" t="s">
        <v>63</v>
      </c>
      <c r="F65" s="24">
        <v>1.04</v>
      </c>
      <c r="G65" s="24" t="s">
        <v>63</v>
      </c>
      <c r="H65" s="24">
        <v>1</v>
      </c>
      <c r="I65" s="24" t="s">
        <v>63</v>
      </c>
      <c r="J65" s="24">
        <v>0.945</v>
      </c>
      <c r="K65" s="9"/>
      <c r="L65" s="9"/>
      <c r="M65" s="9"/>
      <c r="N65" s="9">
        <v>0.446</v>
      </c>
      <c r="O65" s="9"/>
      <c r="P65" s="9">
        <v>0.167</v>
      </c>
      <c r="Q65" s="9"/>
      <c r="R65" s="9">
        <v>0.293</v>
      </c>
      <c r="S65" s="9"/>
      <c r="T65" s="27"/>
      <c r="U65" s="7"/>
      <c r="V65" s="27"/>
      <c r="W65" s="7"/>
      <c r="X65" s="27"/>
      <c r="Y65" s="7"/>
      <c r="Z65" s="27"/>
      <c r="AA65" s="7"/>
      <c r="AB65" s="27"/>
      <c r="AC65" s="7"/>
      <c r="AD65" s="24">
        <v>0.0884</v>
      </c>
      <c r="AE65" s="7"/>
      <c r="AF65" s="24">
        <v>0.0884</v>
      </c>
      <c r="AG65" s="7"/>
      <c r="AH65" s="24">
        <v>0.0884</v>
      </c>
      <c r="AI65" s="27"/>
      <c r="AJ65" s="27"/>
      <c r="AK65" s="27"/>
      <c r="AL65" s="27"/>
      <c r="AM65" s="27"/>
      <c r="AN65" s="27"/>
      <c r="AO65" s="27"/>
      <c r="AP65" s="27"/>
      <c r="AQ65" s="27"/>
      <c r="AT65" s="24">
        <v>759</v>
      </c>
      <c r="AV65" s="24">
        <v>735</v>
      </c>
      <c r="AX65" s="24">
        <v>523</v>
      </c>
    </row>
    <row r="66" spans="6:44" ht="12.75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7"/>
      <c r="V66" s="9"/>
      <c r="W66" s="7"/>
      <c r="X66" s="9"/>
      <c r="Y66" s="7"/>
      <c r="Z66" s="9"/>
      <c r="AA66" s="7"/>
      <c r="AB66" s="9"/>
      <c r="AC66" s="7"/>
      <c r="AE66" s="7"/>
      <c r="AG66" s="7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2:60" ht="12.75">
      <c r="B67" s="7" t="s">
        <v>34</v>
      </c>
      <c r="D67" s="7" t="s">
        <v>17</v>
      </c>
      <c r="F67" s="9">
        <f>'emiss 1'!$G$77</f>
        <v>6964</v>
      </c>
      <c r="G67" s="9"/>
      <c r="H67" s="9">
        <f>'emiss 1'!$I$77</f>
        <v>7127</v>
      </c>
      <c r="I67" s="9"/>
      <c r="J67" s="9">
        <f>'emiss 1'!$K$77</f>
        <v>6986</v>
      </c>
      <c r="K67" s="9"/>
      <c r="L67" s="31">
        <f>'emiss 1'!$M$77</f>
        <v>7025.666666666667</v>
      </c>
      <c r="M67" s="9"/>
      <c r="N67" s="9">
        <f>'emiss 1'!$G$77</f>
        <v>6964</v>
      </c>
      <c r="O67" s="9"/>
      <c r="P67" s="9">
        <f>'emiss 1'!$I$77</f>
        <v>7127</v>
      </c>
      <c r="Q67" s="9"/>
      <c r="R67" s="9">
        <f>'emiss 1'!$K$77</f>
        <v>6986</v>
      </c>
      <c r="S67" s="9"/>
      <c r="T67" s="31">
        <f>'emiss 1'!$M$77</f>
        <v>7025.666666666667</v>
      </c>
      <c r="V67" s="9"/>
      <c r="X67" s="9"/>
      <c r="Z67" s="9"/>
      <c r="AB67" s="9"/>
      <c r="AD67" s="9">
        <f>'emiss 1'!$G$77</f>
        <v>6964</v>
      </c>
      <c r="AE67" s="9"/>
      <c r="AF67" s="9">
        <f>'emiss 1'!$I$77</f>
        <v>7127</v>
      </c>
      <c r="AG67" s="9"/>
      <c r="AH67" s="9">
        <f>'emiss 1'!$K$77</f>
        <v>6986</v>
      </c>
      <c r="AI67" s="9"/>
      <c r="AJ67" s="29">
        <f>'emiss 1'!$M$77</f>
        <v>7025.666666666667</v>
      </c>
      <c r="AT67" s="9">
        <f>'emiss 1'!$G$77</f>
        <v>6964</v>
      </c>
      <c r="AU67" s="9"/>
      <c r="AV67" s="9">
        <f>'emiss 1'!$I$77</f>
        <v>7127</v>
      </c>
      <c r="AW67" s="9"/>
      <c r="AX67" s="9">
        <f>'emiss 1'!$K$77</f>
        <v>6986</v>
      </c>
      <c r="AY67" s="9"/>
      <c r="AZ67" s="31">
        <f>'emiss 1'!$M$77</f>
        <v>7025.666666666667</v>
      </c>
      <c r="BB67" s="9">
        <f>'emiss 1'!$G$77</f>
        <v>6964</v>
      </c>
      <c r="BC67" s="9"/>
      <c r="BD67" s="9">
        <f>'emiss 1'!$I$77</f>
        <v>7127</v>
      </c>
      <c r="BE67" s="9"/>
      <c r="BF67" s="9">
        <f>'emiss 1'!$K$77</f>
        <v>6986</v>
      </c>
      <c r="BG67" s="9"/>
      <c r="BH67" s="31">
        <f>'emiss 1'!$M$77</f>
        <v>7025.666666666667</v>
      </c>
    </row>
    <row r="68" spans="2:60" ht="12.75">
      <c r="B68" s="7" t="s">
        <v>35</v>
      </c>
      <c r="D68" s="7" t="s">
        <v>18</v>
      </c>
      <c r="F68" s="9">
        <f>'emiss 1'!$G$78</f>
        <v>4.2</v>
      </c>
      <c r="G68" s="9"/>
      <c r="H68" s="9">
        <f>'emiss 1'!$I$78</f>
        <v>5.8</v>
      </c>
      <c r="I68" s="9"/>
      <c r="J68" s="9">
        <f>'emiss 1'!$K$78</f>
        <v>5.2</v>
      </c>
      <c r="K68" s="9"/>
      <c r="L68" s="29">
        <f>'emiss 1'!$M$78</f>
        <v>5.066666666666666</v>
      </c>
      <c r="M68" s="9"/>
      <c r="N68" s="9">
        <f>'emiss 1'!$G$78</f>
        <v>4.2</v>
      </c>
      <c r="O68" s="9"/>
      <c r="P68" s="9">
        <f>'emiss 1'!$I$78</f>
        <v>5.8</v>
      </c>
      <c r="Q68" s="9"/>
      <c r="R68" s="9">
        <f>'emiss 1'!$K$78</f>
        <v>5.2</v>
      </c>
      <c r="S68" s="9"/>
      <c r="T68" s="29">
        <f>'emiss 1'!$M$78</f>
        <v>5.066666666666666</v>
      </c>
      <c r="V68" s="9"/>
      <c r="X68" s="9"/>
      <c r="Z68" s="9"/>
      <c r="AB68" s="9"/>
      <c r="AD68" s="9">
        <f>'emiss 1'!$G$78</f>
        <v>4.2</v>
      </c>
      <c r="AE68" s="9"/>
      <c r="AF68" s="9">
        <f>'emiss 1'!$I$78</f>
        <v>5.8</v>
      </c>
      <c r="AG68" s="9"/>
      <c r="AH68" s="9">
        <f>'emiss 1'!$K$78</f>
        <v>5.2</v>
      </c>
      <c r="AI68" s="9"/>
      <c r="AJ68" s="29">
        <f>'emiss 1'!$M$78</f>
        <v>5.066666666666666</v>
      </c>
      <c r="AT68" s="9">
        <f>'emiss 1'!$G$78</f>
        <v>4.2</v>
      </c>
      <c r="AU68" s="9"/>
      <c r="AV68" s="9">
        <f>'emiss 1'!$I$78</f>
        <v>5.8</v>
      </c>
      <c r="AW68" s="9"/>
      <c r="AX68" s="9">
        <f>'emiss 1'!$K$78</f>
        <v>5.2</v>
      </c>
      <c r="AY68" s="9"/>
      <c r="AZ68" s="29">
        <f>'emiss 1'!$M$78</f>
        <v>5.066666666666666</v>
      </c>
      <c r="BB68" s="9">
        <f>'emiss 1'!$G$78</f>
        <v>4.2</v>
      </c>
      <c r="BC68" s="9"/>
      <c r="BD68" s="9">
        <f>'emiss 1'!$I$78</f>
        <v>5.8</v>
      </c>
      <c r="BE68" s="9"/>
      <c r="BF68" s="9">
        <f>'emiss 1'!$K$78</f>
        <v>5.2</v>
      </c>
      <c r="BG68" s="9"/>
      <c r="BH68" s="29">
        <f>'emiss 1'!$M$78</f>
        <v>5.066666666666666</v>
      </c>
    </row>
    <row r="69" spans="6:19" ht="12.75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2:60" ht="12.75">
      <c r="B70" s="7" t="s">
        <v>226</v>
      </c>
      <c r="D70" s="7" t="s">
        <v>29</v>
      </c>
      <c r="F70" s="30"/>
      <c r="G70" s="9"/>
      <c r="H70" s="30"/>
      <c r="I70" s="9"/>
      <c r="J70" s="30"/>
      <c r="K70" s="9"/>
      <c r="L70" s="30"/>
      <c r="M70" s="9"/>
      <c r="N70" s="30"/>
      <c r="O70" s="9"/>
      <c r="P70" s="30"/>
      <c r="Q70" s="9"/>
      <c r="R70" s="30"/>
      <c r="S70" s="9"/>
      <c r="T70" s="30"/>
      <c r="V70" s="30"/>
      <c r="X70" s="30"/>
      <c r="Z70" s="30"/>
      <c r="AB70" s="30"/>
      <c r="AD70" s="30"/>
      <c r="AE70" s="9"/>
      <c r="AF70" s="30"/>
      <c r="AG70" s="9"/>
      <c r="AH70" s="30"/>
      <c r="AI70" s="9"/>
      <c r="AJ70" s="30"/>
      <c r="AR70" s="27"/>
      <c r="BB70" s="27">
        <f>BB67/150*(21-BB68)/21</f>
        <v>37.141333333333336</v>
      </c>
      <c r="BD70" s="27">
        <f>BD67/150*(21-BD68)/21</f>
        <v>34.39060317460318</v>
      </c>
      <c r="BF70" s="27">
        <f>BF67/150*(21-BF68)/21</f>
        <v>35.04088888888889</v>
      </c>
      <c r="BH70" s="27">
        <f>BH67/150*(21-BH68)/21</f>
        <v>35.53723456790124</v>
      </c>
    </row>
    <row r="71" spans="6:19" ht="12.75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2:19" ht="12.75">
      <c r="B72" s="35" t="s">
        <v>47</v>
      </c>
      <c r="C72" s="35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2:60" ht="12.75">
      <c r="B73" s="7" t="s">
        <v>22</v>
      </c>
      <c r="D73" s="7" t="s">
        <v>36</v>
      </c>
      <c r="F73" s="29">
        <f>F61/100*F$55/0.0283/F$67*(21-7)/(21-F$68)*1000000</f>
        <v>22.833228131348907</v>
      </c>
      <c r="G73" s="7"/>
      <c r="H73" s="29">
        <f>H61/100*H$55/0.0283/H$67*(21-7)/(21-H$68)*1000000</f>
        <v>32.1487367568798</v>
      </c>
      <c r="I73" s="7"/>
      <c r="J73" s="29">
        <f>J61/100*J$55/0.0283/J$67*(21-7)/(21-J$68)*1000000</f>
        <v>16.76206552748562</v>
      </c>
      <c r="K73" s="9"/>
      <c r="L73" s="29">
        <f aca="true" t="shared" si="0" ref="L73:L79">AVERAGE(F73,H73,J73)</f>
        <v>23.914676805238106</v>
      </c>
      <c r="M73" s="9"/>
      <c r="N73" s="30">
        <f>N61/100*N$55/0.0283/N$67*(21-7)/(21-N$68)*1000000</f>
        <v>3245.27825755746</v>
      </c>
      <c r="O73" s="7"/>
      <c r="P73" s="30">
        <f>P61/100*P$55/0.0283/P$67*(21-7)/(21-P$68)*1000000</f>
        <v>3341.3679950296805</v>
      </c>
      <c r="Q73" s="7"/>
      <c r="R73" s="30">
        <f>R61/100*R$55/0.0283/R$67*(21-7)/(21-R$68)*1000000</f>
        <v>3183.89608308176</v>
      </c>
      <c r="S73" s="9"/>
      <c r="T73" s="29">
        <f>AVERAGE(N73,P73,R73)</f>
        <v>3256.847445222967</v>
      </c>
      <c r="U73" s="7"/>
      <c r="V73" s="29">
        <f>F73+N73</f>
        <v>3268.111485688809</v>
      </c>
      <c r="W73" s="7"/>
      <c r="X73" s="29">
        <f>H73+P73</f>
        <v>3373.5167317865603</v>
      </c>
      <c r="Y73" s="7"/>
      <c r="Z73" s="29">
        <f>J73+R73</f>
        <v>3200.6581486092455</v>
      </c>
      <c r="AA73" s="7"/>
      <c r="AB73" s="29">
        <f>L73+T73</f>
        <v>3280.7621220282053</v>
      </c>
      <c r="AC73" s="7"/>
      <c r="AD73" s="30"/>
      <c r="AE73" s="7"/>
      <c r="AF73" s="30"/>
      <c r="AG73" s="7"/>
      <c r="AH73" s="30"/>
      <c r="AI73" s="9"/>
      <c r="AJ73" s="30"/>
      <c r="AL73" s="27">
        <f>F73+N73+AD73</f>
        <v>3268.111485688809</v>
      </c>
      <c r="AN73" s="27">
        <f>H73+P73+AF73</f>
        <v>3373.5167317865603</v>
      </c>
      <c r="AP73" s="27">
        <f>J73+R73+AH73</f>
        <v>3200.6581486092455</v>
      </c>
      <c r="AR73" s="27">
        <f>L73+T73+AJ73</f>
        <v>3280.7621220282053</v>
      </c>
      <c r="BB73" s="27">
        <f>SUM(AT73,AD73,N73,F73)</f>
        <v>3268.111485688809</v>
      </c>
      <c r="BD73" s="27">
        <f>SUM(AV73,AF73,P73,H73)</f>
        <v>3373.5167317865603</v>
      </c>
      <c r="BF73" s="27">
        <f>SUM(AX73,AH73,R73,J73)</f>
        <v>3200.6581486092455</v>
      </c>
      <c r="BH73" s="27">
        <f aca="true" t="shared" si="1" ref="BH73:BH79">SUM(AZ73,AJ73,T73,L73)</f>
        <v>3280.7621220282053</v>
      </c>
    </row>
    <row r="74" spans="2:60" ht="12.75">
      <c r="B74" s="7" t="s">
        <v>124</v>
      </c>
      <c r="D74" s="7" t="s">
        <v>31</v>
      </c>
      <c r="E74" s="7">
        <v>100</v>
      </c>
      <c r="F74" s="29">
        <f>F62*F$55/1000000/0.0283/F$67*(21-7)/(21-F$68)*1000000000</f>
        <v>216.66196471302186</v>
      </c>
      <c r="G74" s="7">
        <v>100</v>
      </c>
      <c r="H74" s="29">
        <f>H62*H$55/1000000/0.0283/H$67*(21-7)/(21-H$68)*1000000000</f>
        <v>206.45516886058746</v>
      </c>
      <c r="I74" s="7">
        <v>100</v>
      </c>
      <c r="J74" s="29">
        <f>J62*J$55/1000000/0.0283/J$67*(21-7)/(21-J$68)*1000000000</f>
        <v>122.7574798924682</v>
      </c>
      <c r="K74" s="7">
        <v>100</v>
      </c>
      <c r="L74" s="29">
        <f t="shared" si="0"/>
        <v>181.95820448869247</v>
      </c>
      <c r="N74" s="29">
        <f>N62*N$55/1000000/0.0283/N$67*(21-7)/(21-N$68)*1000000000</f>
        <v>150.1073330857197</v>
      </c>
      <c r="O74" s="9"/>
      <c r="P74" s="29">
        <f>P62*P$55/1000000/0.0283/P$67*(21-7)/(21-P$68)*1000000000</f>
        <v>374.82504446089405</v>
      </c>
      <c r="Q74" s="9"/>
      <c r="R74" s="29">
        <f>R62*R$55/1000000/0.0283/R$67*(21-7)/(21-R$68)*1000000000</f>
        <v>283.9691101126976</v>
      </c>
      <c r="S74" s="9"/>
      <c r="T74" s="29">
        <f aca="true" t="shared" si="2" ref="T74:T79">AVERAGE(N74,P74,R74)</f>
        <v>269.6338292197704</v>
      </c>
      <c r="U74" s="24">
        <f>SUM((N74*M74/100),(F74*E74/100))/V74*100</f>
        <v>59.0730919990777</v>
      </c>
      <c r="V74" s="29">
        <f aca="true" t="shared" si="3" ref="V74:V79">F74+N74</f>
        <v>366.76929779874155</v>
      </c>
      <c r="W74" s="24">
        <f>SUM((P74*O74/100),(H74*G74/100))/X74*100</f>
        <v>35.51732264906906</v>
      </c>
      <c r="X74" s="29">
        <f aca="true" t="shared" si="4" ref="X74:X79">H74+P74</f>
        <v>581.2802133214815</v>
      </c>
      <c r="Y74" s="24">
        <f>SUM((R74*Q74/100),(J74*I74/100))/Z74*100</f>
        <v>30.181818181818176</v>
      </c>
      <c r="Z74" s="29">
        <f aca="true" t="shared" si="5" ref="Z74:Z79">J74+R74</f>
        <v>406.7265900051658</v>
      </c>
      <c r="AA74" s="7">
        <f aca="true" t="shared" si="6" ref="AA74:AA79">SUM((Z74*Y74/100),(X74*W74/100),(V74*U74/100))/AB74*100/3</f>
        <v>40.29260724429883</v>
      </c>
      <c r="AB74" s="29">
        <f aca="true" t="shared" si="7" ref="AB74:AB79">L74+T74</f>
        <v>451.59203370846285</v>
      </c>
      <c r="AC74" s="7">
        <v>100</v>
      </c>
      <c r="AD74" s="69">
        <f>AD62*AD$55/1000000/0.0283/AD$67*(21-7)/(21-AD$68)*1000000000</f>
        <v>0.02133807452630354</v>
      </c>
      <c r="AE74" s="31">
        <v>100</v>
      </c>
      <c r="AF74" s="69">
        <f>AF62*AF$55/1000000/0.0283/AF$67*(21-7)/(21-AF$68)*1000000000</f>
        <v>0.023044799029817927</v>
      </c>
      <c r="AG74" s="31">
        <v>100</v>
      </c>
      <c r="AH74" s="69">
        <f>AH62*AH$55/1000000/0.0283/AH$67*(21-7)/(21-AH$68)*1000000000</f>
        <v>0.022617135689278988</v>
      </c>
      <c r="AI74" s="9">
        <v>100</v>
      </c>
      <c r="AJ74" s="30">
        <f>AVERAGE(AD74,AF74,AH74)/2</f>
        <v>0.011166668207566744</v>
      </c>
      <c r="AL74" s="27"/>
      <c r="AN74" s="27"/>
      <c r="AP74" s="27"/>
      <c r="AR74" s="27"/>
      <c r="AS74" s="24">
        <v>100</v>
      </c>
      <c r="AT74" s="29">
        <f>AT62*AT$55/1000000/0.0283/AT$67*(21-7)/(21-AT$68)*1000000000</f>
        <v>0.07271736218370904</v>
      </c>
      <c r="AU74" s="9">
        <v>100</v>
      </c>
      <c r="AV74" s="29">
        <f>AV62*AV$55/1000000/0.0283/AV$67*(21-7)/(21-AV$68)*1000000000</f>
        <v>0.08741373955071463</v>
      </c>
      <c r="AW74" s="9">
        <v>100</v>
      </c>
      <c r="AX74" s="29">
        <f>AX62*AX$55/1000000/0.0283/AX$67*(21-7)/(21-AX$68)*1000000000</f>
        <v>0.1909685094570767</v>
      </c>
      <c r="AY74" s="9">
        <v>100</v>
      </c>
      <c r="AZ74" s="30">
        <f>AVERAGE(AT74/2,AV74/2,AX74)</f>
        <v>0.09034468677476286</v>
      </c>
      <c r="BA74" s="24">
        <f>SUM((AT74*AS74/100),(AD74*AC74/100),(V74*U74/100))/BB74*100</f>
        <v>83.8562130832582</v>
      </c>
      <c r="BB74" s="27">
        <f>SUM(AT74/2,AD74/2,N74,F74/2)</f>
        <v>258.4853431605856</v>
      </c>
      <c r="BC74" s="24">
        <f>SUM((AV74*AU74/100),(AF74*AE74/100),(X74*W74/100))/BD74*100</f>
        <v>43.204817463977705</v>
      </c>
      <c r="BD74" s="27">
        <f>SUM(AV74/2,AF74/2,P74,H74/2)</f>
        <v>478.1078581604781</v>
      </c>
      <c r="BE74" s="24">
        <f>SUM((AX74*AW74/100),(AH74*AG74/100),(Z74*Y74/100))/BF74*100</f>
        <v>35.596877353243485</v>
      </c>
      <c r="BF74" s="27">
        <f>SUM(AX74/2,AH74/2,R74,J74/2)</f>
        <v>345.45464288150487</v>
      </c>
      <c r="BG74" s="7">
        <f aca="true" t="shared" si="8" ref="BG74:BG79">SUM((BF74*BE74/100),(BD74*BC74/100),(BB74*BA74/100))/BH74*100/3</f>
        <v>40.31440630909626</v>
      </c>
      <c r="BH74" s="27">
        <f t="shared" si="1"/>
        <v>451.6935450634452</v>
      </c>
    </row>
    <row r="75" spans="2:60" ht="12.75">
      <c r="B75" s="7" t="s">
        <v>125</v>
      </c>
      <c r="D75" s="7" t="s">
        <v>31</v>
      </c>
      <c r="E75" s="7">
        <v>100</v>
      </c>
      <c r="F75" s="29">
        <f aca="true" t="shared" si="9" ref="F75:H77">F63*F$55/1000000/0.0283/F$67*(21-7)/(21-F$68)*1000000000</f>
        <v>1.476548752493896</v>
      </c>
      <c r="G75" s="7">
        <v>100</v>
      </c>
      <c r="H75" s="29">
        <f t="shared" si="9"/>
        <v>1.4014839929952287</v>
      </c>
      <c r="I75" s="7">
        <v>100</v>
      </c>
      <c r="J75" s="29">
        <f>J63*J$55/1000000/0.0283/J$67*(21-7)/(21-J$68)*1000000000</f>
        <v>1.3015250880165303</v>
      </c>
      <c r="K75" s="7">
        <v>100</v>
      </c>
      <c r="L75" s="29">
        <f t="shared" si="0"/>
        <v>1.3931859445018848</v>
      </c>
      <c r="M75" s="24">
        <v>100</v>
      </c>
      <c r="N75" s="29">
        <f>N63*N$55/1000000/0.0283/N$67*(21-7)/(21-N$68)*1000000000</f>
        <v>0.18182014993481532</v>
      </c>
      <c r="P75" s="29">
        <f>P63*P$55/1000000/0.0283/P$67*(21-7)/(21-P$68)*1000000000</f>
        <v>1.5042320863233247</v>
      </c>
      <c r="Q75" s="24">
        <v>100</v>
      </c>
      <c r="R75" s="29">
        <f>R63*R$55/1000000/0.0283/R$67*(21-7)/(21-R$68)*1000000000</f>
        <v>0.17748069382043594</v>
      </c>
      <c r="T75" s="29">
        <f>AVERAGE(N75/2,P75,R75/2)</f>
        <v>0.5612941694003167</v>
      </c>
      <c r="U75" s="24">
        <f aca="true" t="shared" si="10" ref="U75:Y79">SUM((N75*M75/100),(F75*E75/100))/V75*100</f>
        <v>100.00000000000003</v>
      </c>
      <c r="V75" s="29">
        <f t="shared" si="3"/>
        <v>1.6583689024287114</v>
      </c>
      <c r="W75" s="24">
        <f t="shared" si="10"/>
        <v>48.23196605374823</v>
      </c>
      <c r="X75" s="29">
        <f t="shared" si="4"/>
        <v>2.9057160793185535</v>
      </c>
      <c r="Y75" s="24">
        <f t="shared" si="10"/>
        <v>100</v>
      </c>
      <c r="Z75" s="29">
        <f t="shared" si="5"/>
        <v>1.4790057818369662</v>
      </c>
      <c r="AA75" s="7">
        <f t="shared" si="6"/>
        <v>77.4094799767304</v>
      </c>
      <c r="AB75" s="29">
        <f t="shared" si="7"/>
        <v>1.9544801139022017</v>
      </c>
      <c r="AD75" s="29">
        <f>AD63*AD$55/1000000/0.0283/AD$67*(21-7)/(21-AD$68)*1000000000</f>
        <v>0.3213565440708364</v>
      </c>
      <c r="AF75" s="29">
        <f>AF63*AF$55/1000000/0.0283/AF$67*(21-7)/(21-AF$68)*1000000000</f>
        <v>0.3470602263526797</v>
      </c>
      <c r="AH75" s="29">
        <f>AH63*AH$55/1000000/0.0283/AH$67*(21-7)/(21-AH$68)*1000000000</f>
        <v>0.3406195133927558</v>
      </c>
      <c r="AJ75" s="30">
        <f>AVERAGE(AD75,AF75,AH75)</f>
        <v>0.33634542793875727</v>
      </c>
      <c r="AT75" s="29">
        <f>AT63*AT$55/1000000/0.0283/AT$67*(21-7)/(21-AT$68)*1000000000</f>
        <v>471.9120849680233</v>
      </c>
      <c r="AV75" s="29">
        <f>AV63*AV$55/1000000/0.0283/AV$67*(21-7)/(21-AV$68)*1000000000</f>
        <v>559.335503877563</v>
      </c>
      <c r="AX75" s="29">
        <f>AX63*AX$55/1000000/0.0283/AX$67*(21-7)/(21-AX$68)*1000000000</f>
        <v>516.7027708411409</v>
      </c>
      <c r="AZ75" s="29">
        <f>AVERAGE(AT75,AV75,AX75)</f>
        <v>515.9834532289091</v>
      </c>
      <c r="BB75" s="27">
        <f>SUM(AT75,AD75,N75/2,F75/2)</f>
        <v>473.06262596330845</v>
      </c>
      <c r="BD75" s="27">
        <f>SUM(AV75,AF75,P75,H75/2)</f>
        <v>561.8875381867367</v>
      </c>
      <c r="BF75" s="27">
        <f>SUM(AX75,AH75,R75/2,J75/2)</f>
        <v>517.7828932454521</v>
      </c>
      <c r="BG75" s="7"/>
      <c r="BH75" s="27">
        <f t="shared" si="1"/>
        <v>518.27427877075</v>
      </c>
    </row>
    <row r="76" spans="2:60" ht="12.75">
      <c r="B76" s="7" t="s">
        <v>126</v>
      </c>
      <c r="D76" s="7" t="s">
        <v>31</v>
      </c>
      <c r="F76" s="29">
        <f t="shared" si="9"/>
        <v>83.21443141202712</v>
      </c>
      <c r="G76" s="7"/>
      <c r="H76" s="29">
        <f t="shared" si="9"/>
        <v>82.88346195133073</v>
      </c>
      <c r="I76" s="7"/>
      <c r="J76" s="29">
        <f>J64*J$55/1000000/0.0283/J$67*(21-7)/(21-J$68)*1000000000</f>
        <v>50.28619658245687</v>
      </c>
      <c r="K76" s="7"/>
      <c r="L76" s="29">
        <f t="shared" si="0"/>
        <v>72.12802998193824</v>
      </c>
      <c r="N76" s="29">
        <f>N64*N$55/1000000/0.0283/N$67*(21-7)/(21-N$68)*1000000000</f>
        <v>28.012988216701203</v>
      </c>
      <c r="P76" s="29">
        <f>P64*P$55/1000000/0.0283/P$67*(21-7)/(21-P$68)*1000000000</f>
        <v>16.152000271176682</v>
      </c>
      <c r="R76" s="29">
        <f>R64*R$55/1000000/0.0283/R$67*(21-7)/(21-R$68)*1000000000</f>
        <v>31.193576489652383</v>
      </c>
      <c r="T76" s="29">
        <f t="shared" si="2"/>
        <v>25.119521659176755</v>
      </c>
      <c r="U76" s="24">
        <f t="shared" si="10"/>
        <v>0</v>
      </c>
      <c r="V76" s="29">
        <f t="shared" si="3"/>
        <v>111.22741962872833</v>
      </c>
      <c r="W76" s="24">
        <f t="shared" si="10"/>
        <v>0</v>
      </c>
      <c r="X76" s="29">
        <f t="shared" si="4"/>
        <v>99.03546222250742</v>
      </c>
      <c r="Y76" s="24">
        <f t="shared" si="10"/>
        <v>0</v>
      </c>
      <c r="Z76" s="29">
        <f t="shared" si="5"/>
        <v>81.47977307210925</v>
      </c>
      <c r="AA76" s="7">
        <f t="shared" si="6"/>
        <v>0</v>
      </c>
      <c r="AB76" s="29">
        <f t="shared" si="7"/>
        <v>97.247551641115</v>
      </c>
      <c r="AD76" s="29">
        <f>AD64*AD$55/1000000/0.0283/AD$67*(21-7)/(21-AD$68)*1000000000</f>
        <v>0.9897781557381764</v>
      </c>
      <c r="AF76" s="29">
        <f>AF64*AF$55/1000000/0.0283/AF$67*(21-7)/(21-AF$68)*1000000000</f>
        <v>1.0689454971662533</v>
      </c>
      <c r="AH76" s="29">
        <f>AH64*AH$55/1000000/0.0283/AH$67*(21-7)/(21-AH$68)*1000000000</f>
        <v>1.0491081012496881</v>
      </c>
      <c r="AJ76" s="30">
        <f>AVERAGE(AD76,AF76,AH76)</f>
        <v>1.0359439180513725</v>
      </c>
      <c r="AT76" s="29">
        <f>AT64*AT$55/1000000/0.0283/AT$67*(21-7)/(21-AT$68)*1000000000</f>
        <v>1222.6813110535152</v>
      </c>
      <c r="AV76" s="29">
        <f>AV64*AV$55/1000000/0.0283/AV$67*(21-7)/(21-AV$68)*1000000000</f>
        <v>2951.2677340273426</v>
      </c>
      <c r="AX76" s="29">
        <f>AX64*AX$55/1000000/0.0283/AX$67*(21-7)/(21-AX$68)*1000000000</f>
        <v>1489.6752399104241</v>
      </c>
      <c r="AZ76" s="29">
        <f>AVERAGE(AT76,AV76,AX76)</f>
        <v>1887.8747616637609</v>
      </c>
      <c r="BB76" s="27">
        <f>SUM(AT76,AD76,N76,F76)</f>
        <v>1334.8985088379816</v>
      </c>
      <c r="BD76" s="27">
        <f>SUM(AV76,AF76,P76,H76)</f>
        <v>3051.3721417470165</v>
      </c>
      <c r="BF76" s="27">
        <f>SUM(AX76,AH76,R76,J76)</f>
        <v>1572.2041210837829</v>
      </c>
      <c r="BG76" s="7"/>
      <c r="BH76" s="27">
        <f t="shared" si="1"/>
        <v>1986.1582572229272</v>
      </c>
    </row>
    <row r="77" spans="2:60" ht="12.75">
      <c r="B77" s="7" t="s">
        <v>127</v>
      </c>
      <c r="D77" s="7" t="s">
        <v>31</v>
      </c>
      <c r="E77" s="7">
        <v>100</v>
      </c>
      <c r="F77" s="29">
        <f t="shared" si="9"/>
        <v>52.770127236895256</v>
      </c>
      <c r="G77" s="7">
        <v>100</v>
      </c>
      <c r="H77" s="29">
        <f t="shared" si="9"/>
        <v>50.232401182624685</v>
      </c>
      <c r="I77" s="7">
        <v>100</v>
      </c>
      <c r="J77" s="29">
        <f>J65*J$55/1000000/0.0283/J$67*(21-7)/(21-J$68)*1000000000</f>
        <v>46.58868212786444</v>
      </c>
      <c r="K77" s="7">
        <v>100</v>
      </c>
      <c r="L77" s="29">
        <f t="shared" si="0"/>
        <v>49.863736849128124</v>
      </c>
      <c r="N77" s="29">
        <f>N65*N$55/1000000/0.0283/N$67*(21-7)/(21-N$68)*1000000000</f>
        <v>47.146387715655614</v>
      </c>
      <c r="P77" s="29">
        <f>P65*P$55/1000000/0.0283/P$67*(21-7)/(21-P$68)*1000000000</f>
        <v>20.590717902950434</v>
      </c>
      <c r="R77" s="29">
        <f>R65*R$55/1000000/0.0283/R$67*(21-7)/(21-R$68)*1000000000</f>
        <v>31.516268660234985</v>
      </c>
      <c r="T77" s="29">
        <f t="shared" si="2"/>
        <v>33.08445809294701</v>
      </c>
      <c r="U77" s="24">
        <f t="shared" si="10"/>
        <v>52.81421921286501</v>
      </c>
      <c r="V77" s="29">
        <f t="shared" si="3"/>
        <v>99.91651495255087</v>
      </c>
      <c r="W77" s="24">
        <f t="shared" si="10"/>
        <v>70.92655877232573</v>
      </c>
      <c r="X77" s="29">
        <f t="shared" si="4"/>
        <v>70.82311908557512</v>
      </c>
      <c r="Y77" s="24">
        <f t="shared" si="10"/>
        <v>59.648820795317626</v>
      </c>
      <c r="Z77" s="29">
        <f t="shared" si="5"/>
        <v>78.10495078809942</v>
      </c>
      <c r="AA77" s="7">
        <f t="shared" si="6"/>
        <v>60.11431217273536</v>
      </c>
      <c r="AB77" s="29">
        <f t="shared" si="7"/>
        <v>82.94819494207513</v>
      </c>
      <c r="AD77" s="29">
        <f>AD65*AD$55/1000000/0.0283/AD$67*(21-7)/(21-AD$68)*1000000000</f>
        <v>2.8407918495861946</v>
      </c>
      <c r="AF77" s="29">
        <f>AF65*AF$55/1000000/0.0283/AF$67*(21-7)/(21-AF$68)*1000000000</f>
        <v>3.0680124009576883</v>
      </c>
      <c r="AH77" s="29">
        <f>AH65*AH$55/1000000/0.0283/AH$67*(21-7)/(21-AH$68)*1000000000</f>
        <v>3.0110764983919625</v>
      </c>
      <c r="AJ77" s="30">
        <f>AVERAGE(AD77,AF77,AH77)</f>
        <v>2.973293582978615</v>
      </c>
      <c r="AT77" s="29">
        <f>AT65*AT$55/1000000/0.0283/AT$67*(21-7)/(21-AT$68)*1000000000</f>
        <v>162.80966931396804</v>
      </c>
      <c r="AV77" s="29">
        <f>AV65*AV$55/1000000/0.0283/AV$67*(21-7)/(21-AV$68)*1000000000</f>
        <v>206.588741381914</v>
      </c>
      <c r="AX77" s="29">
        <f>AX65*AX$55/1000000/0.0283/AX$67*(21-7)/(21-AX$68)*1000000000</f>
        <v>158.03248488299226</v>
      </c>
      <c r="AZ77" s="29">
        <f>AVERAGE(AT77,AV77,AX77)</f>
        <v>175.8102985262914</v>
      </c>
      <c r="BA77" s="24">
        <f>SUM((AT77*AS77/100),(AD77*AC77/100),(V77*U77/100))/BB77*100</f>
        <v>22.06275829382044</v>
      </c>
      <c r="BB77" s="27">
        <f>SUM(AT77,AD77,N77,F77/2)</f>
        <v>239.18191249765746</v>
      </c>
      <c r="BC77" s="24">
        <f>SUM((AV77*AU77/100),(AF77*AE77/100),(X77*W77/100))/BD77*100</f>
        <v>19.670926852943186</v>
      </c>
      <c r="BD77" s="27">
        <f>SUM(AV77,AF77,P77,H77/2)</f>
        <v>255.36367227713447</v>
      </c>
      <c r="BE77" s="24">
        <f>SUM((AX77*AW77/100),(AH77*AG77/100),(Z77*Y77/100))/BF77*100</f>
        <v>21.583406004734023</v>
      </c>
      <c r="BF77" s="27">
        <f>SUM(AX77,AH77,R77,J77/2)</f>
        <v>215.85417110555142</v>
      </c>
      <c r="BG77" s="7">
        <f t="shared" si="8"/>
        <v>19.051463871045254</v>
      </c>
      <c r="BH77" s="27">
        <f t="shared" si="1"/>
        <v>261.7317870513452</v>
      </c>
    </row>
    <row r="78" spans="2:60" ht="12.75">
      <c r="B78" s="7" t="s">
        <v>32</v>
      </c>
      <c r="D78" s="7" t="s">
        <v>31</v>
      </c>
      <c r="E78" s="7">
        <v>100</v>
      </c>
      <c r="F78" s="27">
        <f>F75+F77</f>
        <v>54.24667598938915</v>
      </c>
      <c r="G78" s="7">
        <v>100</v>
      </c>
      <c r="H78" s="27">
        <f>H75+H77</f>
        <v>51.633885175619916</v>
      </c>
      <c r="I78" s="7">
        <v>100</v>
      </c>
      <c r="J78" s="27">
        <f>J75+J77</f>
        <v>47.89020721588097</v>
      </c>
      <c r="K78" s="7">
        <v>100</v>
      </c>
      <c r="L78" s="29">
        <f t="shared" si="0"/>
        <v>51.25692279363002</v>
      </c>
      <c r="M78" s="24">
        <f>N75/N78*100</f>
        <v>0.3841686768516036</v>
      </c>
      <c r="N78" s="27">
        <f>N75+N77</f>
        <v>47.32820786559043</v>
      </c>
      <c r="P78" s="27">
        <f>P75+P77</f>
        <v>22.094949989273758</v>
      </c>
      <c r="R78" s="27">
        <f>R75/2+R77</f>
        <v>31.605009007145203</v>
      </c>
      <c r="T78" s="29">
        <f t="shared" si="2"/>
        <v>33.67605562066979</v>
      </c>
      <c r="U78" s="24">
        <f t="shared" si="10"/>
        <v>53.58460091082415</v>
      </c>
      <c r="V78" s="29">
        <f t="shared" si="3"/>
        <v>101.57488385497959</v>
      </c>
      <c r="W78" s="24">
        <f t="shared" si="10"/>
        <v>70.03214557797006</v>
      </c>
      <c r="X78" s="29">
        <f t="shared" si="4"/>
        <v>73.72883516489367</v>
      </c>
      <c r="Y78" s="24">
        <f t="shared" si="10"/>
        <v>60.24287937216697</v>
      </c>
      <c r="Z78" s="29">
        <f t="shared" si="5"/>
        <v>79.49521622302618</v>
      </c>
      <c r="AA78" s="7">
        <f t="shared" si="6"/>
        <v>60.42120560043239</v>
      </c>
      <c r="AB78" s="29">
        <f t="shared" si="7"/>
        <v>84.93297841429981</v>
      </c>
      <c r="AD78" s="27">
        <f>AD75+AD77</f>
        <v>3.162148393657031</v>
      </c>
      <c r="AF78" s="27">
        <f>AF75+AF77</f>
        <v>3.415072627310368</v>
      </c>
      <c r="AH78" s="27">
        <f>AH75+AH77</f>
        <v>3.351696011784718</v>
      </c>
      <c r="AJ78" s="30">
        <f>AVERAGE(AD78,AF78,AH78)</f>
        <v>3.3096390109173726</v>
      </c>
      <c r="AT78" s="27">
        <f>AT77+AT75</f>
        <v>634.7217542819914</v>
      </c>
      <c r="AV78" s="27">
        <f>AV77+AV75</f>
        <v>765.9242452594771</v>
      </c>
      <c r="AX78" s="27">
        <f>AX77+AX75</f>
        <v>674.7352557241331</v>
      </c>
      <c r="AZ78" s="29">
        <f>AVERAGE(AT78,AV78,AX78)</f>
        <v>691.7937517552006</v>
      </c>
      <c r="BA78" s="24">
        <f>SUM((AT78*AS78/100),(AD78*AC78/100),(V78*U78/100))/BB78*100</f>
        <v>7.360585489110226</v>
      </c>
      <c r="BB78" s="27">
        <f>SUM(AT78,AD78,N78,F78)</f>
        <v>739.458786530628</v>
      </c>
      <c r="BC78" s="24">
        <f>SUM((AV78*AU78/100),(AF78*AE78/100),(X78*W78/100))/BD78*100</f>
        <v>6.124520892969218</v>
      </c>
      <c r="BD78" s="27">
        <f>SUM(AV78,AF78,P78,H78)</f>
        <v>843.0681530516811</v>
      </c>
      <c r="BE78" s="24">
        <f>SUM((AX78*AW78/100),(AH78*AG78/100),(Z78*Y78/100))/BF78*100</f>
        <v>6.3214538622134375</v>
      </c>
      <c r="BF78" s="27">
        <f>SUM(AX78,AH78,R78,J78)</f>
        <v>757.5821679589441</v>
      </c>
      <c r="BG78" s="7">
        <f t="shared" si="8"/>
        <v>6.578863696342023</v>
      </c>
      <c r="BH78" s="27">
        <f t="shared" si="1"/>
        <v>780.0363691804178</v>
      </c>
    </row>
    <row r="79" spans="2:60" ht="12.75">
      <c r="B79" s="7" t="s">
        <v>33</v>
      </c>
      <c r="D79" s="7" t="s">
        <v>31</v>
      </c>
      <c r="E79" s="7">
        <f>F74/F79*100</f>
        <v>72.25042301184433</v>
      </c>
      <c r="F79" s="27">
        <f>F76+F74</f>
        <v>299.876396125049</v>
      </c>
      <c r="G79" s="7">
        <f>H74/H79*100</f>
        <v>71.35416666666667</v>
      </c>
      <c r="H79" s="27">
        <f>H76+H74</f>
        <v>289.33863081191816</v>
      </c>
      <c r="I79" s="7">
        <f>J74/J79*100</f>
        <v>70.94017094017093</v>
      </c>
      <c r="J79" s="27">
        <f>J76+J74</f>
        <v>173.04367647492506</v>
      </c>
      <c r="K79" s="7">
        <f>L74/L79*100</f>
        <v>71.61277542948696</v>
      </c>
      <c r="L79" s="29">
        <f t="shared" si="0"/>
        <v>254.08623447063076</v>
      </c>
      <c r="N79" s="27">
        <f>N76+N74</f>
        <v>178.1203213024209</v>
      </c>
      <c r="P79" s="27">
        <f>P76+P74</f>
        <v>390.97704473207074</v>
      </c>
      <c r="R79" s="27">
        <f>R76+R74</f>
        <v>315.16268660235</v>
      </c>
      <c r="T79" s="29">
        <f t="shared" si="2"/>
        <v>294.75335087894723</v>
      </c>
      <c r="U79" s="24">
        <f t="shared" si="10"/>
        <v>45.32708213543278</v>
      </c>
      <c r="V79" s="29">
        <f t="shared" si="3"/>
        <v>477.9967174274699</v>
      </c>
      <c r="W79" s="24">
        <f t="shared" si="10"/>
        <v>30.346966310235807</v>
      </c>
      <c r="X79" s="29">
        <f t="shared" si="4"/>
        <v>680.3156755439888</v>
      </c>
      <c r="Y79" s="24">
        <f t="shared" si="10"/>
        <v>25.14458826769484</v>
      </c>
      <c r="Z79" s="29">
        <f t="shared" si="5"/>
        <v>488.20636307727506</v>
      </c>
      <c r="AA79" s="7">
        <f t="shared" si="6"/>
        <v>33.15325813694652</v>
      </c>
      <c r="AB79" s="29">
        <f t="shared" si="7"/>
        <v>548.839585349578</v>
      </c>
      <c r="AD79" s="27">
        <f>AD76+AD74</f>
        <v>1.0111162302644798</v>
      </c>
      <c r="AF79" s="27">
        <f>AF76+AF74</f>
        <v>1.0919902961960712</v>
      </c>
      <c r="AH79" s="27">
        <f>AH76+AH74</f>
        <v>1.0717252369389672</v>
      </c>
      <c r="AJ79" s="30">
        <f>AVERAGE(AD79,AF79,AH79)</f>
        <v>1.058277254466506</v>
      </c>
      <c r="AT79" s="27">
        <f>AT76+AT74/2</f>
        <v>1222.717669734607</v>
      </c>
      <c r="AV79" s="27">
        <f>AV76+AV74/2</f>
        <v>2951.311440897118</v>
      </c>
      <c r="AX79" s="27">
        <f>AX76+AX74/2</f>
        <v>1489.7707241651526</v>
      </c>
      <c r="AZ79" s="29">
        <f>AVERAGE(AT79,AV79,AX79)</f>
        <v>1887.9332782656256</v>
      </c>
      <c r="BA79" s="24">
        <f>SUM((AT79*AS79/100),(AD79*AC79/100),(V79*U79/100))/BB79*100</f>
        <v>12.731898551271186</v>
      </c>
      <c r="BB79" s="27">
        <f>SUM(AT79,AD79,N79,F79)</f>
        <v>1701.7255033923414</v>
      </c>
      <c r="BC79" s="24">
        <f>SUM((AV79*AU79/100),(AF79*AE79/100),(X79*W79/100))/BD79*100</f>
        <v>5.683213119277298</v>
      </c>
      <c r="BD79" s="27">
        <f>SUM(AV79,AF79,P79,H79)</f>
        <v>3632.7191067373024</v>
      </c>
      <c r="BE79" s="24">
        <f>SUM((AX79*AW79/100),(AH79*AG79/100),(Z79*Y79/100))/BF79*100</f>
        <v>6.202852558178022</v>
      </c>
      <c r="BF79" s="27">
        <f>SUM(AX79,AH79,R79,J79)</f>
        <v>1979.048812479367</v>
      </c>
      <c r="BG79" s="7">
        <f t="shared" si="8"/>
        <v>7.463937983160755</v>
      </c>
      <c r="BH79" s="27">
        <f t="shared" si="1"/>
        <v>2437.83114086967</v>
      </c>
    </row>
    <row r="83" spans="1:52" ht="12.75">
      <c r="A83" s="24" t="s">
        <v>59</v>
      </c>
      <c r="B83" s="23" t="s">
        <v>159</v>
      </c>
      <c r="C83" s="23" t="s">
        <v>58</v>
      </c>
      <c r="F83" s="26" t="s">
        <v>171</v>
      </c>
      <c r="G83" s="26"/>
      <c r="H83" s="26" t="s">
        <v>172</v>
      </c>
      <c r="I83" s="26"/>
      <c r="J83" s="26" t="s">
        <v>173</v>
      </c>
      <c r="K83" s="26"/>
      <c r="L83" s="26" t="s">
        <v>174</v>
      </c>
      <c r="M83" s="26"/>
      <c r="N83" s="26" t="s">
        <v>171</v>
      </c>
      <c r="O83" s="26"/>
      <c r="P83" s="26" t="s">
        <v>172</v>
      </c>
      <c r="Q83" s="26"/>
      <c r="R83" s="26" t="s">
        <v>173</v>
      </c>
      <c r="S83" s="26"/>
      <c r="T83" s="26" t="s">
        <v>174</v>
      </c>
      <c r="U83" s="26"/>
      <c r="V83" s="26" t="s">
        <v>171</v>
      </c>
      <c r="W83" s="26"/>
      <c r="X83" s="26" t="s">
        <v>172</v>
      </c>
      <c r="Y83" s="26"/>
      <c r="Z83" s="26" t="s">
        <v>173</v>
      </c>
      <c r="AA83" s="26"/>
      <c r="AB83" s="26" t="s">
        <v>174</v>
      </c>
      <c r="AC83" s="26"/>
      <c r="AD83" s="26" t="s">
        <v>171</v>
      </c>
      <c r="AE83" s="26"/>
      <c r="AF83" s="26" t="s">
        <v>172</v>
      </c>
      <c r="AG83" s="26"/>
      <c r="AH83" s="26" t="s">
        <v>173</v>
      </c>
      <c r="AI83" s="26"/>
      <c r="AJ83" s="26" t="s">
        <v>174</v>
      </c>
      <c r="AK83" s="26"/>
      <c r="AL83" s="26" t="s">
        <v>171</v>
      </c>
      <c r="AM83" s="26"/>
      <c r="AN83" s="26" t="s">
        <v>172</v>
      </c>
      <c r="AO83" s="26"/>
      <c r="AP83" s="26" t="s">
        <v>173</v>
      </c>
      <c r="AQ83" s="26"/>
      <c r="AR83" s="26" t="s">
        <v>174</v>
      </c>
      <c r="AS83" s="26"/>
      <c r="AT83" s="26" t="s">
        <v>171</v>
      </c>
      <c r="AU83" s="26"/>
      <c r="AV83" s="26" t="s">
        <v>172</v>
      </c>
      <c r="AW83" s="26"/>
      <c r="AX83" s="26" t="s">
        <v>173</v>
      </c>
      <c r="AY83" s="26"/>
      <c r="AZ83" s="26" t="s">
        <v>174</v>
      </c>
    </row>
    <row r="85" spans="2:52" ht="12.75">
      <c r="B85" s="7" t="s">
        <v>211</v>
      </c>
      <c r="F85" s="24" t="s">
        <v>213</v>
      </c>
      <c r="H85" s="24" t="s">
        <v>213</v>
      </c>
      <c r="J85" s="24" t="s">
        <v>213</v>
      </c>
      <c r="L85" s="24" t="s">
        <v>213</v>
      </c>
      <c r="N85" s="24" t="s">
        <v>215</v>
      </c>
      <c r="P85" s="24" t="s">
        <v>215</v>
      </c>
      <c r="R85" s="24" t="s">
        <v>215</v>
      </c>
      <c r="T85" s="24" t="s">
        <v>215</v>
      </c>
      <c r="AD85" s="24" t="s">
        <v>216</v>
      </c>
      <c r="AF85" s="24" t="s">
        <v>216</v>
      </c>
      <c r="AH85" s="24" t="s">
        <v>216</v>
      </c>
      <c r="AJ85" s="24" t="s">
        <v>216</v>
      </c>
      <c r="AL85" s="24" t="s">
        <v>218</v>
      </c>
      <c r="AN85" s="24" t="s">
        <v>218</v>
      </c>
      <c r="AP85" s="24" t="s">
        <v>218</v>
      </c>
      <c r="AR85" s="24" t="s">
        <v>218</v>
      </c>
      <c r="AT85" s="24" t="s">
        <v>221</v>
      </c>
      <c r="AV85" s="24" t="s">
        <v>221</v>
      </c>
      <c r="AX85" s="24" t="s">
        <v>221</v>
      </c>
      <c r="AZ85" s="24" t="s">
        <v>221</v>
      </c>
    </row>
    <row r="86" spans="2:52" ht="12.75">
      <c r="B86" s="7" t="s">
        <v>212</v>
      </c>
      <c r="F86" s="24" t="s">
        <v>214</v>
      </c>
      <c r="H86" s="24" t="s">
        <v>214</v>
      </c>
      <c r="J86" s="24" t="s">
        <v>214</v>
      </c>
      <c r="L86" s="24" t="s">
        <v>214</v>
      </c>
      <c r="N86" s="24" t="s">
        <v>214</v>
      </c>
      <c r="P86" s="24" t="s">
        <v>214</v>
      </c>
      <c r="R86" s="24" t="s">
        <v>214</v>
      </c>
      <c r="T86" s="24" t="s">
        <v>214</v>
      </c>
      <c r="AD86" s="24" t="s">
        <v>220</v>
      </c>
      <c r="AF86" s="24" t="s">
        <v>220</v>
      </c>
      <c r="AH86" s="24" t="s">
        <v>220</v>
      </c>
      <c r="AJ86" s="24" t="s">
        <v>220</v>
      </c>
      <c r="AL86" s="24" t="s">
        <v>30</v>
      </c>
      <c r="AN86" s="24" t="s">
        <v>30</v>
      </c>
      <c r="AP86" s="24" t="s">
        <v>30</v>
      </c>
      <c r="AR86" s="24" t="s">
        <v>30</v>
      </c>
      <c r="AT86" s="24" t="s">
        <v>20</v>
      </c>
      <c r="AV86" s="24" t="s">
        <v>20</v>
      </c>
      <c r="AX86" s="24" t="s">
        <v>20</v>
      </c>
      <c r="AZ86" s="24" t="s">
        <v>20</v>
      </c>
    </row>
    <row r="87" spans="2:52" ht="12.75">
      <c r="B87" s="5" t="s">
        <v>223</v>
      </c>
      <c r="V87" s="24" t="s">
        <v>38</v>
      </c>
      <c r="X87" s="24" t="s">
        <v>38</v>
      </c>
      <c r="Z87" s="24" t="s">
        <v>38</v>
      </c>
      <c r="AB87" s="24" t="s">
        <v>38</v>
      </c>
      <c r="AD87" s="14" t="s">
        <v>224</v>
      </c>
      <c r="AF87" s="14" t="s">
        <v>224</v>
      </c>
      <c r="AH87" s="14" t="s">
        <v>224</v>
      </c>
      <c r="AJ87" s="14" t="s">
        <v>224</v>
      </c>
      <c r="AL87" s="14" t="s">
        <v>30</v>
      </c>
      <c r="AN87" s="14" t="s">
        <v>30</v>
      </c>
      <c r="AP87" s="14" t="s">
        <v>30</v>
      </c>
      <c r="AR87" s="14" t="s">
        <v>30</v>
      </c>
      <c r="AT87" s="14" t="s">
        <v>20</v>
      </c>
      <c r="AV87" s="14" t="s">
        <v>20</v>
      </c>
      <c r="AX87" s="14" t="s">
        <v>20</v>
      </c>
      <c r="AZ87" s="14" t="s">
        <v>20</v>
      </c>
    </row>
    <row r="88" spans="2:52" s="43" customFormat="1" ht="12.75">
      <c r="B88" s="43" t="s">
        <v>21</v>
      </c>
      <c r="F88" s="44" t="s">
        <v>75</v>
      </c>
      <c r="G88" s="44"/>
      <c r="H88" s="44" t="s">
        <v>75</v>
      </c>
      <c r="I88" s="44"/>
      <c r="J88" s="44" t="s">
        <v>75</v>
      </c>
      <c r="K88" s="44"/>
      <c r="L88" s="44" t="s">
        <v>75</v>
      </c>
      <c r="M88" s="44"/>
      <c r="N88" s="44" t="s">
        <v>76</v>
      </c>
      <c r="O88" s="44"/>
      <c r="P88" s="44" t="s">
        <v>76</v>
      </c>
      <c r="Q88" s="44"/>
      <c r="R88" s="44" t="s">
        <v>76</v>
      </c>
      <c r="S88" s="44"/>
      <c r="T88" s="44" t="s">
        <v>76</v>
      </c>
      <c r="V88" s="44"/>
      <c r="X88" s="44"/>
      <c r="Z88" s="44"/>
      <c r="AB88" s="44"/>
      <c r="AD88" s="45" t="s">
        <v>131</v>
      </c>
      <c r="AF88" s="45" t="s">
        <v>131</v>
      </c>
      <c r="AH88" s="45" t="s">
        <v>131</v>
      </c>
      <c r="AJ88" s="45" t="s">
        <v>131</v>
      </c>
      <c r="AL88" s="45" t="s">
        <v>30</v>
      </c>
      <c r="AN88" s="45" t="s">
        <v>30</v>
      </c>
      <c r="AP88" s="45" t="s">
        <v>30</v>
      </c>
      <c r="AR88" s="45" t="s">
        <v>30</v>
      </c>
      <c r="AT88" s="45" t="s">
        <v>20</v>
      </c>
      <c r="AV88" s="45" t="s">
        <v>20</v>
      </c>
      <c r="AX88" s="45" t="s">
        <v>20</v>
      </c>
      <c r="AZ88" s="45" t="s">
        <v>20</v>
      </c>
    </row>
    <row r="89" spans="2:44" ht="12.75">
      <c r="B89" s="7" t="s">
        <v>61</v>
      </c>
      <c r="D89" s="7" t="s">
        <v>27</v>
      </c>
      <c r="F89" s="9">
        <v>1683</v>
      </c>
      <c r="G89" s="9"/>
      <c r="H89" s="9">
        <v>1683</v>
      </c>
      <c r="I89" s="9"/>
      <c r="J89" s="9">
        <v>1683</v>
      </c>
      <c r="K89" s="9"/>
      <c r="L89" s="29">
        <f>AVERAGE(J89,H89,F89)</f>
        <v>1683</v>
      </c>
      <c r="M89" s="9"/>
      <c r="N89" s="9">
        <v>2891</v>
      </c>
      <c r="O89" s="9"/>
      <c r="P89" s="9">
        <v>2891</v>
      </c>
      <c r="Q89" s="9"/>
      <c r="R89" s="9">
        <v>2891</v>
      </c>
      <c r="S89" s="9"/>
      <c r="T89" s="29">
        <f>AVERAGE(R89,P89,N89)</f>
        <v>2891</v>
      </c>
      <c r="U89" s="27"/>
      <c r="V89" s="29"/>
      <c r="W89" s="27"/>
      <c r="X89" s="29"/>
      <c r="Y89" s="27"/>
      <c r="Z89" s="29"/>
      <c r="AA89" s="27"/>
      <c r="AB89" s="29"/>
      <c r="AC89" s="27"/>
      <c r="AD89" s="27"/>
      <c r="AE89" s="27"/>
      <c r="AF89" s="27"/>
      <c r="AG89" s="27"/>
      <c r="AH89" s="27"/>
      <c r="AI89" s="27"/>
      <c r="AL89" s="24">
        <f>19.78+20.58+19.9+13.42</f>
        <v>73.67999999999999</v>
      </c>
      <c r="AN89" s="24">
        <f>19.78+20.58+19.9+13.42</f>
        <v>73.67999999999999</v>
      </c>
      <c r="AP89" s="24">
        <f>19.78+20.58+19.9+13.42</f>
        <v>73.67999999999999</v>
      </c>
      <c r="AR89" s="29">
        <f>AVERAGE(AP89,AN89,AL89)</f>
        <v>73.67999999999999</v>
      </c>
    </row>
    <row r="90" spans="2:36" ht="12.75">
      <c r="B90" s="7" t="s">
        <v>61</v>
      </c>
      <c r="D90" s="7" t="s">
        <v>132</v>
      </c>
      <c r="F90" s="9"/>
      <c r="G90" s="9"/>
      <c r="H90" s="9"/>
      <c r="I90" s="9"/>
      <c r="J90" s="9"/>
      <c r="K90" s="9"/>
      <c r="L90" s="29"/>
      <c r="M90" s="9"/>
      <c r="N90" s="9"/>
      <c r="O90" s="9"/>
      <c r="P90" s="9"/>
      <c r="Q90" s="9"/>
      <c r="R90" s="9"/>
      <c r="S90" s="9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>
        <v>5467</v>
      </c>
      <c r="AE90" s="27"/>
      <c r="AF90" s="27">
        <v>5704</v>
      </c>
      <c r="AG90" s="27"/>
      <c r="AH90" s="27">
        <v>5933</v>
      </c>
      <c r="AI90" s="27"/>
      <c r="AJ90" s="29">
        <f>AVERAGE(AH90,AF90,AD90)</f>
        <v>5701.333333333333</v>
      </c>
    </row>
    <row r="91" spans="2:52" ht="12.75">
      <c r="B91" s="7" t="s">
        <v>60</v>
      </c>
      <c r="D91" s="7" t="s">
        <v>29</v>
      </c>
      <c r="F91" s="9">
        <v>26.5</v>
      </c>
      <c r="G91" s="9"/>
      <c r="H91" s="9">
        <v>26.8</v>
      </c>
      <c r="I91" s="9"/>
      <c r="J91" s="9">
        <v>27.6</v>
      </c>
      <c r="K91" s="9"/>
      <c r="L91" s="29">
        <f>AVERAGE(J91,H91,F91)</f>
        <v>26.96666666666667</v>
      </c>
      <c r="M91" s="9"/>
      <c r="N91" s="69">
        <f>N89*N92/1000000</f>
        <v>0.436541</v>
      </c>
      <c r="O91" s="9"/>
      <c r="P91" s="69">
        <f>P89*P92/1000000</f>
        <v>0.696731</v>
      </c>
      <c r="Q91" s="9"/>
      <c r="R91" s="69">
        <f>R89*R92/1000000</f>
        <v>0.656257</v>
      </c>
      <c r="S91" s="9"/>
      <c r="T91" s="29">
        <f>AVERAGE(R91,P91,N91)</f>
        <v>0.5965096666666666</v>
      </c>
      <c r="U91" s="27"/>
      <c r="V91" s="29"/>
      <c r="W91" s="27"/>
      <c r="X91" s="29"/>
      <c r="Y91" s="27"/>
      <c r="Z91" s="29"/>
      <c r="AA91" s="27"/>
      <c r="AB91" s="29"/>
      <c r="AC91" s="27"/>
      <c r="AD91" s="27"/>
      <c r="AF91" s="27"/>
      <c r="AH91" s="27"/>
      <c r="AJ91" s="27"/>
      <c r="AT91" s="27">
        <f>SUM(AL91,AD91,N91,F91)</f>
        <v>26.936541</v>
      </c>
      <c r="AV91" s="27">
        <f>SUM(AN91,AF91,P91,H91)</f>
        <v>27.496731</v>
      </c>
      <c r="AX91" s="27">
        <f>SUM(AP91,AH91,R91,J91)</f>
        <v>28.256257</v>
      </c>
      <c r="AZ91" s="27">
        <f>SUM(AR91,AJ91,T91,L91)</f>
        <v>27.563176333333335</v>
      </c>
    </row>
    <row r="92" spans="2:35" ht="12.75">
      <c r="B92" s="7" t="s">
        <v>77</v>
      </c>
      <c r="D92" s="7" t="s">
        <v>78</v>
      </c>
      <c r="F92" s="9">
        <v>12187</v>
      </c>
      <c r="G92" s="9"/>
      <c r="H92" s="9">
        <v>12058</v>
      </c>
      <c r="I92" s="9"/>
      <c r="J92" s="9">
        <v>12435</v>
      </c>
      <c r="K92" s="9"/>
      <c r="L92" s="29">
        <f>AVERAGE(J92,H92,F92)</f>
        <v>12226.666666666666</v>
      </c>
      <c r="M92" s="9"/>
      <c r="N92" s="9">
        <v>151</v>
      </c>
      <c r="O92" s="9"/>
      <c r="P92" s="9">
        <v>241</v>
      </c>
      <c r="Q92" s="9"/>
      <c r="R92" s="9">
        <v>227</v>
      </c>
      <c r="S92" s="9"/>
      <c r="T92" s="29">
        <f>AVERAGE(R92,P92,N92)</f>
        <v>206.33333333333334</v>
      </c>
      <c r="U92" s="27"/>
      <c r="V92" s="29"/>
      <c r="W92" s="27"/>
      <c r="X92" s="29"/>
      <c r="Y92" s="27"/>
      <c r="Z92" s="29"/>
      <c r="AA92" s="27"/>
      <c r="AB92" s="29"/>
      <c r="AC92" s="27"/>
      <c r="AD92" s="27"/>
      <c r="AE92" s="27"/>
      <c r="AF92" s="27"/>
      <c r="AG92" s="27"/>
      <c r="AH92" s="27"/>
      <c r="AI92" s="27"/>
    </row>
    <row r="93" spans="2:36" ht="12.75">
      <c r="B93" s="7" t="s">
        <v>77</v>
      </c>
      <c r="D93" s="7" t="s">
        <v>147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>
        <v>1014</v>
      </c>
      <c r="AE93" s="27"/>
      <c r="AF93" s="27">
        <v>1014</v>
      </c>
      <c r="AG93" s="27"/>
      <c r="AH93" s="27">
        <v>1014</v>
      </c>
      <c r="AI93" s="27"/>
      <c r="AJ93" s="29">
        <f>AVERAGE(AH93,AF93,AD93)</f>
        <v>1014</v>
      </c>
    </row>
    <row r="94" spans="2:35" ht="12.75">
      <c r="B94" s="7" t="s">
        <v>104</v>
      </c>
      <c r="D94" s="7" t="s">
        <v>146</v>
      </c>
      <c r="F94" s="9">
        <v>0.961</v>
      </c>
      <c r="G94" s="9"/>
      <c r="H94" s="9">
        <v>0.961</v>
      </c>
      <c r="I94" s="9"/>
      <c r="J94" s="9">
        <v>0.961</v>
      </c>
      <c r="K94" s="9"/>
      <c r="L94" s="9"/>
      <c r="M94" s="9"/>
      <c r="N94" s="9">
        <v>1.09</v>
      </c>
      <c r="O94" s="9"/>
      <c r="P94" s="9">
        <v>1.09</v>
      </c>
      <c r="Q94" s="9"/>
      <c r="R94" s="9">
        <v>1.09</v>
      </c>
      <c r="S94" s="9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2:35" ht="12.75">
      <c r="B95" s="7" t="s">
        <v>79</v>
      </c>
      <c r="D95" s="7" t="s">
        <v>103</v>
      </c>
      <c r="F95" s="24">
        <v>1.44</v>
      </c>
      <c r="H95" s="24">
        <v>1.39</v>
      </c>
      <c r="J95" s="24">
        <v>1.48</v>
      </c>
      <c r="K95" s="9"/>
      <c r="L95" s="9"/>
      <c r="M95" s="9"/>
      <c r="N95" s="9">
        <v>1.82</v>
      </c>
      <c r="O95" s="9"/>
      <c r="P95" s="9">
        <v>2.17</v>
      </c>
      <c r="Q95" s="9"/>
      <c r="R95" s="9">
        <v>2.14</v>
      </c>
      <c r="S95" s="9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2:35" ht="12.75">
      <c r="B96" s="7" t="s">
        <v>22</v>
      </c>
      <c r="D96" s="7" t="s">
        <v>18</v>
      </c>
      <c r="E96" s="24"/>
      <c r="M96" s="9"/>
      <c r="N96" s="9">
        <v>8.46</v>
      </c>
      <c r="O96" s="9"/>
      <c r="P96" s="9">
        <v>8.23</v>
      </c>
      <c r="Q96" s="9"/>
      <c r="R96" s="9">
        <v>8.35</v>
      </c>
      <c r="S96" s="9"/>
      <c r="T96" s="27"/>
      <c r="U96" s="7"/>
      <c r="V96" s="27"/>
      <c r="W96" s="7"/>
      <c r="X96" s="27"/>
      <c r="Y96" s="7"/>
      <c r="Z96" s="27"/>
      <c r="AA96" s="7"/>
      <c r="AB96" s="27"/>
      <c r="AC96" s="7"/>
      <c r="AD96" s="27"/>
      <c r="AE96" s="27"/>
      <c r="AF96" s="27"/>
      <c r="AG96" s="27"/>
      <c r="AH96" s="27"/>
      <c r="AI96" s="27"/>
    </row>
    <row r="97" spans="2:35" ht="12.75">
      <c r="B97" s="7" t="s">
        <v>23</v>
      </c>
      <c r="D97" s="7" t="s">
        <v>18</v>
      </c>
      <c r="E97" s="24"/>
      <c r="F97" s="24">
        <v>15.42</v>
      </c>
      <c r="H97" s="24">
        <v>14.46</v>
      </c>
      <c r="J97" s="24">
        <v>14.99</v>
      </c>
      <c r="M97" s="9"/>
      <c r="N97" s="9">
        <v>0.04</v>
      </c>
      <c r="O97" s="9"/>
      <c r="P97" s="9">
        <v>0.05</v>
      </c>
      <c r="Q97" s="9"/>
      <c r="R97" s="9">
        <v>0.03</v>
      </c>
      <c r="S97" s="9"/>
      <c r="T97" s="27"/>
      <c r="U97" s="7"/>
      <c r="V97" s="27"/>
      <c r="W97" s="7"/>
      <c r="X97" s="27"/>
      <c r="Y97" s="7"/>
      <c r="Z97" s="27"/>
      <c r="AA97" s="7"/>
      <c r="AB97" s="27"/>
      <c r="AC97" s="7"/>
      <c r="AD97" s="27"/>
      <c r="AE97" s="27"/>
      <c r="AF97" s="27"/>
      <c r="AG97" s="27"/>
      <c r="AH97" s="27"/>
      <c r="AI97" s="27"/>
    </row>
    <row r="98" spans="2:42" ht="12.75">
      <c r="B98" s="7" t="s">
        <v>124</v>
      </c>
      <c r="D98" s="7" t="s">
        <v>134</v>
      </c>
      <c r="K98" s="9"/>
      <c r="L98" s="9"/>
      <c r="M98" s="9"/>
      <c r="N98" s="9"/>
      <c r="O98" s="9"/>
      <c r="P98" s="9"/>
      <c r="Q98" s="9"/>
      <c r="R98" s="9"/>
      <c r="S98" s="9"/>
      <c r="T98" s="27"/>
      <c r="U98" s="7"/>
      <c r="V98" s="27"/>
      <c r="W98" s="7"/>
      <c r="X98" s="27"/>
      <c r="Y98" s="7"/>
      <c r="Z98" s="27"/>
      <c r="AA98" s="7"/>
      <c r="AB98" s="27"/>
      <c r="AC98" s="7"/>
      <c r="AD98" s="27"/>
      <c r="AE98" s="27"/>
      <c r="AF98" s="27"/>
      <c r="AG98" s="27"/>
      <c r="AH98" s="27"/>
      <c r="AI98" s="27"/>
      <c r="AL98" s="24">
        <v>0.03</v>
      </c>
      <c r="AN98" s="24">
        <v>0.03</v>
      </c>
      <c r="AP98" s="24">
        <v>0.03</v>
      </c>
    </row>
    <row r="99" spans="2:42" ht="12.75">
      <c r="B99" s="7" t="s">
        <v>125</v>
      </c>
      <c r="D99" s="7" t="s">
        <v>134</v>
      </c>
      <c r="K99" s="9"/>
      <c r="L99" s="9"/>
      <c r="M99" s="9"/>
      <c r="N99" s="9"/>
      <c r="O99" s="9"/>
      <c r="P99" s="9"/>
      <c r="Q99" s="9"/>
      <c r="R99" s="9"/>
      <c r="S99" s="9"/>
      <c r="T99" s="27"/>
      <c r="U99" s="7"/>
      <c r="V99" s="27"/>
      <c r="W99" s="7"/>
      <c r="X99" s="27"/>
      <c r="Y99" s="7"/>
      <c r="Z99" s="27"/>
      <c r="AA99" s="7"/>
      <c r="AB99" s="27"/>
      <c r="AC99" s="7"/>
      <c r="AD99" s="27"/>
      <c r="AE99" s="27"/>
      <c r="AF99" s="27"/>
      <c r="AG99" s="27"/>
      <c r="AH99" s="27"/>
      <c r="AI99" s="27"/>
      <c r="AL99" s="24">
        <v>0.01</v>
      </c>
      <c r="AN99" s="24">
        <v>0.01</v>
      </c>
      <c r="AP99" s="24">
        <v>0.01</v>
      </c>
    </row>
    <row r="100" spans="2:42" ht="12.75">
      <c r="B100" s="7" t="s">
        <v>126</v>
      </c>
      <c r="D100" s="7" t="s">
        <v>134</v>
      </c>
      <c r="K100" s="9"/>
      <c r="L100" s="9"/>
      <c r="M100" s="9"/>
      <c r="N100" s="9"/>
      <c r="O100" s="9"/>
      <c r="P100" s="9"/>
      <c r="Q100" s="9"/>
      <c r="R100" s="9"/>
      <c r="S100" s="9"/>
      <c r="T100" s="27"/>
      <c r="U100" s="7"/>
      <c r="V100" s="27"/>
      <c r="W100" s="7"/>
      <c r="X100" s="27"/>
      <c r="Y100" s="7"/>
      <c r="Z100" s="27"/>
      <c r="AA100" s="7"/>
      <c r="AB100" s="27"/>
      <c r="AC100" s="7"/>
      <c r="AD100" s="27"/>
      <c r="AE100" s="27"/>
      <c r="AF100" s="27"/>
      <c r="AG100" s="27"/>
      <c r="AH100" s="27"/>
      <c r="AI100" s="27"/>
      <c r="AL100" s="24">
        <v>0.4</v>
      </c>
      <c r="AN100" s="24">
        <v>0.4</v>
      </c>
      <c r="AP100" s="24">
        <v>0.4</v>
      </c>
    </row>
    <row r="101" spans="2:42" ht="12.75">
      <c r="B101" s="7" t="s">
        <v>127</v>
      </c>
      <c r="D101" s="7" t="s">
        <v>134</v>
      </c>
      <c r="K101" s="9"/>
      <c r="L101" s="9"/>
      <c r="M101" s="9"/>
      <c r="N101" s="9"/>
      <c r="O101" s="9"/>
      <c r="P101" s="9"/>
      <c r="Q101" s="9"/>
      <c r="R101" s="9"/>
      <c r="S101" s="9"/>
      <c r="T101" s="27"/>
      <c r="U101" s="7"/>
      <c r="V101" s="27"/>
      <c r="W101" s="7"/>
      <c r="X101" s="27"/>
      <c r="Y101" s="7"/>
      <c r="Z101" s="27"/>
      <c r="AA101" s="7"/>
      <c r="AB101" s="27"/>
      <c r="AC101" s="7"/>
      <c r="AD101" s="27"/>
      <c r="AE101" s="27"/>
      <c r="AF101" s="27"/>
      <c r="AG101" s="27"/>
      <c r="AH101" s="27"/>
      <c r="AI101" s="27"/>
      <c r="AL101" s="24">
        <v>1.85</v>
      </c>
      <c r="AN101" s="24">
        <v>1.85</v>
      </c>
      <c r="AP101" s="24">
        <v>1.85</v>
      </c>
    </row>
    <row r="102" spans="6:36" ht="12.75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7"/>
      <c r="V102" s="9"/>
      <c r="W102" s="7"/>
      <c r="X102" s="9"/>
      <c r="Y102" s="7"/>
      <c r="Z102" s="9"/>
      <c r="AA102" s="7"/>
      <c r="AB102" s="9"/>
      <c r="AC102" s="7"/>
      <c r="AD102" s="9"/>
      <c r="AE102" s="9"/>
      <c r="AF102" s="9"/>
      <c r="AG102" s="9"/>
      <c r="AH102" s="9"/>
      <c r="AI102" s="9"/>
      <c r="AJ102" s="9"/>
    </row>
    <row r="103" spans="2:52" ht="12.75">
      <c r="B103" s="7" t="s">
        <v>34</v>
      </c>
      <c r="D103" s="7" t="s">
        <v>17</v>
      </c>
      <c r="F103" s="9">
        <f>'emiss 1'!$G$103</f>
        <v>6748</v>
      </c>
      <c r="G103" s="9"/>
      <c r="H103" s="9">
        <f>'emiss 1'!$I$103</f>
        <v>6563</v>
      </c>
      <c r="I103" s="9"/>
      <c r="J103" s="9">
        <f>'emiss 1'!$K$103</f>
        <v>6773</v>
      </c>
      <c r="K103" s="9"/>
      <c r="L103" s="31">
        <f>'emiss 1'!$M$103</f>
        <v>6694.666666666667</v>
      </c>
      <c r="M103" s="9"/>
      <c r="N103" s="9">
        <f>'emiss 1'!$G$103</f>
        <v>6748</v>
      </c>
      <c r="O103" s="9"/>
      <c r="P103" s="9">
        <f>'emiss 1'!$I$103</f>
        <v>6563</v>
      </c>
      <c r="Q103" s="9"/>
      <c r="R103" s="9">
        <f>'emiss 1'!$K$103</f>
        <v>6773</v>
      </c>
      <c r="S103" s="9"/>
      <c r="T103" s="31">
        <f>'emiss 1'!$M$103</f>
        <v>6694.666666666667</v>
      </c>
      <c r="U103" s="9"/>
      <c r="V103" s="9"/>
      <c r="W103" s="9"/>
      <c r="X103" s="9"/>
      <c r="Y103" s="9"/>
      <c r="Z103" s="9"/>
      <c r="AA103" s="9"/>
      <c r="AB103" s="9"/>
      <c r="AC103" s="9"/>
      <c r="AD103" s="9"/>
      <c r="AL103" s="9">
        <f>'emiss 1'!$G$103</f>
        <v>6748</v>
      </c>
      <c r="AM103" s="9"/>
      <c r="AN103" s="9">
        <f>'emiss 1'!$I$103</f>
        <v>6563</v>
      </c>
      <c r="AO103" s="9"/>
      <c r="AP103" s="9">
        <f>'emiss 1'!$K$103</f>
        <v>6773</v>
      </c>
      <c r="AQ103" s="9"/>
      <c r="AR103" s="31">
        <f>'emiss 1'!$M$103</f>
        <v>6694.666666666667</v>
      </c>
      <c r="AT103" s="9">
        <f>'emiss 1'!$G$103</f>
        <v>6748</v>
      </c>
      <c r="AU103" s="9"/>
      <c r="AV103" s="9">
        <f>'emiss 1'!$I$103</f>
        <v>6563</v>
      </c>
      <c r="AW103" s="9"/>
      <c r="AX103" s="9">
        <f>'emiss 1'!$K$103</f>
        <v>6773</v>
      </c>
      <c r="AY103" s="9"/>
      <c r="AZ103" s="31">
        <f>'emiss 1'!$M$103</f>
        <v>6694.666666666667</v>
      </c>
    </row>
    <row r="104" spans="2:52" ht="12.75">
      <c r="B104" s="7" t="s">
        <v>35</v>
      </c>
      <c r="D104" s="7" t="s">
        <v>18</v>
      </c>
      <c r="F104" s="9">
        <f>'emiss 1'!$G$104</f>
        <v>5.67</v>
      </c>
      <c r="G104" s="9"/>
      <c r="H104" s="9">
        <f>'emiss 1'!$I$104</f>
        <v>6.93</v>
      </c>
      <c r="I104" s="9"/>
      <c r="J104" s="9">
        <f>'emiss 1'!$K$104</f>
        <v>7.3</v>
      </c>
      <c r="K104" s="9"/>
      <c r="L104" s="31">
        <f>'emiss 1'!$M$104</f>
        <v>6.633333333333333</v>
      </c>
      <c r="M104" s="9"/>
      <c r="N104" s="9">
        <f>'emiss 1'!$G$104</f>
        <v>5.67</v>
      </c>
      <c r="O104" s="9"/>
      <c r="P104" s="9">
        <f>'emiss 1'!$I$104</f>
        <v>6.93</v>
      </c>
      <c r="Q104" s="9"/>
      <c r="R104" s="9">
        <f>'emiss 1'!$K$104</f>
        <v>7.3</v>
      </c>
      <c r="S104" s="9"/>
      <c r="T104" s="29">
        <f>'emiss 1'!$M$104</f>
        <v>6.633333333333333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L104" s="9">
        <f>'emiss 1'!$G$104</f>
        <v>5.67</v>
      </c>
      <c r="AM104" s="9"/>
      <c r="AN104" s="9">
        <f>'emiss 1'!$I$104</f>
        <v>6.93</v>
      </c>
      <c r="AO104" s="9"/>
      <c r="AP104" s="9">
        <f>'emiss 1'!$K$104</f>
        <v>7.3</v>
      </c>
      <c r="AQ104" s="9"/>
      <c r="AR104" s="31">
        <f>'emiss 1'!$M$104</f>
        <v>6.633333333333333</v>
      </c>
      <c r="AT104" s="9">
        <f>'emiss 1'!$G$104</f>
        <v>5.67</v>
      </c>
      <c r="AU104" s="9"/>
      <c r="AV104" s="9">
        <f>'emiss 1'!$I$104</f>
        <v>6.93</v>
      </c>
      <c r="AW104" s="9"/>
      <c r="AX104" s="9">
        <f>'emiss 1'!$K$104</f>
        <v>7.3</v>
      </c>
      <c r="AY104" s="9"/>
      <c r="AZ104" s="31">
        <f>'emiss 1'!$M$104</f>
        <v>6.633333333333333</v>
      </c>
    </row>
    <row r="105" spans="6:19" ht="12.75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2:52" ht="12.75">
      <c r="B106" s="7" t="s">
        <v>226</v>
      </c>
      <c r="D106" s="7" t="s">
        <v>29</v>
      </c>
      <c r="F106" s="30"/>
      <c r="G106" s="9"/>
      <c r="H106" s="30"/>
      <c r="I106" s="9"/>
      <c r="J106" s="30"/>
      <c r="K106" s="9"/>
      <c r="L106" s="30"/>
      <c r="M106" s="9"/>
      <c r="N106" s="30"/>
      <c r="O106" s="9"/>
      <c r="P106" s="30"/>
      <c r="Q106" s="9"/>
      <c r="R106" s="30"/>
      <c r="S106" s="9"/>
      <c r="T106" s="30"/>
      <c r="V106" s="30"/>
      <c r="X106" s="30"/>
      <c r="Z106" s="30"/>
      <c r="AB106" s="30"/>
      <c r="AD106" s="27"/>
      <c r="AF106" s="27"/>
      <c r="AH106" s="27"/>
      <c r="AJ106" s="27"/>
      <c r="AT106" s="27">
        <f>AT103/150*(21-AT104)/21</f>
        <v>32.840266666666665</v>
      </c>
      <c r="AV106" s="27">
        <f>AV103/150*(21-AV104)/21</f>
        <v>29.31473333333333</v>
      </c>
      <c r="AX106" s="27">
        <f>AX103/150*(21-AX104)/21</f>
        <v>29.457174603174604</v>
      </c>
      <c r="AZ106" s="27">
        <f>AZ103/150*(21-AZ104)/21</f>
        <v>30.533347442680775</v>
      </c>
    </row>
    <row r="107" spans="6:19" ht="12.75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2:19" ht="12.75">
      <c r="B108" s="35" t="s">
        <v>47</v>
      </c>
      <c r="C108" s="35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2:52" ht="12.75">
      <c r="B109" s="7" t="s">
        <v>22</v>
      </c>
      <c r="D109" s="7" t="s">
        <v>36</v>
      </c>
      <c r="F109" s="29"/>
      <c r="G109" s="7"/>
      <c r="H109" s="29"/>
      <c r="I109" s="7"/>
      <c r="J109" s="29"/>
      <c r="K109" s="9"/>
      <c r="L109" s="30"/>
      <c r="M109" s="9"/>
      <c r="N109" s="29">
        <f>N96/100*N$89*454/60/0.0283/N$103*(21-7)/(21-N$104)*1000</f>
        <v>8850.084728928687</v>
      </c>
      <c r="O109" s="7"/>
      <c r="P109" s="29">
        <f>P96/100*P$89*454/60/0.0283/P$103*(21-7)/(21-P$104)*1000</f>
        <v>9644.897749334645</v>
      </c>
      <c r="Q109" s="7"/>
      <c r="R109" s="29">
        <f>R96/100*R$89*454/60/0.0283/R$103*(21-7)/(21-R$104)*1000</f>
        <v>9738.209805999457</v>
      </c>
      <c r="S109" s="9"/>
      <c r="T109" s="30">
        <f>AVERAGE(N109,P109,R109)</f>
        <v>9411.064094754262</v>
      </c>
      <c r="U109" s="7"/>
      <c r="V109" s="30">
        <f aca="true" t="shared" si="11" ref="V109:AB116">F109+N109</f>
        <v>8850.084728928687</v>
      </c>
      <c r="W109" s="7"/>
      <c r="X109" s="30">
        <f t="shared" si="11"/>
        <v>9644.897749334645</v>
      </c>
      <c r="Y109" s="7"/>
      <c r="Z109" s="30">
        <f t="shared" si="11"/>
        <v>9738.209805999457</v>
      </c>
      <c r="AA109" s="7"/>
      <c r="AB109" s="30">
        <f t="shared" si="11"/>
        <v>9411.064094754262</v>
      </c>
      <c r="AC109" s="7"/>
      <c r="AD109" s="27"/>
      <c r="AF109" s="27"/>
      <c r="AH109" s="27"/>
      <c r="AJ109" s="27"/>
      <c r="AT109" s="27">
        <f aca="true" t="shared" si="12" ref="AT109:AT116">SUM(AL109,AD109,N109,F109)</f>
        <v>8850.084728928687</v>
      </c>
      <c r="AV109" s="27">
        <f aca="true" t="shared" si="13" ref="AV109:AV116">SUM(AN109,AF109,P109,H109)</f>
        <v>9644.897749334645</v>
      </c>
      <c r="AX109" s="27">
        <f aca="true" t="shared" si="14" ref="AX109:AX116">SUM(AP109,AH109,R109,J109)</f>
        <v>9738.209805999457</v>
      </c>
      <c r="AZ109" s="27">
        <f aca="true" t="shared" si="15" ref="AZ109:AZ116">SUM(AR109,AJ109,T109,L109)</f>
        <v>9411.064094754262</v>
      </c>
    </row>
    <row r="110" spans="2:52" ht="12.75">
      <c r="B110" s="7" t="s">
        <v>23</v>
      </c>
      <c r="D110" s="7" t="s">
        <v>31</v>
      </c>
      <c r="F110" s="31">
        <f>F97/100*F$89*454/60/0.0283/F$103*(21-7)/(21-F$104)*1000000</f>
        <v>9390689.12297704</v>
      </c>
      <c r="G110" s="70"/>
      <c r="H110" s="31">
        <f>H97/100*H$89*454/60/0.0283/H$103*(21-7)/(21-H$104)*1000000</f>
        <v>9865114.036371423</v>
      </c>
      <c r="I110" s="70"/>
      <c r="J110" s="31">
        <f>J97/100*J$89*454/60/0.0283/J$103*(21-7)/(21-J$104)*1000000</f>
        <v>10177246.85453395</v>
      </c>
      <c r="K110" s="31"/>
      <c r="L110" s="31">
        <f>AVERAGE(F110,H110,J110)</f>
        <v>9811016.671294138</v>
      </c>
      <c r="M110" s="31"/>
      <c r="N110" s="31">
        <f>N97/100*N$89*454/60/0.0283/N$103*(21-7)/(21-N$104)*1000000</f>
        <v>41844.37224079759</v>
      </c>
      <c r="O110" s="70"/>
      <c r="P110" s="31">
        <f>P97/100*P$89*454/60/0.0283/P$103*(21-7)/(21-P$104)*1000000</f>
        <v>58595.97660592128</v>
      </c>
      <c r="Q110" s="70"/>
      <c r="R110" s="31">
        <f>R97/100*R$89*454/60/0.0283/R$103*(21-7)/(21-R$104)*1000000</f>
        <v>34987.58014131542</v>
      </c>
      <c r="S110" s="31"/>
      <c r="T110" s="31">
        <f>AVERAGE(N110,P110,R110)</f>
        <v>45142.642996011426</v>
      </c>
      <c r="U110" s="70"/>
      <c r="V110" s="31">
        <f t="shared" si="11"/>
        <v>9432533.495217837</v>
      </c>
      <c r="W110" s="70"/>
      <c r="X110" s="31">
        <f t="shared" si="11"/>
        <v>9923710.012977345</v>
      </c>
      <c r="Y110" s="70"/>
      <c r="Z110" s="31">
        <f t="shared" si="11"/>
        <v>10212234.434675265</v>
      </c>
      <c r="AA110" s="70"/>
      <c r="AB110" s="31">
        <f t="shared" si="11"/>
        <v>9856159.31429015</v>
      </c>
      <c r="AC110" s="70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>
        <f t="shared" si="12"/>
        <v>9432533.495217837</v>
      </c>
      <c r="AU110" s="68"/>
      <c r="AV110" s="68">
        <f t="shared" si="13"/>
        <v>9923710.012977345</v>
      </c>
      <c r="AW110" s="68"/>
      <c r="AX110" s="68">
        <f t="shared" si="14"/>
        <v>10212234.434675265</v>
      </c>
      <c r="AY110" s="68"/>
      <c r="AZ110" s="68">
        <f t="shared" si="15"/>
        <v>9856159.31429015</v>
      </c>
    </row>
    <row r="111" spans="2:52" ht="12.75">
      <c r="B111" s="7" t="s">
        <v>124</v>
      </c>
      <c r="D111" s="7" t="s">
        <v>31</v>
      </c>
      <c r="F111" s="29"/>
      <c r="G111" s="7"/>
      <c r="H111" s="29"/>
      <c r="I111" s="7"/>
      <c r="J111" s="29"/>
      <c r="K111" s="9"/>
      <c r="L111" s="30"/>
      <c r="N111" s="29"/>
      <c r="O111" s="9"/>
      <c r="P111" s="29"/>
      <c r="Q111" s="9"/>
      <c r="R111" s="29"/>
      <c r="S111" s="9"/>
      <c r="T111" s="30"/>
      <c r="U111" s="7"/>
      <c r="V111" s="30">
        <f t="shared" si="11"/>
        <v>0</v>
      </c>
      <c r="W111" s="7"/>
      <c r="X111" s="30">
        <f t="shared" si="11"/>
        <v>0</v>
      </c>
      <c r="Y111" s="7"/>
      <c r="Z111" s="30">
        <f t="shared" si="11"/>
        <v>0</v>
      </c>
      <c r="AA111" s="7"/>
      <c r="AB111" s="30">
        <f t="shared" si="11"/>
        <v>0</v>
      </c>
      <c r="AC111" s="7"/>
      <c r="AD111" s="27"/>
      <c r="AF111" s="27"/>
      <c r="AH111" s="27"/>
      <c r="AJ111" s="27"/>
      <c r="AL111" s="29">
        <f>AL98/100*AL$89*454/60/0.0283/AL$103*(21-7)/(21-AL$104)*1000000</f>
        <v>799.8339709534673</v>
      </c>
      <c r="AM111" s="7"/>
      <c r="AN111" s="29">
        <f>AN98/100*AN$89*454/60/0.0283/AN$103*(21-7)/(21-AN$104)*1000000</f>
        <v>896.025919679892</v>
      </c>
      <c r="AO111" s="7"/>
      <c r="AP111" s="29">
        <f>AP98/100*AP$89*454/60/0.0283/AP$103*(21-7)/(21-AP$104)*1000000</f>
        <v>891.6931528232859</v>
      </c>
      <c r="AQ111" s="9"/>
      <c r="AR111" s="29">
        <f aca="true" t="shared" si="16" ref="AR111:AR116">AVERAGE(AL111,AN111,AP111)</f>
        <v>862.5176811522151</v>
      </c>
      <c r="AT111" s="27">
        <f t="shared" si="12"/>
        <v>799.8339709534673</v>
      </c>
      <c r="AV111" s="27">
        <f t="shared" si="13"/>
        <v>896.025919679892</v>
      </c>
      <c r="AX111" s="27">
        <f t="shared" si="14"/>
        <v>891.6931528232859</v>
      </c>
      <c r="AZ111" s="27">
        <f t="shared" si="15"/>
        <v>862.5176811522151</v>
      </c>
    </row>
    <row r="112" spans="2:52" ht="12.75">
      <c r="B112" s="7" t="s">
        <v>125</v>
      </c>
      <c r="D112" s="7" t="s">
        <v>31</v>
      </c>
      <c r="F112" s="29"/>
      <c r="G112" s="7"/>
      <c r="H112" s="29"/>
      <c r="I112" s="7"/>
      <c r="J112" s="29"/>
      <c r="L112" s="30"/>
      <c r="N112" s="29"/>
      <c r="P112" s="29"/>
      <c r="R112" s="29"/>
      <c r="T112" s="30"/>
      <c r="V112" s="30">
        <f t="shared" si="11"/>
        <v>0</v>
      </c>
      <c r="X112" s="30">
        <f t="shared" si="11"/>
        <v>0</v>
      </c>
      <c r="Z112" s="30">
        <f t="shared" si="11"/>
        <v>0</v>
      </c>
      <c r="AB112" s="30">
        <f t="shared" si="11"/>
        <v>0</v>
      </c>
      <c r="AL112" s="29">
        <f>AL99/100*AL$89*454/60/0.0283/AL$103*(21-7)/(21-AL$104)*1000000</f>
        <v>266.6113236511558</v>
      </c>
      <c r="AM112" s="7"/>
      <c r="AN112" s="29">
        <f>AN99/100*AN$89*454/60/0.0283/AN$103*(21-7)/(21-AN$104)*1000000</f>
        <v>298.67530655996404</v>
      </c>
      <c r="AO112" s="7"/>
      <c r="AP112" s="29">
        <f>AP99/100*AP$89*454/60/0.0283/AP$103*(21-7)/(21-AP$104)*1000000</f>
        <v>297.2310509410953</v>
      </c>
      <c r="AQ112" s="9"/>
      <c r="AR112" s="29">
        <f t="shared" si="16"/>
        <v>287.50589371740506</v>
      </c>
      <c r="AT112" s="27">
        <f t="shared" si="12"/>
        <v>266.6113236511558</v>
      </c>
      <c r="AV112" s="27">
        <f t="shared" si="13"/>
        <v>298.67530655996404</v>
      </c>
      <c r="AX112" s="27">
        <f t="shared" si="14"/>
        <v>297.2310509410953</v>
      </c>
      <c r="AZ112" s="27">
        <f t="shared" si="15"/>
        <v>287.50589371740506</v>
      </c>
    </row>
    <row r="113" spans="2:52" ht="12.75">
      <c r="B113" s="7" t="s">
        <v>126</v>
      </c>
      <c r="D113" s="7" t="s">
        <v>31</v>
      </c>
      <c r="F113" s="29"/>
      <c r="G113" s="7"/>
      <c r="H113" s="29"/>
      <c r="I113" s="7"/>
      <c r="J113" s="29"/>
      <c r="L113" s="30"/>
      <c r="N113" s="29"/>
      <c r="P113" s="29"/>
      <c r="R113" s="29"/>
      <c r="T113" s="30"/>
      <c r="V113" s="30">
        <f t="shared" si="11"/>
        <v>0</v>
      </c>
      <c r="X113" s="30">
        <f t="shared" si="11"/>
        <v>0</v>
      </c>
      <c r="Z113" s="30">
        <f t="shared" si="11"/>
        <v>0</v>
      </c>
      <c r="AB113" s="30">
        <f t="shared" si="11"/>
        <v>0</v>
      </c>
      <c r="AL113" s="29">
        <f>AL100/100*AL$89*454/60/0.0283/AL$103*(21-7)/(21-AL$104)*1000000</f>
        <v>10664.45294604623</v>
      </c>
      <c r="AM113" s="7"/>
      <c r="AN113" s="29">
        <f>AN100/100*AN$89*454/60/0.0283/AN$103*(21-7)/(21-AN$104)*1000000</f>
        <v>11947.012262398559</v>
      </c>
      <c r="AO113" s="7"/>
      <c r="AP113" s="29">
        <f>AP100/100*AP$89*454/60/0.0283/AP$103*(21-7)/(21-AP$104)*1000000</f>
        <v>11889.242037643811</v>
      </c>
      <c r="AQ113" s="9"/>
      <c r="AR113" s="29">
        <f t="shared" si="16"/>
        <v>11500.2357486962</v>
      </c>
      <c r="AT113" s="27">
        <f t="shared" si="12"/>
        <v>10664.45294604623</v>
      </c>
      <c r="AV113" s="27">
        <f t="shared" si="13"/>
        <v>11947.012262398559</v>
      </c>
      <c r="AX113" s="27">
        <f t="shared" si="14"/>
        <v>11889.242037643811</v>
      </c>
      <c r="AZ113" s="27">
        <f t="shared" si="15"/>
        <v>11500.2357486962</v>
      </c>
    </row>
    <row r="114" spans="2:52" ht="12.75">
      <c r="B114" s="7" t="s">
        <v>127</v>
      </c>
      <c r="D114" s="7" t="s">
        <v>31</v>
      </c>
      <c r="F114" s="29"/>
      <c r="G114" s="7"/>
      <c r="H114" s="29"/>
      <c r="I114" s="7"/>
      <c r="J114" s="29"/>
      <c r="L114" s="30"/>
      <c r="N114" s="29"/>
      <c r="P114" s="29"/>
      <c r="R114" s="29"/>
      <c r="T114" s="30"/>
      <c r="V114" s="30">
        <f t="shared" si="11"/>
        <v>0</v>
      </c>
      <c r="X114" s="30">
        <f t="shared" si="11"/>
        <v>0</v>
      </c>
      <c r="Z114" s="30">
        <f t="shared" si="11"/>
        <v>0</v>
      </c>
      <c r="AB114" s="30">
        <f t="shared" si="11"/>
        <v>0</v>
      </c>
      <c r="AL114" s="29">
        <f>AL101/100*AL$89*454/60/0.0283/AL$103*(21-7)/(21-AL$104)*1000000</f>
        <v>49323.09487546382</v>
      </c>
      <c r="AM114" s="7"/>
      <c r="AN114" s="29">
        <f>AN101/100*AN$89*454/60/0.0283/AN$103*(21-7)/(21-AN$104)*1000000</f>
        <v>55254.93171359336</v>
      </c>
      <c r="AO114" s="7"/>
      <c r="AP114" s="29">
        <f>AP101/100*AP$89*454/60/0.0283/AP$103*(21-7)/(21-AP$104)*1000000</f>
        <v>54987.744424102646</v>
      </c>
      <c r="AQ114" s="9"/>
      <c r="AR114" s="29">
        <f t="shared" si="16"/>
        <v>53188.59033771994</v>
      </c>
      <c r="AT114" s="27">
        <f t="shared" si="12"/>
        <v>49323.09487546382</v>
      </c>
      <c r="AV114" s="27">
        <f t="shared" si="13"/>
        <v>55254.93171359336</v>
      </c>
      <c r="AX114" s="27">
        <f t="shared" si="14"/>
        <v>54987.744424102646</v>
      </c>
      <c r="AZ114" s="27">
        <f t="shared" si="15"/>
        <v>53188.59033771994</v>
      </c>
    </row>
    <row r="115" spans="2:52" ht="12.75">
      <c r="B115" s="7" t="s">
        <v>32</v>
      </c>
      <c r="D115" s="7" t="s">
        <v>31</v>
      </c>
      <c r="F115" s="27"/>
      <c r="H115" s="27"/>
      <c r="J115" s="27"/>
      <c r="L115" s="30"/>
      <c r="N115" s="27"/>
      <c r="P115" s="27"/>
      <c r="R115" s="27"/>
      <c r="T115" s="30"/>
      <c r="V115" s="30">
        <f t="shared" si="11"/>
        <v>0</v>
      </c>
      <c r="X115" s="30">
        <f t="shared" si="11"/>
        <v>0</v>
      </c>
      <c r="Z115" s="30">
        <f t="shared" si="11"/>
        <v>0</v>
      </c>
      <c r="AB115" s="30">
        <f t="shared" si="11"/>
        <v>0</v>
      </c>
      <c r="AL115" s="27">
        <f>AL114+AL112</f>
        <v>49589.70619911498</v>
      </c>
      <c r="AN115" s="27">
        <f>AN114+AN112</f>
        <v>55553.60702015332</v>
      </c>
      <c r="AP115" s="27">
        <f>AP114+AP112</f>
        <v>55284.97547504374</v>
      </c>
      <c r="AR115" s="29">
        <f t="shared" si="16"/>
        <v>53476.09623143735</v>
      </c>
      <c r="AT115" s="27">
        <f t="shared" si="12"/>
        <v>49589.70619911498</v>
      </c>
      <c r="AV115" s="27">
        <f t="shared" si="13"/>
        <v>55553.60702015332</v>
      </c>
      <c r="AX115" s="27">
        <f t="shared" si="14"/>
        <v>55284.97547504374</v>
      </c>
      <c r="AZ115" s="27">
        <f t="shared" si="15"/>
        <v>53476.09623143735</v>
      </c>
    </row>
    <row r="116" spans="2:52" ht="12.75">
      <c r="B116" s="7" t="s">
        <v>33</v>
      </c>
      <c r="D116" s="7" t="s">
        <v>31</v>
      </c>
      <c r="F116" s="27"/>
      <c r="H116" s="27"/>
      <c r="J116" s="27"/>
      <c r="L116" s="30"/>
      <c r="N116" s="27"/>
      <c r="P116" s="27"/>
      <c r="R116" s="27"/>
      <c r="T116" s="30"/>
      <c r="V116" s="30">
        <f t="shared" si="11"/>
        <v>0</v>
      </c>
      <c r="X116" s="30">
        <f t="shared" si="11"/>
        <v>0</v>
      </c>
      <c r="Z116" s="30">
        <f t="shared" si="11"/>
        <v>0</v>
      </c>
      <c r="AB116" s="30">
        <f t="shared" si="11"/>
        <v>0</v>
      </c>
      <c r="AL116" s="27">
        <f>AL113+AL111</f>
        <v>11464.286916999697</v>
      </c>
      <c r="AN116" s="27">
        <f>AN113+AN111</f>
        <v>12843.038182078451</v>
      </c>
      <c r="AP116" s="27">
        <f>AP113+AP111</f>
        <v>12780.935190467097</v>
      </c>
      <c r="AR116" s="29">
        <f t="shared" si="16"/>
        <v>12362.753429848415</v>
      </c>
      <c r="AT116" s="27">
        <f t="shared" si="12"/>
        <v>11464.286916999697</v>
      </c>
      <c r="AV116" s="27">
        <f t="shared" si="13"/>
        <v>12843.038182078451</v>
      </c>
      <c r="AX116" s="27">
        <f t="shared" si="14"/>
        <v>12780.935190467097</v>
      </c>
      <c r="AZ116" s="27">
        <f t="shared" si="15"/>
        <v>12362.753429848415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workbookViewId="0" topLeftCell="S1">
      <selection activeCell="C1" sqref="C1"/>
    </sheetView>
  </sheetViews>
  <sheetFormatPr defaultColWidth="9.140625" defaultRowHeight="12.75"/>
  <cols>
    <col min="1" max="1" width="0.5625" style="56" hidden="1" customWidth="1"/>
    <col min="2" max="2" width="16.7109375" style="56" customWidth="1"/>
    <col min="3" max="3" width="3.28125" style="56" customWidth="1"/>
    <col min="4" max="4" width="8.28125" style="56" customWidth="1"/>
    <col min="5" max="5" width="1.8515625" style="56" customWidth="1"/>
    <col min="6" max="6" width="8.00390625" style="56" bestFit="1" customWidth="1"/>
    <col min="7" max="7" width="2.00390625" style="56" customWidth="1"/>
    <col min="8" max="8" width="9.00390625" style="56" bestFit="1" customWidth="1"/>
    <col min="9" max="9" width="1.421875" style="56" customWidth="1"/>
    <col min="10" max="10" width="9.00390625" style="56" bestFit="1" customWidth="1"/>
    <col min="11" max="11" width="2.00390625" style="56" customWidth="1"/>
    <col min="12" max="12" width="8.28125" style="56" bestFit="1" customWidth="1"/>
    <col min="13" max="13" width="1.8515625" style="56" customWidth="1"/>
    <col min="14" max="14" width="8.00390625" style="56" bestFit="1" customWidth="1"/>
    <col min="15" max="15" width="1.7109375" style="56" customWidth="1"/>
    <col min="16" max="16" width="8.8515625" style="56" customWidth="1"/>
    <col min="17" max="17" width="1.8515625" style="56" customWidth="1"/>
    <col min="18" max="18" width="9.00390625" style="59" bestFit="1" customWidth="1"/>
    <col min="19" max="19" width="1.8515625" style="56" customWidth="1"/>
    <col min="20" max="20" width="9.00390625" style="56" bestFit="1" customWidth="1"/>
    <col min="21" max="21" width="1.8515625" style="56" customWidth="1"/>
    <col min="22" max="22" width="9.00390625" style="56" bestFit="1" customWidth="1"/>
    <col min="23" max="23" width="1.8515625" style="56" customWidth="1"/>
    <col min="24" max="24" width="7.421875" style="56" bestFit="1" customWidth="1"/>
    <col min="25" max="25" width="1.8515625" style="56" customWidth="1"/>
    <col min="26" max="26" width="6.00390625" style="56" bestFit="1" customWidth="1"/>
    <col min="27" max="27" width="2.00390625" style="56" customWidth="1"/>
    <col min="28" max="28" width="6.00390625" style="56" bestFit="1" customWidth="1"/>
    <col min="29" max="29" width="1.7109375" style="56" customWidth="1"/>
    <col min="30" max="30" width="9.00390625" style="56" bestFit="1" customWidth="1"/>
    <col min="31" max="31" width="1.421875" style="56" customWidth="1"/>
    <col min="32" max="32" width="9.00390625" style="56" bestFit="1" customWidth="1"/>
    <col min="33" max="33" width="1.421875" style="56" customWidth="1"/>
    <col min="34" max="34" width="9.00390625" style="56" bestFit="1" customWidth="1"/>
    <col min="35" max="35" width="2.00390625" style="56" customWidth="1"/>
    <col min="36" max="36" width="9.00390625" style="56" bestFit="1" customWidth="1"/>
    <col min="37" max="16384" width="9.140625" style="56" customWidth="1"/>
  </cols>
  <sheetData>
    <row r="1" spans="2:3" ht="12.75">
      <c r="B1" s="13" t="s">
        <v>192</v>
      </c>
      <c r="C1" s="13"/>
    </row>
    <row r="4" spans="2:36" ht="12.75">
      <c r="B4" s="13" t="s">
        <v>97</v>
      </c>
      <c r="C4" s="13"/>
      <c r="F4" s="61" t="s">
        <v>171</v>
      </c>
      <c r="G4" s="61"/>
      <c r="H4" s="61" t="s">
        <v>172</v>
      </c>
      <c r="I4" s="61"/>
      <c r="J4" s="61" t="s">
        <v>173</v>
      </c>
      <c r="K4" s="61"/>
      <c r="L4" s="61" t="s">
        <v>171</v>
      </c>
      <c r="M4" s="61"/>
      <c r="N4" s="61" t="s">
        <v>172</v>
      </c>
      <c r="O4" s="61"/>
      <c r="P4" s="61" t="s">
        <v>173</v>
      </c>
      <c r="Q4" s="61"/>
      <c r="R4" s="65" t="s">
        <v>171</v>
      </c>
      <c r="S4" s="61"/>
      <c r="T4" s="61" t="s">
        <v>172</v>
      </c>
      <c r="U4" s="61"/>
      <c r="V4" s="61" t="s">
        <v>173</v>
      </c>
      <c r="W4" s="61"/>
      <c r="X4" s="61" t="s">
        <v>171</v>
      </c>
      <c r="Y4" s="61"/>
      <c r="Z4" s="61" t="s">
        <v>172</v>
      </c>
      <c r="AA4" s="61"/>
      <c r="AB4" s="61" t="s">
        <v>173</v>
      </c>
      <c r="AC4" s="61"/>
      <c r="AD4" s="61" t="s">
        <v>171</v>
      </c>
      <c r="AE4" s="61"/>
      <c r="AF4" s="61" t="s">
        <v>172</v>
      </c>
      <c r="AG4" s="61"/>
      <c r="AH4" s="61" t="s">
        <v>173</v>
      </c>
      <c r="AI4" s="61"/>
      <c r="AJ4" s="61" t="s">
        <v>174</v>
      </c>
    </row>
    <row r="5" spans="2:3" ht="12.75">
      <c r="B5" s="13"/>
      <c r="C5" s="13"/>
    </row>
    <row r="6" spans="2:36" ht="12.75">
      <c r="B6" s="14" t="s">
        <v>211</v>
      </c>
      <c r="C6" s="14"/>
      <c r="F6" s="56" t="s">
        <v>213</v>
      </c>
      <c r="H6" s="56" t="s">
        <v>213</v>
      </c>
      <c r="J6" s="56" t="s">
        <v>213</v>
      </c>
      <c r="L6" s="56" t="s">
        <v>215</v>
      </c>
      <c r="N6" s="56" t="s">
        <v>215</v>
      </c>
      <c r="P6" s="56" t="s">
        <v>215</v>
      </c>
      <c r="X6" s="56" t="s">
        <v>216</v>
      </c>
      <c r="Z6" s="56" t="s">
        <v>216</v>
      </c>
      <c r="AB6" s="56" t="s">
        <v>216</v>
      </c>
      <c r="AD6" s="56" t="s">
        <v>218</v>
      </c>
      <c r="AF6" s="56" t="s">
        <v>218</v>
      </c>
      <c r="AH6" s="56" t="s">
        <v>218</v>
      </c>
      <c r="AJ6" s="56" t="s">
        <v>218</v>
      </c>
    </row>
    <row r="7" spans="2:36" ht="12.75">
      <c r="B7" s="14" t="s">
        <v>212</v>
      </c>
      <c r="C7" s="14"/>
      <c r="F7" s="56" t="s">
        <v>214</v>
      </c>
      <c r="H7" s="56" t="s">
        <v>214</v>
      </c>
      <c r="J7" s="56" t="s">
        <v>214</v>
      </c>
      <c r="L7" s="56" t="s">
        <v>214</v>
      </c>
      <c r="N7" s="56" t="s">
        <v>214</v>
      </c>
      <c r="P7" s="56" t="s">
        <v>214</v>
      </c>
      <c r="X7" s="56" t="s">
        <v>217</v>
      </c>
      <c r="Z7" s="56" t="s">
        <v>217</v>
      </c>
      <c r="AB7" s="56" t="s">
        <v>217</v>
      </c>
      <c r="AD7" s="56" t="s">
        <v>20</v>
      </c>
      <c r="AF7" s="56" t="s">
        <v>20</v>
      </c>
      <c r="AH7" s="56" t="s">
        <v>20</v>
      </c>
      <c r="AJ7" s="56" t="s">
        <v>20</v>
      </c>
    </row>
    <row r="8" spans="2:36" ht="12.75">
      <c r="B8" s="5" t="s">
        <v>223</v>
      </c>
      <c r="C8" s="5"/>
      <c r="R8" s="59" t="s">
        <v>38</v>
      </c>
      <c r="T8" s="56" t="s">
        <v>38</v>
      </c>
      <c r="V8" s="56" t="s">
        <v>38</v>
      </c>
      <c r="X8" s="56" t="s">
        <v>224</v>
      </c>
      <c r="Z8" s="56" t="s">
        <v>224</v>
      </c>
      <c r="AB8" s="56" t="s">
        <v>224</v>
      </c>
      <c r="AD8" s="56" t="s">
        <v>20</v>
      </c>
      <c r="AF8" s="56" t="s">
        <v>20</v>
      </c>
      <c r="AH8" s="56" t="s">
        <v>20</v>
      </c>
      <c r="AJ8" s="56" t="s">
        <v>20</v>
      </c>
    </row>
    <row r="9" spans="2:30" ht="12.75">
      <c r="B9" s="56" t="s">
        <v>21</v>
      </c>
      <c r="F9" s="56" t="s">
        <v>179</v>
      </c>
      <c r="L9" s="56" t="s">
        <v>76</v>
      </c>
      <c r="X9" s="56" t="s">
        <v>102</v>
      </c>
      <c r="AD9" s="56" t="s">
        <v>20</v>
      </c>
    </row>
    <row r="10" spans="1:11" ht="12.75">
      <c r="A10" s="56" t="s">
        <v>97</v>
      </c>
      <c r="B10" s="56" t="s">
        <v>180</v>
      </c>
      <c r="D10" s="56" t="s">
        <v>27</v>
      </c>
      <c r="F10" s="57">
        <v>2700</v>
      </c>
      <c r="G10" s="57"/>
      <c r="H10" s="57">
        <v>2580</v>
      </c>
      <c r="I10" s="57"/>
      <c r="J10" s="57">
        <v>2580</v>
      </c>
      <c r="K10" s="57"/>
    </row>
    <row r="11" spans="2:29" ht="12.75">
      <c r="B11" s="56" t="s">
        <v>180</v>
      </c>
      <c r="D11" s="56" t="s">
        <v>69</v>
      </c>
      <c r="F11" s="57"/>
      <c r="G11" s="57"/>
      <c r="H11" s="57"/>
      <c r="I11" s="57"/>
      <c r="J11" s="57"/>
      <c r="K11" s="57"/>
      <c r="L11" s="57">
        <v>14</v>
      </c>
      <c r="M11" s="57"/>
      <c r="N11" s="57">
        <v>14</v>
      </c>
      <c r="O11" s="57"/>
      <c r="P11" s="57">
        <v>14</v>
      </c>
      <c r="Q11" s="57"/>
      <c r="S11" s="57"/>
      <c r="T11" s="57"/>
      <c r="U11" s="57"/>
      <c r="V11" s="57"/>
      <c r="W11" s="57"/>
      <c r="X11" s="57">
        <v>0.8</v>
      </c>
      <c r="Y11" s="57"/>
      <c r="Z11" s="57">
        <v>0.5</v>
      </c>
      <c r="AA11" s="57"/>
      <c r="AB11" s="57">
        <v>0.5</v>
      </c>
      <c r="AC11" s="57"/>
    </row>
    <row r="12" spans="1:29" ht="12.75">
      <c r="A12" s="56" t="s">
        <v>97</v>
      </c>
      <c r="B12" s="56" t="s">
        <v>181</v>
      </c>
      <c r="D12" s="56" t="s">
        <v>78</v>
      </c>
      <c r="F12" s="57">
        <v>10950</v>
      </c>
      <c r="G12" s="57"/>
      <c r="H12" s="57">
        <v>10270</v>
      </c>
      <c r="I12" s="57"/>
      <c r="J12" s="57">
        <v>10480</v>
      </c>
      <c r="K12" s="57"/>
      <c r="L12" s="57">
        <v>1380</v>
      </c>
      <c r="M12" s="57"/>
      <c r="N12" s="57">
        <v>1150</v>
      </c>
      <c r="O12" s="57"/>
      <c r="P12" s="57">
        <v>1190</v>
      </c>
      <c r="Q12" s="57"/>
      <c r="S12" s="57"/>
      <c r="T12" s="57"/>
      <c r="U12" s="57"/>
      <c r="V12" s="57"/>
      <c r="W12" s="57"/>
      <c r="X12" s="57">
        <v>19330</v>
      </c>
      <c r="Y12" s="57"/>
      <c r="Z12" s="57">
        <v>19280</v>
      </c>
      <c r="AA12" s="57"/>
      <c r="AB12" s="57">
        <v>19240</v>
      </c>
      <c r="AC12" s="57"/>
    </row>
    <row r="13" spans="2:36" ht="12.75">
      <c r="B13" s="56" t="s">
        <v>60</v>
      </c>
      <c r="D13" s="56" t="s">
        <v>29</v>
      </c>
      <c r="F13" s="58">
        <f>F12*F10/1000000</f>
        <v>29.565</v>
      </c>
      <c r="G13" s="57"/>
      <c r="H13" s="58">
        <f>H12*H10/1000000</f>
        <v>26.4966</v>
      </c>
      <c r="I13" s="57"/>
      <c r="J13" s="58">
        <f>J12*J10/1000000</f>
        <v>27.0384</v>
      </c>
      <c r="K13" s="57"/>
      <c r="L13" s="58">
        <f>L11*60*L14*L12/1000000</f>
        <v>9.2736</v>
      </c>
      <c r="M13" s="57"/>
      <c r="N13" s="58">
        <f>N11*60*N14*N12/1000000</f>
        <v>7.728</v>
      </c>
      <c r="O13" s="57"/>
      <c r="P13" s="58">
        <f>P11*60*P14*P12/1000000</f>
        <v>7.9968</v>
      </c>
      <c r="Q13" s="57"/>
      <c r="S13" s="57"/>
      <c r="T13" s="58"/>
      <c r="U13" s="57"/>
      <c r="V13" s="58"/>
      <c r="W13" s="57"/>
      <c r="X13" s="58">
        <f>X11*60*X14*X12/1000000</f>
        <v>7.42272</v>
      </c>
      <c r="Y13" s="57"/>
      <c r="Z13" s="58">
        <f>Z11*60*Z14*Z12/1000000</f>
        <v>4.6272</v>
      </c>
      <c r="AA13" s="57"/>
      <c r="AB13" s="58">
        <f>AB11*60*AB14*AB12/1000000</f>
        <v>4.6176</v>
      </c>
      <c r="AC13" s="57"/>
      <c r="AD13" s="58">
        <f>F13+L13+X13</f>
        <v>46.26132</v>
      </c>
      <c r="AF13" s="58">
        <f>H13+N13+Z13</f>
        <v>38.851800000000004</v>
      </c>
      <c r="AH13" s="58">
        <f>J13+P13+AB13</f>
        <v>39.652800000000006</v>
      </c>
      <c r="AJ13" s="58">
        <f>AVERAGE(AD13,AF13,AH13)</f>
        <v>41.588640000000005</v>
      </c>
    </row>
    <row r="14" spans="2:29" ht="12.75">
      <c r="B14" s="56" t="s">
        <v>104</v>
      </c>
      <c r="D14" s="56" t="s">
        <v>182</v>
      </c>
      <c r="F14" s="57"/>
      <c r="G14" s="57"/>
      <c r="H14" s="57"/>
      <c r="I14" s="57"/>
      <c r="J14" s="57"/>
      <c r="K14" s="57"/>
      <c r="L14" s="57">
        <v>8</v>
      </c>
      <c r="M14" s="57"/>
      <c r="N14" s="57">
        <v>8</v>
      </c>
      <c r="O14" s="57"/>
      <c r="P14" s="57">
        <v>8</v>
      </c>
      <c r="Q14" s="57"/>
      <c r="S14" s="57"/>
      <c r="T14" s="57"/>
      <c r="U14" s="57"/>
      <c r="V14" s="57"/>
      <c r="W14" s="57"/>
      <c r="X14" s="57">
        <v>8</v>
      </c>
      <c r="Y14" s="57"/>
      <c r="Z14" s="57">
        <v>8</v>
      </c>
      <c r="AA14" s="57"/>
      <c r="AB14" s="57">
        <v>8</v>
      </c>
      <c r="AC14" s="57"/>
    </row>
    <row r="15" spans="1:29" ht="12.75">
      <c r="A15" s="56" t="s">
        <v>97</v>
      </c>
      <c r="B15" s="56" t="s">
        <v>22</v>
      </c>
      <c r="D15" s="56" t="s">
        <v>183</v>
      </c>
      <c r="F15" s="57">
        <v>0.1</v>
      </c>
      <c r="G15" s="57"/>
      <c r="H15" s="57">
        <v>0.1</v>
      </c>
      <c r="I15" s="57"/>
      <c r="J15" s="57">
        <v>0.1</v>
      </c>
      <c r="K15" s="57"/>
      <c r="L15" s="57">
        <v>8.3</v>
      </c>
      <c r="M15" s="57"/>
      <c r="N15" s="57">
        <v>8</v>
      </c>
      <c r="O15" s="57"/>
      <c r="P15" s="57">
        <v>8</v>
      </c>
      <c r="Q15" s="57"/>
      <c r="S15" s="57"/>
      <c r="T15" s="57"/>
      <c r="U15" s="57"/>
      <c r="V15" s="57"/>
      <c r="W15" s="57"/>
      <c r="X15" s="57">
        <v>0.1</v>
      </c>
      <c r="Y15" s="57"/>
      <c r="Z15" s="57">
        <v>0.1</v>
      </c>
      <c r="AA15" s="57"/>
      <c r="AB15" s="57">
        <v>0.1</v>
      </c>
      <c r="AC15" s="57"/>
    </row>
    <row r="16" spans="1:29" ht="12.75">
      <c r="A16" s="56" t="s">
        <v>97</v>
      </c>
      <c r="B16" s="56" t="s">
        <v>23</v>
      </c>
      <c r="D16" s="56" t="s">
        <v>184</v>
      </c>
      <c r="F16" s="57">
        <v>151000</v>
      </c>
      <c r="G16" s="57"/>
      <c r="H16" s="57">
        <v>152000</v>
      </c>
      <c r="I16" s="57"/>
      <c r="J16" s="57">
        <v>157000</v>
      </c>
      <c r="K16" s="57"/>
      <c r="L16" s="57">
        <v>41000</v>
      </c>
      <c r="M16" s="57"/>
      <c r="N16" s="57">
        <v>39000</v>
      </c>
      <c r="O16" s="57"/>
      <c r="P16" s="57">
        <v>39000</v>
      </c>
      <c r="Q16" s="57"/>
      <c r="S16" s="57"/>
      <c r="T16" s="57"/>
      <c r="U16" s="57"/>
      <c r="V16" s="57"/>
      <c r="W16" s="57"/>
      <c r="X16" s="57">
        <v>1000</v>
      </c>
      <c r="Y16" s="57"/>
      <c r="Z16" s="57">
        <v>1000</v>
      </c>
      <c r="AA16" s="57"/>
      <c r="AB16" s="57">
        <v>1000</v>
      </c>
      <c r="AC16" s="57"/>
    </row>
    <row r="18" spans="2:36" ht="12.75">
      <c r="B18" s="56" t="s">
        <v>185</v>
      </c>
      <c r="F18" s="56">
        <f>'emiss 2'!$G$12</f>
        <v>9474</v>
      </c>
      <c r="H18" s="56">
        <f>'emiss 2'!$I$12</f>
        <v>9148</v>
      </c>
      <c r="J18" s="56">
        <f>'emiss 2'!$K$12</f>
        <v>9282</v>
      </c>
      <c r="L18" s="56">
        <f>'emiss 2'!$G$12</f>
        <v>9474</v>
      </c>
      <c r="N18" s="56">
        <f>'emiss 2'!$I$12</f>
        <v>9148</v>
      </c>
      <c r="P18" s="56">
        <f>'emiss 2'!$K$12</f>
        <v>9282</v>
      </c>
      <c r="X18" s="56">
        <f>'emiss 2'!$G$12</f>
        <v>9474</v>
      </c>
      <c r="Z18" s="56">
        <f>'emiss 2'!$I$12</f>
        <v>9148</v>
      </c>
      <c r="AB18" s="56">
        <f>'emiss 2'!$K$12</f>
        <v>9282</v>
      </c>
      <c r="AD18" s="56">
        <f>X18</f>
        <v>9474</v>
      </c>
      <c r="AF18" s="56">
        <f>Z18</f>
        <v>9148</v>
      </c>
      <c r="AH18" s="56">
        <f>AB18</f>
        <v>9282</v>
      </c>
      <c r="AJ18" s="59">
        <f>AVERAGE(AD18,AF18,AH18)</f>
        <v>9301.333333333334</v>
      </c>
    </row>
    <row r="19" spans="2:36" ht="12.75">
      <c r="B19" s="56" t="s">
        <v>35</v>
      </c>
      <c r="F19" s="56">
        <f>'emiss 2'!$G$13</f>
        <v>4.6</v>
      </c>
      <c r="H19" s="56">
        <f>'emiss 2'!$I$13</f>
        <v>5.5</v>
      </c>
      <c r="J19" s="56">
        <f>'emiss 2'!$K$13</f>
        <v>5.2</v>
      </c>
      <c r="L19" s="56">
        <f>'emiss 2'!$G$13</f>
        <v>4.6</v>
      </c>
      <c r="N19" s="56">
        <f>'emiss 2'!$I$13</f>
        <v>5.5</v>
      </c>
      <c r="P19" s="56">
        <f>'emiss 2'!$K$13</f>
        <v>5.2</v>
      </c>
      <c r="X19" s="56">
        <f>'emiss 2'!$G$13</f>
        <v>4.6</v>
      </c>
      <c r="Z19" s="56">
        <f>'emiss 2'!$I$13</f>
        <v>5.5</v>
      </c>
      <c r="AB19" s="56">
        <f>'emiss 2'!$K$13</f>
        <v>5.2</v>
      </c>
      <c r="AD19" s="56">
        <f>X19</f>
        <v>4.6</v>
      </c>
      <c r="AF19" s="56">
        <f>Z19</f>
        <v>5.5</v>
      </c>
      <c r="AH19" s="56">
        <f>AB19</f>
        <v>5.2</v>
      </c>
      <c r="AJ19" s="56">
        <f>AVERAGE(AD19,AF19,AH19)</f>
        <v>5.1000000000000005</v>
      </c>
    </row>
    <row r="21" ht="12.75">
      <c r="B21" s="56" t="s">
        <v>186</v>
      </c>
    </row>
    <row r="22" spans="2:36" ht="12.75">
      <c r="B22" s="56" t="s">
        <v>22</v>
      </c>
      <c r="D22" s="56" t="s">
        <v>36</v>
      </c>
      <c r="F22" s="58">
        <f>F15/100*F$10*454*1000/F$18*14/(21-F$19)/0.0283/60</f>
        <v>65.04781881168186</v>
      </c>
      <c r="H22" s="58">
        <f>H15/100*H$10*454*1000/H$18*14/(21-H$19)/0.0283/60</f>
        <v>68.10955683432857</v>
      </c>
      <c r="J22" s="58">
        <f>J15/100*J$10*454*1000/J$18*14/(21-J$19)/0.0283/60</f>
        <v>65.85174041609584</v>
      </c>
      <c r="L22" s="58">
        <f>L15/100*L$11*L$14*454*1000/L$18*14/(21-L$19)/0.0283</f>
        <v>13437.433859408766</v>
      </c>
      <c r="N22" s="58">
        <f>N15/100*N$11*N$14*454*1000/N$18*14/(21-N$19)/0.0283</f>
        <v>14192.130912455443</v>
      </c>
      <c r="P22" s="58">
        <f>P15/100*P$11*P$14*454*1000/P$18*14/(21-P$19)/0.0283</f>
        <v>13721.664979726016</v>
      </c>
      <c r="R22" s="59">
        <f>F22+L22</f>
        <v>13502.481678220447</v>
      </c>
      <c r="T22" s="58">
        <f>H22+N22</f>
        <v>14260.24046928977</v>
      </c>
      <c r="V22" s="58">
        <f>J22+P22</f>
        <v>13787.516720142112</v>
      </c>
      <c r="X22" s="58">
        <f>X15/100*X$11*X$14*454*1000/X$18*14/(21-X$19)/0.0283</f>
        <v>9.251245342105863</v>
      </c>
      <c r="Z22" s="58">
        <f>Z15/100*Z$11*Z$14*454*1000/Z$18*14/(21-Z$19)/0.0283</f>
        <v>6.33577272877475</v>
      </c>
      <c r="AB22" s="58">
        <f>AB15/100*AB$11*AB$14*454*1000/AB$18*14/(21-AB$19)/0.0283</f>
        <v>6.125743294520543</v>
      </c>
      <c r="AD22" s="58">
        <f>F22+L22+X22</f>
        <v>13511.732923562553</v>
      </c>
      <c r="AF22" s="58">
        <f>H22+N22+Z22</f>
        <v>14266.576242018546</v>
      </c>
      <c r="AH22" s="58">
        <f>J22+P22+AB22</f>
        <v>13793.642463436632</v>
      </c>
      <c r="AJ22" s="58">
        <f>AVERAGE(AD22,AF22,AH22)</f>
        <v>13857.317209672578</v>
      </c>
    </row>
    <row r="23" spans="2:36" ht="12.75">
      <c r="B23" s="56" t="s">
        <v>23</v>
      </c>
      <c r="D23" s="56" t="s">
        <v>31</v>
      </c>
      <c r="F23" s="59">
        <f>F16*F$10*454/F$18*14/(21-F$19)/0.0283/60</f>
        <v>9822220.640563957</v>
      </c>
      <c r="H23" s="59">
        <f>H16*H$10*454/H$18*14/(21-H$19)/0.0283/60</f>
        <v>10352652.638817942</v>
      </c>
      <c r="J23" s="59">
        <f>J16*J$10*454/J$18*14/(21-J$19)/0.0283/60</f>
        <v>10338723.245327048</v>
      </c>
      <c r="L23" s="59">
        <f>L16*L$11*L$14*454/L$18*14/(21-L$19)/0.0283</f>
        <v>6637768.532960955</v>
      </c>
      <c r="N23" s="59">
        <f>N16*N$11*N$14*454/N$18*14/(21-N$19)/0.0283</f>
        <v>6918663.819822028</v>
      </c>
      <c r="P23" s="59">
        <f>P16*P$11*P$14*454/P$18*14/(21-P$19)/0.0283</f>
        <v>6689311.677616432</v>
      </c>
      <c r="R23" s="59">
        <f>F23+L23</f>
        <v>16459989.173524912</v>
      </c>
      <c r="T23" s="59">
        <f>H23+N23</f>
        <v>17271316.458639972</v>
      </c>
      <c r="V23" s="59">
        <f>J23+P23</f>
        <v>17028034.92294348</v>
      </c>
      <c r="X23" s="59">
        <f>X16*X$11*X$14*454/X$18*14/(21-X$19)/0.0283</f>
        <v>9251.245342105862</v>
      </c>
      <c r="Z23" s="59">
        <f>Z16*Z$11*Z$14*454/Z$18*14/(21-Z$19)/0.0283</f>
        <v>6335.772728774751</v>
      </c>
      <c r="AB23" s="59">
        <f>AB16*AB$11*AB$14*454/AB$18*14/(21-AB$19)/0.0283</f>
        <v>6125.743294520542</v>
      </c>
      <c r="AD23" s="59">
        <f>F23+L23+X23</f>
        <v>16469240.418867018</v>
      </c>
      <c r="AE23" s="59"/>
      <c r="AF23" s="59">
        <f>H23+N23+Z23</f>
        <v>17277652.231368747</v>
      </c>
      <c r="AG23" s="59"/>
      <c r="AH23" s="59">
        <f>J23+P23+AB23</f>
        <v>17034160.666238002</v>
      </c>
      <c r="AJ23" s="59">
        <f>AVERAGE(AD23,AF23,AH23)</f>
        <v>16927017.772157922</v>
      </c>
    </row>
    <row r="25" spans="2:36" ht="12.75">
      <c r="B25" s="5" t="s">
        <v>226</v>
      </c>
      <c r="C25" s="5"/>
      <c r="D25" s="5" t="s">
        <v>29</v>
      </c>
      <c r="F25" s="59"/>
      <c r="AD25" s="48">
        <f>AD18/9000*60*(21-AD19)/21</f>
        <v>49.324952380952375</v>
      </c>
      <c r="AF25" s="48">
        <f>AF18/9000*60*(21-AF19)/21</f>
        <v>45.01396825396826</v>
      </c>
      <c r="AH25" s="48">
        <f>AH18/9000*60*(21-AH19)/21</f>
        <v>46.55733333333334</v>
      </c>
      <c r="AJ25" s="48">
        <f>AJ18/9000*60*(21-AJ19)/21</f>
        <v>46.9495873015873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B11">
      <selection activeCell="C1" sqref="C1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3" t="s">
        <v>41</v>
      </c>
      <c r="C1" s="9"/>
      <c r="D1" s="9"/>
      <c r="E1" s="9"/>
      <c r="F1" s="9"/>
    </row>
    <row r="2" spans="2:6" ht="12.75">
      <c r="B2" s="9"/>
      <c r="C2" s="9"/>
      <c r="D2" s="9"/>
      <c r="E2" s="9"/>
      <c r="F2" s="9"/>
    </row>
    <row r="3" spans="1:7" ht="12.75">
      <c r="A3" t="s">
        <v>59</v>
      </c>
      <c r="B3" s="3" t="s">
        <v>156</v>
      </c>
      <c r="C3" s="9"/>
      <c r="D3" s="9"/>
      <c r="E3" s="36" t="s">
        <v>171</v>
      </c>
      <c r="F3" s="36" t="s">
        <v>172</v>
      </c>
      <c r="G3" s="36" t="s">
        <v>173</v>
      </c>
    </row>
    <row r="4" spans="2:6" ht="12.75">
      <c r="B4" s="9"/>
      <c r="C4" s="9"/>
      <c r="D4" s="9"/>
      <c r="F4" s="9"/>
    </row>
    <row r="5" spans="2:7" ht="14.25">
      <c r="B5" s="9" t="s">
        <v>109</v>
      </c>
      <c r="C5" s="4" t="s">
        <v>80</v>
      </c>
      <c r="D5" s="4"/>
      <c r="E5">
        <v>832</v>
      </c>
      <c r="F5" s="9">
        <v>838</v>
      </c>
      <c r="G5">
        <v>829</v>
      </c>
    </row>
    <row r="6" spans="2:7" ht="14.25">
      <c r="B6" s="9" t="s">
        <v>110</v>
      </c>
      <c r="C6" s="4" t="s">
        <v>80</v>
      </c>
      <c r="D6" s="4"/>
      <c r="E6">
        <v>844</v>
      </c>
      <c r="F6" s="9">
        <v>829</v>
      </c>
      <c r="G6">
        <v>821</v>
      </c>
    </row>
    <row r="7" spans="2:7" ht="14.25">
      <c r="B7" s="9" t="s">
        <v>106</v>
      </c>
      <c r="C7" s="9" t="s">
        <v>82</v>
      </c>
      <c r="D7" s="4"/>
      <c r="E7">
        <v>430</v>
      </c>
      <c r="F7" s="9">
        <v>460</v>
      </c>
      <c r="G7">
        <v>450</v>
      </c>
    </row>
    <row r="8" spans="2:7" s="9" customFormat="1" ht="12.75">
      <c r="B8" s="9" t="s">
        <v>107</v>
      </c>
      <c r="C8" s="9" t="s">
        <v>111</v>
      </c>
      <c r="E8" s="9">
        <v>13.6</v>
      </c>
      <c r="F8" s="9">
        <v>14.1</v>
      </c>
      <c r="G8" s="9">
        <v>13.9</v>
      </c>
    </row>
    <row r="9" spans="2:7" s="9" customFormat="1" ht="12.75">
      <c r="B9" s="9" t="s">
        <v>81</v>
      </c>
      <c r="C9" s="9" t="s">
        <v>68</v>
      </c>
      <c r="E9" s="9">
        <v>40</v>
      </c>
      <c r="F9" s="9">
        <v>38</v>
      </c>
      <c r="G9" s="9">
        <v>37</v>
      </c>
    </row>
    <row r="10" spans="2:7" s="9" customFormat="1" ht="12.75">
      <c r="B10" s="9" t="s">
        <v>108</v>
      </c>
      <c r="C10" t="s">
        <v>83</v>
      </c>
      <c r="E10" s="9">
        <v>5.4</v>
      </c>
      <c r="F10" s="9">
        <v>5.5</v>
      </c>
      <c r="G10" s="9">
        <v>5.5</v>
      </c>
    </row>
    <row r="11" ht="12.75">
      <c r="G11" s="9"/>
    </row>
    <row r="12" spans="1:7" ht="12.75">
      <c r="A12" t="s">
        <v>59</v>
      </c>
      <c r="B12" s="3" t="s">
        <v>157</v>
      </c>
      <c r="C12" s="9"/>
      <c r="D12" s="9"/>
      <c r="E12" s="36" t="s">
        <v>171</v>
      </c>
      <c r="F12" s="36" t="s">
        <v>172</v>
      </c>
      <c r="G12" s="36" t="s">
        <v>173</v>
      </c>
    </row>
    <row r="13" spans="2:6" ht="12.75">
      <c r="B13" s="9"/>
      <c r="C13" s="9"/>
      <c r="D13" s="9"/>
      <c r="F13" s="9"/>
    </row>
    <row r="14" spans="2:7" ht="14.25">
      <c r="B14" s="9" t="s">
        <v>109</v>
      </c>
      <c r="C14" s="4" t="s">
        <v>80</v>
      </c>
      <c r="D14" s="4"/>
      <c r="E14">
        <v>824</v>
      </c>
      <c r="F14" s="9">
        <v>828</v>
      </c>
      <c r="G14">
        <v>830</v>
      </c>
    </row>
    <row r="15" spans="2:7" ht="14.25">
      <c r="B15" s="9" t="s">
        <v>106</v>
      </c>
      <c r="C15" s="9" t="s">
        <v>82</v>
      </c>
      <c r="D15" s="4"/>
      <c r="E15">
        <v>495</v>
      </c>
      <c r="F15" s="9">
        <v>495</v>
      </c>
      <c r="G15">
        <v>490</v>
      </c>
    </row>
    <row r="16" spans="2:7" s="9" customFormat="1" ht="12.75">
      <c r="B16" s="9" t="s">
        <v>107</v>
      </c>
      <c r="C16" s="9" t="s">
        <v>111</v>
      </c>
      <c r="E16" s="9">
        <v>25.9</v>
      </c>
      <c r="F16" s="9">
        <v>25.6</v>
      </c>
      <c r="G16" s="9">
        <v>25.5</v>
      </c>
    </row>
    <row r="17" spans="2:7" s="9" customFormat="1" ht="12.75">
      <c r="B17" s="9" t="s">
        <v>81</v>
      </c>
      <c r="C17" s="9" t="s">
        <v>68</v>
      </c>
      <c r="E17" s="9">
        <v>39</v>
      </c>
      <c r="F17" s="9">
        <v>40</v>
      </c>
      <c r="G17" s="9">
        <v>39</v>
      </c>
    </row>
    <row r="18" spans="2:7" s="9" customFormat="1" ht="12.75">
      <c r="B18" s="9" t="s">
        <v>108</v>
      </c>
      <c r="C18" t="s">
        <v>83</v>
      </c>
      <c r="E18" s="9">
        <v>5.95</v>
      </c>
      <c r="F18" s="9">
        <v>5.95</v>
      </c>
      <c r="G18" s="9">
        <v>6</v>
      </c>
    </row>
    <row r="20" spans="2:7" ht="12.75">
      <c r="B20" s="3" t="s">
        <v>158</v>
      </c>
      <c r="C20" s="9"/>
      <c r="E20" s="36" t="s">
        <v>171</v>
      </c>
      <c r="F20" s="36" t="s">
        <v>172</v>
      </c>
      <c r="G20" s="36" t="s">
        <v>173</v>
      </c>
    </row>
    <row r="21" spans="2:3" ht="12.75">
      <c r="B21" s="9"/>
      <c r="C21" s="9"/>
    </row>
    <row r="22" spans="2:7" ht="14.25">
      <c r="B22" s="9" t="s">
        <v>135</v>
      </c>
      <c r="C22" s="4" t="s">
        <v>80</v>
      </c>
      <c r="E22">
        <v>950</v>
      </c>
      <c r="F22">
        <v>954</v>
      </c>
      <c r="G22">
        <v>954</v>
      </c>
    </row>
    <row r="23" spans="2:7" ht="14.25">
      <c r="B23" s="9" t="s">
        <v>136</v>
      </c>
      <c r="C23" s="4" t="s">
        <v>80</v>
      </c>
      <c r="E23">
        <v>91</v>
      </c>
      <c r="F23">
        <v>91</v>
      </c>
      <c r="G23">
        <v>91</v>
      </c>
    </row>
    <row r="24" spans="2:7" ht="12.75">
      <c r="B24" s="9" t="s">
        <v>137</v>
      </c>
      <c r="C24" s="9" t="s">
        <v>69</v>
      </c>
      <c r="E24">
        <v>46</v>
      </c>
      <c r="F24">
        <v>48</v>
      </c>
      <c r="G24">
        <v>48</v>
      </c>
    </row>
    <row r="25" spans="2:7" ht="12.75">
      <c r="B25" s="9" t="s">
        <v>138</v>
      </c>
      <c r="C25" s="9" t="s">
        <v>69</v>
      </c>
      <c r="E25">
        <v>43</v>
      </c>
      <c r="F25">
        <v>43</v>
      </c>
      <c r="G25">
        <v>58</v>
      </c>
    </row>
    <row r="26" spans="2:7" ht="12.75">
      <c r="B26" s="9" t="s">
        <v>139</v>
      </c>
      <c r="C26" s="9" t="s">
        <v>69</v>
      </c>
      <c r="E26">
        <v>196</v>
      </c>
      <c r="F26">
        <v>196</v>
      </c>
      <c r="G26">
        <v>195</v>
      </c>
    </row>
    <row r="27" spans="2:7" ht="12.75">
      <c r="B27" s="9" t="s">
        <v>140</v>
      </c>
      <c r="C27" s="9" t="s">
        <v>68</v>
      </c>
      <c r="E27">
        <v>51</v>
      </c>
      <c r="F27">
        <v>51</v>
      </c>
      <c r="G27">
        <v>49</v>
      </c>
    </row>
    <row r="28" spans="2:7" ht="12.75">
      <c r="B28" s="9" t="s">
        <v>141</v>
      </c>
      <c r="C28" s="9" t="s">
        <v>69</v>
      </c>
      <c r="E28">
        <v>530</v>
      </c>
      <c r="F28">
        <v>540</v>
      </c>
      <c r="G28">
        <v>535</v>
      </c>
    </row>
    <row r="29" spans="2:7" ht="12.75">
      <c r="B29" s="9" t="s">
        <v>142</v>
      </c>
      <c r="C29" s="9" t="s">
        <v>69</v>
      </c>
      <c r="E29">
        <v>2</v>
      </c>
      <c r="F29">
        <v>1.8</v>
      </c>
      <c r="G29">
        <v>1.8</v>
      </c>
    </row>
    <row r="30" spans="2:7" ht="12.75">
      <c r="B30" s="9" t="s">
        <v>143</v>
      </c>
      <c r="C30" s="9" t="s">
        <v>69</v>
      </c>
      <c r="E30">
        <v>69</v>
      </c>
      <c r="F30">
        <v>90</v>
      </c>
      <c r="G30">
        <v>88</v>
      </c>
    </row>
    <row r="31" spans="2:7" ht="12.75">
      <c r="B31" s="9" t="s">
        <v>144</v>
      </c>
      <c r="C31" s="9" t="s">
        <v>83</v>
      </c>
      <c r="E31">
        <v>7</v>
      </c>
      <c r="F31">
        <v>7</v>
      </c>
      <c r="G31">
        <v>7</v>
      </c>
    </row>
    <row r="33" spans="2:7" ht="12.75">
      <c r="B33" s="3" t="s">
        <v>159</v>
      </c>
      <c r="C33" s="9"/>
      <c r="E33" s="36" t="s">
        <v>171</v>
      </c>
      <c r="F33" s="36" t="s">
        <v>172</v>
      </c>
      <c r="G33" s="36" t="s">
        <v>173</v>
      </c>
    </row>
    <row r="34" spans="2:3" ht="12.75">
      <c r="B34" s="9"/>
      <c r="C34" s="9"/>
    </row>
    <row r="35" spans="2:7" ht="14.25">
      <c r="B35" s="9" t="s">
        <v>135</v>
      </c>
      <c r="C35" s="4" t="s">
        <v>80</v>
      </c>
      <c r="E35">
        <v>1052</v>
      </c>
      <c r="F35">
        <v>1052</v>
      </c>
      <c r="G35">
        <v>1054</v>
      </c>
    </row>
    <row r="36" spans="2:7" ht="12.75">
      <c r="B36" s="9" t="s">
        <v>149</v>
      </c>
      <c r="C36" t="s">
        <v>152</v>
      </c>
      <c r="E36">
        <v>25.3</v>
      </c>
      <c r="F36">
        <v>25.4</v>
      </c>
      <c r="G36">
        <v>25.4</v>
      </c>
    </row>
    <row r="37" spans="2:7" ht="12.75">
      <c r="B37" s="9" t="s">
        <v>150</v>
      </c>
      <c r="C37" t="s">
        <v>69</v>
      </c>
      <c r="E37">
        <v>454</v>
      </c>
      <c r="F37">
        <v>457</v>
      </c>
      <c r="G37">
        <v>459</v>
      </c>
    </row>
    <row r="38" spans="2:7" ht="12.75">
      <c r="B38" s="9" t="s">
        <v>151</v>
      </c>
      <c r="C38" t="s">
        <v>83</v>
      </c>
      <c r="E38">
        <v>7</v>
      </c>
      <c r="F38">
        <v>7</v>
      </c>
      <c r="G38">
        <v>7</v>
      </c>
    </row>
    <row r="39" spans="2:7" ht="12.75">
      <c r="B39" s="9" t="s">
        <v>140</v>
      </c>
      <c r="C39" t="s">
        <v>153</v>
      </c>
      <c r="E39">
        <v>41</v>
      </c>
      <c r="F39">
        <v>41</v>
      </c>
      <c r="G39">
        <v>41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2004-02-25T18:20:53Z</cp:lastPrinted>
  <dcterms:created xsi:type="dcterms:W3CDTF">2000-01-10T00:44:42Z</dcterms:created>
  <dcterms:modified xsi:type="dcterms:W3CDTF">2004-02-25T18:21:01Z</dcterms:modified>
  <cp:category/>
  <cp:version/>
  <cp:contentType/>
  <cp:contentStatus/>
</cp:coreProperties>
</file>